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tabRatio="870" firstSheet="5" activeTab="5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olne 232-4" sheetId="6" r:id="rId6"/>
    <sheet name="Doch. i wyd. adm.-4a" sheetId="7" r:id="rId7"/>
    <sheet name="wydatki-dotacje5" sheetId="8" r:id="rId8"/>
    <sheet name="Inwestycje 6" sheetId="9" r:id="rId9"/>
    <sheet name="Źrodla fin. 7" sheetId="10" r:id="rId10"/>
    <sheet name="Prognoza dł. 8" sheetId="11" r:id="rId11"/>
    <sheet name="Gosp.pomoc. 9" sheetId="12" r:id="rId12"/>
    <sheet name="Stowarzyszenia 10" sheetId="13" r:id="rId13"/>
    <sheet name="PFOŚiGW 11" sheetId="14" r:id="rId14"/>
    <sheet name="PFGZGiK 12" sheetId="15" r:id="rId15"/>
    <sheet name="Dot.podmiot.13" sheetId="16" r:id="rId16"/>
    <sheet name="Syt.fin. 14" sheetId="17" r:id="rId17"/>
  </sheets>
  <definedNames>
    <definedName name="_xlnm.Print_Area" localSheetId="1">'Dochody-ukł.wykon.'!$A$1:$G$291</definedName>
    <definedName name="_xlnm.Print_Area" localSheetId="15">'Dot.podmiot.13'!$A$1:$E$25</definedName>
    <definedName name="_xlnm.Print_Area" localSheetId="11">'Gosp.pomoc. 9'!$A$1:$J$26</definedName>
    <definedName name="_xlnm.Print_Area" localSheetId="8">'Inwestycje 6'!$A$1:$M$53</definedName>
    <definedName name="_xlnm.Print_Area" localSheetId="10">'Prognoza dł. 8'!$A$1:$AA$32</definedName>
    <definedName name="_xlnm.Print_Area" localSheetId="16">'Syt.fin. 14'!$A$1:$AC$39</definedName>
    <definedName name="_xlnm.Print_Area" localSheetId="3">'WYDATKI ukł.wyk.'!$A$1:$G$591</definedName>
    <definedName name="_xlnm.Print_Area" localSheetId="2">'WYDATKI Zał.2'!$A$1:$F$413</definedName>
    <definedName name="_xlnm.Print_Area" localSheetId="9">'Źrodla fin. 7'!$A$1:$E$42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8">'Inwestycje 6'!$14:$14</definedName>
    <definedName name="_xlnm.Print_Titles" localSheetId="10">'Prognoza dł. 8'!$A:$A</definedName>
    <definedName name="_xlnm.Print_Titles" localSheetId="16">'Syt.fin. 14'!$A:$B</definedName>
    <definedName name="_xlnm.Print_Titles" localSheetId="5">'Wspolne 232-4'!$12:$12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<sst xmlns="http://schemas.openxmlformats.org/spreadsheetml/2006/main" count="2166" uniqueCount="836">
  <si>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</si>
  <si>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</si>
  <si>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</si>
  <si>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</si>
  <si>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</si>
  <si>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</si>
  <si>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</si>
  <si>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</si>
  <si>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</si>
  <si>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</si>
  <si>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</si>
  <si>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</si>
  <si>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</si>
  <si>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</si>
  <si>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</si>
  <si>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</si>
  <si>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</si>
  <si>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</si>
  <si>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</si>
  <si>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</si>
  <si>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</si>
  <si>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</si>
  <si>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</si>
  <si>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</si>
  <si>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</si>
  <si>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</si>
  <si>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</si>
  <si>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</si>
  <si>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</si>
  <si>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</si>
  <si>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</si>
  <si>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</si>
  <si>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</si>
  <si>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</si>
  <si>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</si>
  <si>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</si>
  <si>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</si>
  <si>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</si>
  <si>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</si>
  <si>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</si>
  <si>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</si>
  <si>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</si>
  <si>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</si>
  <si>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</si>
  <si>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</si>
  <si>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</si>
  <si>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</si>
  <si>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</si>
  <si>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</si>
  <si>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</si>
  <si>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</si>
  <si>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</si>
  <si>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</si>
  <si>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>III. Wpłaty od jednostek organizacyjnych powiatu</t>
  </si>
  <si>
    <t>A. Ogółem dochody własne   (I+II+III+IV)</t>
  </si>
  <si>
    <t>V. Subwencja ogólna</t>
  </si>
  <si>
    <t>VI. Ogółem dotacje</t>
  </si>
  <si>
    <t>B. Ogółem subwencje i dotacje   ( V + VI 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</si>
  <si>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</si>
  <si>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</si>
  <si>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</si>
  <si>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</si>
  <si>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w tym:</t>
  </si>
  <si>
    <t>Prace geodezyjno-urządzeniowe na potrzeby rolnictwa</t>
  </si>
  <si>
    <t>Nadzór na gospodarką leśną</t>
  </si>
  <si>
    <t>wieczyste nieruchomości</t>
  </si>
  <si>
    <t>Prace geodezyjne i kartograficzne /nieinwestycyjne/</t>
  </si>
  <si>
    <t xml:space="preserve">Wpływy z opłaty komunikacyjnej 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</si>
  <si>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</si>
  <si>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</si>
  <si>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</si>
  <si>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</si>
  <si>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Składki na ubezpieczenia zdrowotne oraz świadczenia</t>
  </si>
  <si>
    <t>Internaty i bursy szkolne</t>
  </si>
  <si>
    <t>Wykonanie</t>
  </si>
  <si>
    <t xml:space="preserve">      w złotych</t>
  </si>
  <si>
    <t>Załącznik nr 1a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</si>
  <si>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</si>
  <si>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</si>
  <si>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</si>
  <si>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</si>
  <si>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</si>
  <si>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</si>
  <si>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</si>
  <si>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</si>
  <si>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</si>
  <si>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</si>
  <si>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</si>
  <si>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</si>
  <si>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</si>
  <si>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</si>
  <si>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</si>
  <si>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</si>
  <si>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</si>
  <si>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</si>
  <si>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</si>
  <si>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</si>
  <si>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</si>
  <si>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</si>
  <si>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</si>
  <si>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</si>
  <si>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</si>
  <si>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</si>
  <si>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</si>
  <si>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</si>
  <si>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</si>
  <si>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</si>
  <si>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</si>
  <si>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</si>
  <si>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</si>
  <si>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</si>
  <si>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</si>
  <si>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</si>
  <si>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</si>
  <si>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</si>
  <si>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</si>
  <si>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</si>
  <si>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</si>
  <si>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</si>
  <si>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</si>
  <si>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</si>
  <si>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</si>
  <si>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</si>
  <si>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</si>
  <si>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</si>
  <si>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</si>
  <si>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</si>
  <si>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</si>
  <si>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</si>
  <si>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</si>
  <si>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</si>
  <si>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</si>
  <si>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</si>
  <si>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</si>
  <si>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</si>
  <si>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</si>
  <si>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</si>
  <si>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</si>
  <si>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</si>
  <si>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</si>
  <si>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</si>
  <si>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</si>
  <si>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</si>
  <si>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</si>
  <si>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</si>
  <si>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</si>
  <si>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</si>
  <si>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</si>
  <si>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</si>
  <si>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</si>
  <si>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</si>
  <si>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</si>
  <si>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</si>
  <si>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</si>
  <si>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</si>
  <si>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</si>
  <si>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</si>
  <si>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</si>
  <si>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</si>
  <si>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</si>
  <si>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</si>
  <si>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</si>
  <si>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</si>
  <si>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</si>
  <si>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</si>
  <si>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</si>
  <si>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</si>
  <si>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</si>
  <si>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</si>
  <si>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</si>
  <si>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</si>
  <si>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</si>
  <si>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</si>
  <si>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</si>
  <si>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</si>
  <si>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</si>
  <si>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</si>
  <si>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</si>
  <si>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</si>
  <si>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</si>
  <si>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</si>
  <si>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</si>
  <si>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</si>
  <si>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</si>
  <si>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</si>
  <si>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</si>
  <si>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</si>
  <si>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</si>
  <si>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</si>
  <si>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</si>
  <si>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</si>
  <si>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</si>
  <si>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</si>
  <si>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</si>
  <si>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</si>
  <si>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</si>
  <si>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</si>
  <si>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</si>
  <si>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</si>
  <si>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</si>
  <si>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</si>
  <si>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</si>
  <si>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</si>
  <si>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</si>
  <si>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</si>
  <si>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</si>
  <si>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</si>
  <si>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</si>
  <si>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</si>
  <si>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</si>
  <si>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</si>
  <si>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</si>
  <si>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</si>
  <si>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</si>
  <si>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</si>
  <si>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</si>
  <si>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</si>
  <si>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</si>
  <si>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</si>
  <si>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>Podatek od towarów i usług VAT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</si>
  <si>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</si>
  <si>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</si>
  <si>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</si>
  <si>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</si>
  <si>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</si>
  <si>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</si>
  <si>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</si>
  <si>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</si>
  <si>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</si>
  <si>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</si>
  <si>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</si>
  <si>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</si>
  <si>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</si>
  <si>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</si>
  <si>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</si>
  <si>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</si>
  <si>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</si>
  <si>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</si>
  <si>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</si>
  <si>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0960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</si>
  <si>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</si>
  <si>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</si>
  <si>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</si>
  <si>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</si>
  <si>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</si>
  <si>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</si>
  <si>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</si>
  <si>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</si>
  <si>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</si>
  <si>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</si>
  <si>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</si>
  <si>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</si>
  <si>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</si>
  <si>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</si>
  <si>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</si>
  <si>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</si>
  <si>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</si>
  <si>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</si>
  <si>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</si>
  <si>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</si>
  <si>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</si>
  <si>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</si>
  <si>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</si>
  <si>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</si>
  <si>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</si>
  <si>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</si>
  <si>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</si>
  <si>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</si>
  <si>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</si>
  <si>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</si>
  <si>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</si>
  <si>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</si>
  <si>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</si>
  <si>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</si>
  <si>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</si>
  <si>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</si>
  <si>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</si>
  <si>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</si>
  <si>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</si>
  <si>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</si>
  <si>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</si>
  <si>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</si>
  <si>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</si>
  <si>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</si>
  <si>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</si>
  <si>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</si>
  <si>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</si>
  <si>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</si>
  <si>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</si>
  <si>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</si>
  <si>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</si>
  <si>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realizująca</t>
  </si>
  <si>
    <t>zadanie</t>
  </si>
  <si>
    <t>O G Ó Ł E M</t>
  </si>
  <si>
    <t>Wydatki związane z realizacją zadań wspólnych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</si>
  <si>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</si>
  <si>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</si>
  <si>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</si>
  <si>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</si>
  <si>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</si>
  <si>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</si>
  <si>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</si>
  <si>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</si>
  <si>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</si>
  <si>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</si>
  <si>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</si>
  <si>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</si>
  <si>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</si>
  <si>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</si>
  <si>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</si>
  <si>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</si>
  <si>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</si>
  <si>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</si>
  <si>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</si>
  <si>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</si>
  <si>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</si>
  <si>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</si>
  <si>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</si>
  <si>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</si>
  <si>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</si>
  <si>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</si>
  <si>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</si>
  <si>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</si>
  <si>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</si>
  <si>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</si>
  <si>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</si>
  <si>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</si>
  <si>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</si>
  <si>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§ 931</t>
  </si>
  <si>
    <t>7.</t>
  </si>
  <si>
    <t>IV.</t>
  </si>
  <si>
    <t>Rozchody ogółem: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</si>
  <si>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</si>
  <si>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</si>
  <si>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</si>
  <si>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</si>
  <si>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</si>
  <si>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</si>
  <si>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</si>
  <si>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</si>
  <si>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</si>
  <si>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</si>
  <si>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</si>
  <si>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</si>
  <si>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</si>
  <si>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</si>
  <si>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</si>
  <si>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</si>
  <si>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</si>
  <si>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</si>
  <si>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</si>
  <si>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</si>
  <si>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</si>
  <si>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</si>
  <si>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</si>
  <si>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</si>
  <si>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</si>
  <si>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</si>
  <si>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</si>
  <si>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</si>
  <si>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</si>
  <si>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</si>
  <si>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</si>
  <si>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</si>
  <si>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</si>
  <si>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</si>
  <si>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</si>
  <si>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</si>
  <si>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</si>
  <si>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</si>
  <si>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</si>
  <si>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</si>
  <si>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</si>
  <si>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</si>
  <si>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</si>
  <si>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</si>
  <si>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</si>
  <si>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</si>
  <si>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</si>
  <si>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</si>
  <si>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</si>
  <si>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</si>
  <si>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</si>
  <si>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</si>
  <si>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</si>
  <si>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</si>
  <si>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</si>
  <si>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</si>
  <si>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</si>
  <si>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</si>
  <si>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</si>
  <si>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</si>
  <si>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</si>
  <si>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</si>
  <si>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</si>
  <si>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</si>
  <si>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</si>
  <si>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</si>
  <si>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</si>
  <si>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</si>
  <si>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</si>
  <si>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2350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</si>
  <si>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</si>
  <si>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</si>
  <si>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</si>
  <si>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- na zadania własne - § 2130 , 6430</t>
  </si>
  <si>
    <t>Opłaty na rzecz budżetów jednostek samorządu terytorialnego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</si>
  <si>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</si>
  <si>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</si>
  <si>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</si>
  <si>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</si>
  <si>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</si>
  <si>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</si>
  <si>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</si>
  <si>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</si>
  <si>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</si>
  <si>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</si>
  <si>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</si>
  <si>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</si>
  <si>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</si>
  <si>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</si>
  <si>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</si>
  <si>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</si>
  <si>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</si>
  <si>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</si>
  <si>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</si>
  <si>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</si>
  <si>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</si>
  <si>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</si>
  <si>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</si>
  <si>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</si>
  <si>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</si>
  <si>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</si>
  <si>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</si>
  <si>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</si>
  <si>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</si>
  <si>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</si>
  <si>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</si>
  <si>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</si>
  <si>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</si>
  <si>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</si>
  <si>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</si>
  <si>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</si>
  <si>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</si>
  <si>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</si>
  <si>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</si>
  <si>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</si>
  <si>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</si>
  <si>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</si>
  <si>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ZDP</t>
  </si>
  <si>
    <t>Pasłęk</t>
  </si>
  <si>
    <t xml:space="preserve">Starostwo </t>
  </si>
  <si>
    <t>Powiatowe</t>
  </si>
  <si>
    <t xml:space="preserve">Dotacje celowe otrzymane z gminy na zadania bieżące </t>
  </si>
  <si>
    <t>V.</t>
  </si>
  <si>
    <t>1. Umowy</t>
  </si>
  <si>
    <t>2. Porozumienia</t>
  </si>
  <si>
    <t>Załącznik nr 12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</si>
  <si>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</si>
  <si>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</si>
  <si>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</si>
  <si>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</si>
  <si>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</si>
  <si>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</si>
  <si>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</si>
  <si>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</si>
  <si>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Wynagrodzenia bezosobowe</t>
  </si>
  <si>
    <t>Opłaty za usługi internetowe</t>
  </si>
  <si>
    <t>Załącznik nr 8</t>
  </si>
  <si>
    <t xml:space="preserve">                                                </t>
  </si>
  <si>
    <t>Wynagordzenia bezosobowe</t>
  </si>
  <si>
    <t>z dnia .....................2005 r.</t>
  </si>
  <si>
    <t>z dnia .................. 2005 r.</t>
  </si>
  <si>
    <t>4430</t>
  </si>
  <si>
    <t>Zespoły ds. orzekania o niepełnosprawności</t>
  </si>
  <si>
    <t xml:space="preserve"> - na umowy i porozumienia z jst-§ 2120,2310,2320,2330,6610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</si>
  <si>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</si>
  <si>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</si>
  <si>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</si>
  <si>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</si>
  <si>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</si>
  <si>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</si>
  <si>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</si>
  <si>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</si>
  <si>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</si>
  <si>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</si>
  <si>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</si>
  <si>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Otrzymane spadki, zapisy i darowizny w postaci pieniężnej</t>
  </si>
  <si>
    <t>Składki na ubepieczenie społeczne</t>
  </si>
  <si>
    <t>Powiatowa Olimpiada Sportowa Przedszkolaków</t>
  </si>
  <si>
    <t>Przygotowanie i udział reprezentacji powiatu elbląskiego w Ogólnopolskiej Spartakiadzie Młodzieży i Mistrzostwach Polski w lekkiej atletyce osób niepełnosprawnych</t>
  </si>
  <si>
    <t>2006 r.</t>
  </si>
  <si>
    <t>2007 r.</t>
  </si>
  <si>
    <t>2328</t>
  </si>
  <si>
    <t>2329</t>
  </si>
  <si>
    <t>Dotacje celowe otrzymane z powiatu na zadania bieżące</t>
  </si>
  <si>
    <t>realizowane na podstawie porozumień między j.s.t.</t>
  </si>
  <si>
    <t>Wydatki na zakupy inwestycyjne jednostek budżet.</t>
  </si>
  <si>
    <t>80145</t>
  </si>
  <si>
    <t>Komisje egzaminacyjne</t>
  </si>
  <si>
    <t>8510</t>
  </si>
  <si>
    <t>Wpływy z różnych rozliczeń</t>
  </si>
  <si>
    <t>Wpływy z opłat za zarząd, użytkowanie i użytkowanie</t>
  </si>
  <si>
    <t>Wpływy ze sprzedaży wyrobów</t>
  </si>
  <si>
    <t>Szpitale ogólne</t>
  </si>
  <si>
    <t>85111</t>
  </si>
  <si>
    <t>Szpitale ogólne - Wydatki ogółem, z tego:</t>
  </si>
  <si>
    <t>WYDATKI OGÓŁEM</t>
  </si>
  <si>
    <t>Plan na 2006 r.</t>
  </si>
  <si>
    <t>Wsk. % 3:2</t>
  </si>
  <si>
    <t>Struktura %</t>
  </si>
  <si>
    <t>PW              2005 r.</t>
  </si>
  <si>
    <t>Plan                 2006 r.</t>
  </si>
  <si>
    <t xml:space="preserve">   2. Dotacje celowe na zadania z zakresu administracji     rządowej wykonywane przez powiat oraz na realizację zadań służb, inspekcji i straży - §§ 2110, 6410</t>
  </si>
  <si>
    <t>jednostkami samorządu terytorialnego  -  na rok 2006</t>
  </si>
  <si>
    <t>31.12.2005 r.</t>
  </si>
  <si>
    <t>Ratownictwo medyczne</t>
  </si>
  <si>
    <t xml:space="preserve"> Plan przychodów i wydatków na 2006 r.</t>
  </si>
  <si>
    <t xml:space="preserve"> Plan przychodów i wydatków na 2006 rok</t>
  </si>
  <si>
    <t>Zespoły d/s orzekania o niepełnosprawności</t>
  </si>
  <si>
    <t>85141</t>
  </si>
  <si>
    <t>Ratownictwo medyczne - Wydatki ogółem, z tego:</t>
  </si>
  <si>
    <t>Zespoły ds.orzekania o niepełnosprawności - Wydatki ogółem, z tego:</t>
  </si>
  <si>
    <t>Budowa kompleksu boisk sportowych przy ZS Pasłęk</t>
  </si>
  <si>
    <t>Powiatowy Rajd Sportowo-Ekologiczny</t>
  </si>
  <si>
    <t>Powiatowy Festyn Licealny</t>
  </si>
  <si>
    <t>Ogólnopolski Plener Plastyczny "Bliżej natury"</t>
  </si>
  <si>
    <t>Ogólnopolski Przegląd Kultury Mniejszości Narodowej "Integracje"</t>
  </si>
  <si>
    <t>Regionalny Festiwal Piosenki Ukraińskiej</t>
  </si>
  <si>
    <t>Powiatowa inauguracja sportowego roku szkolnego 2006/2007</t>
  </si>
  <si>
    <t>Międzynarodowy rodzinny turniej w rzucie podkową o puchar Starosty Elbląskiego</t>
  </si>
  <si>
    <t>Dodatkowe wynagrodzenie roczne</t>
  </si>
  <si>
    <t>za</t>
  </si>
  <si>
    <t>2005 r.</t>
  </si>
  <si>
    <t>Zakup leków</t>
  </si>
  <si>
    <t>Załącznik  nr 10</t>
  </si>
  <si>
    <t>Załącznik nr 11</t>
  </si>
  <si>
    <t>PW</t>
  </si>
  <si>
    <t xml:space="preserve">   4. Inne dotacje</t>
  </si>
  <si>
    <t>2. Pozostałe dotacje</t>
  </si>
  <si>
    <t xml:space="preserve">Przebudowa drogi powiatowej nr 09149 </t>
  </si>
  <si>
    <t>Kazimierzowo-Helenowo-Jegłownik</t>
  </si>
  <si>
    <t>Przebudowa mostu w ciągu ul. Szkolnej w Tolkmicku</t>
  </si>
  <si>
    <t xml:space="preserve">Dotacje celowe przekazane gminie na zadania bieżące  </t>
  </si>
  <si>
    <t>realizowane na podstawie porozumień (umów) między j.s.t.</t>
  </si>
  <si>
    <t>Zakup zmywarko-wyparzaczki</t>
  </si>
  <si>
    <t>DPS</t>
  </si>
  <si>
    <t>Władysławowo</t>
  </si>
  <si>
    <t>Plan dochodów budżetu powiatu elbląskiego na 2006 rok</t>
  </si>
  <si>
    <t>Plan dochodów budżetu powiatu elbląskiego na 2006 r.</t>
  </si>
  <si>
    <t>Plan wydatków budżetu powiatu elbląskiego na 2006 r.</t>
  </si>
  <si>
    <t>Plan wydatków budżetu powiatu elbląskiego na 2006 rok</t>
  </si>
  <si>
    <t>Dochody i wydatki związane z realizacją zadań z zakresu administracji rządowej</t>
  </si>
  <si>
    <t>zleconych powiatowi ustawami w 2006 roku</t>
  </si>
  <si>
    <t xml:space="preserve">Wydatki inwestycyjne powiatu elbląskiego w roku budżetowym 2006 </t>
  </si>
  <si>
    <t>oraz wydatki na wieloletnie programy inwestycyjne w latach 2006-2008</t>
  </si>
  <si>
    <t>środki wym.</t>
  </si>
  <si>
    <t>w art. 3 ust. 1</t>
  </si>
  <si>
    <t xml:space="preserve"> pkt 2 i 2a ufp</t>
  </si>
  <si>
    <t>2008 r.</t>
  </si>
  <si>
    <t>poch. z in.</t>
  </si>
  <si>
    <t>źródeł</t>
  </si>
  <si>
    <t>Źródła sfinansowania deficytu lub rozdysponowania nadwyżki budżetowej w 2006 roku</t>
  </si>
  <si>
    <t>Pożyczki na finansowanie zadań realizowanych             z udziałem środków pochodzących z budżetu UE</t>
  </si>
  <si>
    <t>§ 903</t>
  </si>
  <si>
    <t>§ 951</t>
  </si>
  <si>
    <t>Obligacje skarbowe</t>
  </si>
  <si>
    <t>§ 911</t>
  </si>
  <si>
    <t>Inne papiery wartościowe</t>
  </si>
  <si>
    <t>9.</t>
  </si>
  <si>
    <t>Inne źródła (wolne środki)</t>
  </si>
  <si>
    <t>Spłata kredytów</t>
  </si>
  <si>
    <t>Spłaty pożyczek otrzymanych na finansowanie zadań realizowanych z udziałem środków pochodzących z budżetu UE</t>
  </si>
  <si>
    <t>§ 963</t>
  </si>
  <si>
    <t>§ 991</t>
  </si>
  <si>
    <t>Wykup obligacji</t>
  </si>
  <si>
    <t>§ 971</t>
  </si>
  <si>
    <t>Prognoza kwoty długu powiatu elbląskiego</t>
  </si>
  <si>
    <t>Plan przychodów i wydatków gospodarstw pomocnicznych na 2006 rok</t>
  </si>
  <si>
    <t>Wykaz zadań własnych powiatu zlecanych do realizacji podmiotom nie zaliczanym</t>
  </si>
  <si>
    <t>do sektora finansów publicznych i nie działających w celu osiągnięcia zysku</t>
  </si>
  <si>
    <t>w roku 2006</t>
  </si>
  <si>
    <t>Powiatowe Igrzyska Młodzieży Szkolnej</t>
  </si>
  <si>
    <t>Otwarte mistrzostwa powiatu elbląskiego w biegu na orientację</t>
  </si>
  <si>
    <t>Opracowanie dokumentacji projektowej na przebudowę</t>
  </si>
  <si>
    <t>drogi nr 09393 Stankowo-Marwica</t>
  </si>
  <si>
    <t>Studium wykonalności i koncepcja budowy mostu zwodzonego</t>
  </si>
  <si>
    <t>Opracowanie dokumentacji technicznej przebudowy</t>
  </si>
  <si>
    <t>drogi nr 1145N Milejewo-Majewo</t>
  </si>
  <si>
    <t>Wymagalne zobowiązania, wynikające z tyt:</t>
  </si>
  <si>
    <t>Załącznik nr 13</t>
  </si>
  <si>
    <t>Plan na  2006 r.</t>
  </si>
  <si>
    <t xml:space="preserve">   3. Dotacje celowe na zadania (umowy i porozumienia)                                   - §§ 2120, 2310-2330, 6610-6630</t>
  </si>
  <si>
    <t>w Nowakowie</t>
  </si>
  <si>
    <t>Zmiany</t>
  </si>
  <si>
    <t>Plan po zmianach na 2006 r.</t>
  </si>
  <si>
    <t>do uchwały Nr .......................</t>
  </si>
  <si>
    <t>z dnia ........................ 2006 r.</t>
  </si>
  <si>
    <t xml:space="preserve"> - poręczenia i gwarancje</t>
  </si>
  <si>
    <t>Załącznik nr 14</t>
  </si>
  <si>
    <t>do uchwały Nr.............</t>
  </si>
  <si>
    <t>Sytuacja finansowa powiatu elbląskiego</t>
  </si>
  <si>
    <t>Wykonanie 2003 r.</t>
  </si>
  <si>
    <t>Wykonanie 2004 r.</t>
  </si>
  <si>
    <t>Plan 2006</t>
  </si>
  <si>
    <t>Plan 2007</t>
  </si>
  <si>
    <t>Plan 2008</t>
  </si>
  <si>
    <t>Plan 2009</t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</si>
  <si>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</si>
  <si>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</si>
  <si>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</si>
  <si>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</si>
  <si>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</si>
  <si>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</si>
  <si>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</si>
  <si>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</si>
  <si>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</si>
  <si>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Plan 2019</t>
  </si>
  <si>
    <t>Plan 2020</t>
  </si>
  <si>
    <t>Plan 2021</t>
  </si>
  <si>
    <t>Plan 2022</t>
  </si>
  <si>
    <t>Plan 2023</t>
  </si>
  <si>
    <t>Plan 2024</t>
  </si>
  <si>
    <t>Plan 2025</t>
  </si>
  <si>
    <t>Plan 2026</t>
  </si>
  <si>
    <t>Plan 2027</t>
  </si>
  <si>
    <t>Plan 2028</t>
  </si>
  <si>
    <t>Plan 2029</t>
  </si>
  <si>
    <t>A.</t>
  </si>
  <si>
    <t>Dochody własne, w tym:</t>
  </si>
  <si>
    <t>z majątku powiatu</t>
  </si>
  <si>
    <t>z udziału w podatkach</t>
  </si>
  <si>
    <t>pozostałe doch.własne</t>
  </si>
  <si>
    <t>B.</t>
  </si>
  <si>
    <t>Subwencje</t>
  </si>
  <si>
    <t>C.</t>
  </si>
  <si>
    <t>Dotacje celowe</t>
  </si>
  <si>
    <t>wydatki bieżące</t>
  </si>
  <si>
    <t>wydatki inwestycyjne</t>
  </si>
  <si>
    <t>Spłata zobowiązań (A+B+C+D)</t>
  </si>
  <si>
    <t>Spłata zaciąg. poż i kred., w tym:</t>
  </si>
  <si>
    <t>spłata pożyczek, kredytów kraj.</t>
  </si>
  <si>
    <t>spłata pożyczek, kredytów zaciągniętych w zw. ze środ. określ. w umowie zawartej                   z podmiotem dysponującym                 z fund strukt. lub FSUE</t>
  </si>
  <si>
    <t>odsetki</t>
  </si>
  <si>
    <t>Spłata przewidywanych pożyczek, kredytów, w tym:</t>
  </si>
  <si>
    <t>spłata pożyczek, kredytów zaciągniętych w zw. ze środ. określ. w umowie zawartej                  z podmiotem dysponującym                  z fund. strukt. lub FSUE</t>
  </si>
  <si>
    <t>Wart. udziel. poręczeń</t>
  </si>
  <si>
    <t>D.</t>
  </si>
  <si>
    <t>Wykup pap. wartościowych</t>
  </si>
  <si>
    <t>Wynik (I-II)</t>
  </si>
  <si>
    <t>Planowana łączna kwota długu, w tym:</t>
  </si>
  <si>
    <t>Dług zaciągniętej w zw. ze śr. określ. w umowie zawartej                z podmiotem dysponującym fund. strukturalnymi lub FSUE</t>
  </si>
  <si>
    <t>VI.1</t>
  </si>
  <si>
    <t>VI.2</t>
  </si>
  <si>
    <t>VII.1</t>
  </si>
  <si>
    <t>VII.2</t>
  </si>
  <si>
    <t>VIIII.</t>
  </si>
  <si>
    <t>Sytuacja finansowa powiatu ebląskiego</t>
  </si>
  <si>
    <t>Wypłaty z tytułu poręczeń i gwarancji</t>
  </si>
  <si>
    <t xml:space="preserve">Plan po zmianch 2006 r. </t>
  </si>
  <si>
    <t>z dnia .....................2006 r.</t>
  </si>
  <si>
    <t>z dnia ..................... 2006 r.</t>
  </si>
  <si>
    <t>Plan po zmianch na 2006 r.</t>
  </si>
  <si>
    <t>z dnia ................. 2006 r.</t>
  </si>
  <si>
    <t>z dnia .................... 2006 r.</t>
  </si>
  <si>
    <t>z dnia ................ 2006 r.</t>
  </si>
  <si>
    <t>z dnia .................. 2006 r.</t>
  </si>
  <si>
    <t xml:space="preserve">z dnia ...................... 2006 r. </t>
  </si>
  <si>
    <t xml:space="preserve">z dnia ..................... 2006 r. </t>
  </si>
  <si>
    <t xml:space="preserve">z dnia ................... 2006 r. </t>
  </si>
  <si>
    <t>z dnia ...................... 2006 r.</t>
  </si>
  <si>
    <t>z dnia........................2006 r.</t>
  </si>
  <si>
    <t>Dotacje celowe otrzymane od samorządu województwa na zad.</t>
  </si>
  <si>
    <t>bieżące realizowane na podstawie porozumień między j.s.t.</t>
  </si>
  <si>
    <t>Gospodarstwa pomocnicze - Wydatki ogółem, z tego:</t>
  </si>
  <si>
    <t>"Razem łatwiej" impreza integracyjna dla dzieci i młodzieży niepełnosprawnej i sprawnej</t>
  </si>
  <si>
    <t xml:space="preserve">       Plan dotacji w dziale 852 Pomoc społeczna</t>
  </si>
  <si>
    <t xml:space="preserve"> - dotacje,</t>
  </si>
  <si>
    <t>Dotacje cel.przekazane dla powiatu na inwest. i zakupy</t>
  </si>
  <si>
    <t>inwest. realizowane na podst. porozumień między j.s.t.</t>
  </si>
  <si>
    <t>2690</t>
  </si>
  <si>
    <t>Środki z Funduszu Pracy otrzymane przez powiat z przeznaczeniem</t>
  </si>
  <si>
    <t>na fin.kosztów wynagrodzeń i skł. na ubezp. społ. pracowników pup</t>
  </si>
  <si>
    <t>3. Środki pozyskane z innych źródeł - § 2690,2700</t>
  </si>
  <si>
    <t>C. Środki pozyskane z innych źródeł (bieżące i inwestycyjne)        - §§ 2690, 2700</t>
  </si>
  <si>
    <t>DOCHODY OGÓŁEM (A+B+C)</t>
  </si>
  <si>
    <t>Dotacje celowe otrzymane z budżetu państwa  na zadania</t>
  </si>
  <si>
    <t xml:space="preserve">bieżące z zakresu administracji rząd. oraz inne zadania zlecone   </t>
  </si>
  <si>
    <t xml:space="preserve">Dotacje celowe otrzymane od samorządu województwa na </t>
  </si>
  <si>
    <t>zadania bieżące realizowane na pods. porozumień miedzy j.s.t.</t>
  </si>
  <si>
    <t>Wpłata do budżetu części zysku przez gospodarstwo pomocnicze</t>
  </si>
  <si>
    <t>Dochody z najmu i dzierżawy składników majątkowych Skarbu</t>
  </si>
  <si>
    <t>Państwa lub j.s.t. i innych umów</t>
  </si>
  <si>
    <t>Środki otrzymane od pozostałych jedn. sektora finansów publ.</t>
  </si>
  <si>
    <t>Wpłaty z tyt. odpłatnego nabycia prawa własności nieruchomości</t>
  </si>
  <si>
    <t>rządowej oraz innych zadań zleconych ustawami</t>
  </si>
  <si>
    <t>Dochody j.s.t. związane z realizacją zadań z zakresu administracji</t>
  </si>
  <si>
    <t>Dochody od osób prawnych, od osób fizycznych i od innych</t>
  </si>
  <si>
    <t>jednostek nieposiadających osobowości prawnej</t>
  </si>
  <si>
    <t>Udziały powiatów w podatkach stanow. dochód budżetu państwa</t>
  </si>
  <si>
    <t>Zadania w zakresie kultury fizycznej i sportu - Wydatki ogółem:</t>
  </si>
  <si>
    <t>Poradnie psychol.-pedagog.oraz inne poradanie spec.</t>
  </si>
  <si>
    <t>Zakup używanego samochodu marki Polonez</t>
  </si>
  <si>
    <t xml:space="preserve">Plan na                         2006 r. </t>
  </si>
  <si>
    <t>Zakup używanego samochodu ciężarowego</t>
  </si>
  <si>
    <t>Dochody i wydatki związane z realizacją zadań wspólnych realizowanych</t>
  </si>
  <si>
    <t>w drodze umów /porozumień/ z innymi jednostkami samorządu terytorilanego - na rok 2006</t>
  </si>
  <si>
    <t>8550</t>
  </si>
  <si>
    <t>6610</t>
  </si>
  <si>
    <t>Dotacje celowe otrzymane z gminy na inwestycje i zakupy inwes.</t>
  </si>
  <si>
    <t>ZSZEiT</t>
  </si>
  <si>
    <t>Dofinansowanie pracowni multimedialnej</t>
  </si>
  <si>
    <t xml:space="preserve">Dotacje celowe na przekazane gminie na inwestycje i zakupy </t>
  </si>
  <si>
    <t>inwest. realizow. na podst. porozumień  między j.s.t</t>
  </si>
  <si>
    <t xml:space="preserve">Straż graniczna </t>
  </si>
  <si>
    <t>Dotacje celowe przekazane dla gminy na inwest. i zakupy</t>
  </si>
  <si>
    <t>75406</t>
  </si>
  <si>
    <t>- dotacje</t>
  </si>
  <si>
    <t>Straż pożarna- Wydatki ogółem, w tym:</t>
  </si>
  <si>
    <t>Straż graniczna</t>
  </si>
  <si>
    <t>Remont budynku w Pasłęku przy ul. Kopernika 20 b</t>
  </si>
  <si>
    <t>Dom Dziecka</t>
  </si>
  <si>
    <t>Marwica</t>
  </si>
  <si>
    <t>Bezpieczeństwo publiczne i ochrona przeciwpożarowa</t>
  </si>
  <si>
    <t>80195</t>
  </si>
  <si>
    <t xml:space="preserve">Wpływy z różnych dochodów </t>
  </si>
  <si>
    <t>Wpłaty na PFRON</t>
  </si>
  <si>
    <t>Kary i odszkodowania wypłacana na rzecz osób praw.</t>
  </si>
  <si>
    <t>i in jednos. organ.</t>
  </si>
  <si>
    <t>Wykonanie 2005 r.</t>
  </si>
  <si>
    <t>2130</t>
  </si>
  <si>
    <t>bieżących zadań własnych powiatu</t>
  </si>
  <si>
    <t xml:space="preserve">Dotacje celowe otrzymane z budżetu państwa  na realizację </t>
  </si>
  <si>
    <t>Modernizacja budynku Starostwa Powiatowego</t>
  </si>
  <si>
    <t>Składki na ubezpieczenie społeczne</t>
  </si>
  <si>
    <t>Dokształacanie i doskonalenie zawodowe nauczycieli</t>
  </si>
  <si>
    <t>Poradnie psychologiczo-pedagogiczne, w tym por. specj.</t>
  </si>
  <si>
    <t>Pomoc dla repatriantów</t>
  </si>
  <si>
    <t xml:space="preserve"> - pozostałe wydatki bieżące</t>
  </si>
  <si>
    <t>3110</t>
  </si>
  <si>
    <t>2708</t>
  </si>
  <si>
    <t>2709</t>
  </si>
  <si>
    <t>Środki  na dofinansowanie własnych zadań bieżących powiatu</t>
  </si>
  <si>
    <t>pozyskane z innych źródeł</t>
  </si>
  <si>
    <t>Uzupełnienie subwencji ogólnej dla j.s.t.</t>
  </si>
  <si>
    <t>Środki na inwestycje rozpoczęte przed dniem 1 stycznia 1999 r.</t>
  </si>
  <si>
    <t>inwestycyjne realizowane na pods. porozumień między j.s.t.</t>
  </si>
  <si>
    <t>Dotacje celowe otrzymane z gminy na inwestycje i zakupy</t>
  </si>
  <si>
    <t>0910</t>
  </si>
  <si>
    <t>Odsetki od nieterminowych wpłat z tytułu podatków i opłat</t>
  </si>
  <si>
    <t>2700</t>
  </si>
  <si>
    <t>Środki na ofinansowanie własnych zadań bieżących powiatów</t>
  </si>
  <si>
    <t>pozyskane z innych żródeł</t>
  </si>
  <si>
    <t>Wplywy ze sprzedaży wyrobów</t>
  </si>
  <si>
    <t>0020</t>
  </si>
  <si>
    <t>Podatek dochodowy od osób prawnych</t>
  </si>
  <si>
    <t>IV. Pozostałe dochody- §0910, 2360</t>
  </si>
  <si>
    <t xml:space="preserve">  2. Z najmu i dzierżawy- § 0750, 0470</t>
  </si>
  <si>
    <t>2128</t>
  </si>
  <si>
    <t>2129</t>
  </si>
  <si>
    <t>Dotacje celowe otrzymane z budżetu państwa na zadania bieżące</t>
  </si>
  <si>
    <t>real. na podst. porozumień z organami administracji rządowej</t>
  </si>
  <si>
    <t>Zakup usłaug zdrowotnych</t>
  </si>
  <si>
    <t>Dochody i wydatki związane z realizacją zadań bieżących realizowanych</t>
  </si>
  <si>
    <t xml:space="preserve"> na podstawie porozumień z organami administracji rządowej - na 2006 r.</t>
  </si>
  <si>
    <t>Załącznik nr 4a</t>
  </si>
  <si>
    <t>Dotacje celowe otrzymane z budżetu państwa na realizację</t>
  </si>
  <si>
    <t>Spłaty kredytów, pożyczek do dochodów  (%)                                          (art. 169 ust. 1 u.f.p.)</t>
  </si>
  <si>
    <t>Dług/dochody %                                 (art. 170 ust. 1 u.f.p.)</t>
  </si>
  <si>
    <t>Spłaty kredytów, pożyczek do dochodów  (%)                                          (art. 169 ust. 2 u.f.p.)</t>
  </si>
  <si>
    <t>Dług/dochody  (%)                                      art. 170 ust. 1 u.f.p.</t>
  </si>
  <si>
    <t xml:space="preserve">Zakup samochodu z projektu "Program wyrównywania </t>
  </si>
  <si>
    <t>szanas między regionami"</t>
  </si>
  <si>
    <t>6430</t>
  </si>
  <si>
    <t xml:space="preserve">Dotacje celowe otrzymane z budżetu państwa na realizację </t>
  </si>
  <si>
    <t>inwestycji i zakupów inwestycyjnych własnych powiatu</t>
  </si>
  <si>
    <t>Usuwanie skutków klęsk żywiołowych</t>
  </si>
  <si>
    <t>Zakup mikrobusa do przewozu osób niepełnosprawnych</t>
  </si>
  <si>
    <t>60078</t>
  </si>
  <si>
    <t>a) wydatki majątkowe</t>
  </si>
  <si>
    <t>Usuwanie skutków klęsk żywiołowych- Wydatki ogółem, z tego:</t>
  </si>
  <si>
    <t>Aktywizowanie społeczności lokalnych powiatu elbląskiego poprzez wspieranie organizacji pozarządowych z tego powiatu</t>
  </si>
  <si>
    <t>Plan dotacji w dziale 853 Pozostałe zadania w zakresie polityki społecznej</t>
  </si>
  <si>
    <t>zadań zleconych do realizacji stowarzyszeniom</t>
  </si>
  <si>
    <t>Podatek od towarów i usług</t>
  </si>
  <si>
    <t>0870</t>
  </si>
  <si>
    <t>Wpływy ze sprzedaży składników majątkowych</t>
  </si>
  <si>
    <t xml:space="preserve">  1. Ze sprzedaży- § 0770, 0870</t>
  </si>
  <si>
    <t>01095</t>
  </si>
  <si>
    <t>Dobudowa windy w Domu Pomocy Społecznej</t>
  </si>
  <si>
    <t>Rangóry</t>
  </si>
  <si>
    <t>Dotacje celowe otrzymane z budżetu państwa na zadania</t>
  </si>
  <si>
    <t>bieżące realizowane przez powiat na podstawie porozumień</t>
  </si>
  <si>
    <t>z organami administracji rządowej</t>
  </si>
  <si>
    <t>2120</t>
  </si>
  <si>
    <t xml:space="preserve">Pomoc społeczna </t>
  </si>
  <si>
    <t>Jednostki spec. porad., mieszkania chron. i in. ośrodki inter. kryzys.</t>
  </si>
  <si>
    <t>OGÓŁEM</t>
  </si>
  <si>
    <t xml:space="preserve">Urzędy naczelnych organów władzy państwowej, kontroli i </t>
  </si>
  <si>
    <t>ochrony prawa oraz sądownictwa</t>
  </si>
  <si>
    <t>Wybory do rad gmin, rad powiatów i sejmików województw,</t>
  </si>
  <si>
    <t>wybory wójtów, burmistrzów i prezydentów miast oraz referenda</t>
  </si>
  <si>
    <t>gminne, powiatowe i wojewódzkie</t>
  </si>
  <si>
    <t xml:space="preserve">bieżące z zakresu admin. rząd. oraz inne zadania zlecone   </t>
  </si>
  <si>
    <t>wybory wójtów, burm. i prezyd. miast oraz referenda</t>
  </si>
  <si>
    <t xml:space="preserve">Urzędy naczelnych organów władzy państw., kontroli i </t>
  </si>
  <si>
    <t>wybory wójtów, burmist. i prezyden. miast oraz referenda</t>
  </si>
  <si>
    <t>gminne, powiatowe i wojewódzkie Wydatki ogółem, z tego:</t>
  </si>
  <si>
    <t>- wynagrodzenia i pochodne od wynagrodzeń</t>
  </si>
  <si>
    <t>- pozostałe wydatki rzeczowe</t>
  </si>
  <si>
    <t>ochrony prawa oraz sądownictwa Wydatki ogółem, z tego:</t>
  </si>
  <si>
    <t>- pozostałe wydatki bieżące</t>
  </si>
  <si>
    <t xml:space="preserve">Urzędy nacz. organów władzy państ., kontroli i </t>
  </si>
  <si>
    <t>Środki na dofinansowanie własnych zadań bieżących gmin,</t>
  </si>
  <si>
    <t>powiatów, samorządów województw pozyskane z innych źródeł</t>
  </si>
  <si>
    <t>Dotacje celowe otrzymane z gminy na zadania bieżące realiz.</t>
  </si>
  <si>
    <t>na podst. Porozumień między j.s.t..</t>
  </si>
  <si>
    <t>Dotacje przedmiotowe - na rok 2006</t>
  </si>
  <si>
    <t>Dotacje celowe z budżetu na finansowanie lub dofinansowanie kosztów</t>
  </si>
  <si>
    <t>realizacji inwestycji i zakupów inwes. innych jednostek sekt. finan. pub.</t>
  </si>
  <si>
    <t>E.</t>
  </si>
  <si>
    <t>Wart. udziel. pożyczek</t>
  </si>
  <si>
    <t>Dotacje celowe z budżetu na finans. lub dofin. kosztów</t>
  </si>
  <si>
    <t>real. inwes. i zakup. inwes. innych j. sektora fin. publ.</t>
  </si>
  <si>
    <t>Środki na uzupełnienie dochodów</t>
  </si>
  <si>
    <t>Zagospodarowanie poddasza Domu Dziecka w Pasłęku</t>
  </si>
  <si>
    <t>Dobudowa windy w Zespole Szkół w Gronowie Górnym</t>
  </si>
  <si>
    <t xml:space="preserve">ZSZ </t>
  </si>
  <si>
    <t>Gronowo Górne</t>
  </si>
  <si>
    <t>Zakup maszyn do czyszczenia wykładziny</t>
  </si>
  <si>
    <t>Tolkmicko</t>
  </si>
  <si>
    <t>Załącznik nr 6</t>
  </si>
  <si>
    <t>Zakup zmywarko wyparzaczek</t>
  </si>
  <si>
    <t>Dotacje celowe otrzymane od samorządu wojew. na zadania bieżące</t>
  </si>
  <si>
    <t xml:space="preserve">Różnica między planem dochodów i wydatków w rozdz. 80309 i 85415 wynika z otrzymanych  środków unijnych na stypendia </t>
  </si>
  <si>
    <t>dla uczniów i studentów z tytułu refundacji poniesionych kosztów przez powiat w roku 2005.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</si>
</sst>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0.0"/>
    <numFmt numFmtId="167" formatCode="#,##0.00\ _z_ł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;[Red]0"/>
    <numFmt numFmtId="173" formatCode="00\-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2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2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0" fontId="0" fillId="0" borderId="31" xfId="0" applyFont="1" applyBorder="1" applyAlignment="1">
      <alignment horizontal="centerContinuous"/>
    </xf>
    <xf numFmtId="3" fontId="0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3" fontId="1" fillId="0" borderId="4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0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55" xfId="0" applyFont="1" applyBorder="1" applyAlignment="1">
      <alignment/>
    </xf>
    <xf numFmtId="0" fontId="0" fillId="0" borderId="16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6" fillId="0" borderId="30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3" fontId="0" fillId="0" borderId="6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9" fontId="2" fillId="0" borderId="29" xfId="0" applyNumberFormat="1" applyFont="1" applyFill="1" applyBorder="1" applyAlignment="1" quotePrefix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 vertical="center" shrinkToFit="1"/>
    </xf>
    <xf numFmtId="3" fontId="6" fillId="0" borderId="15" xfId="0" applyNumberFormat="1" applyFont="1" applyBorder="1" applyAlignment="1">
      <alignment horizontal="right" vertical="center" shrinkToFit="1"/>
    </xf>
    <xf numFmtId="0" fontId="13" fillId="0" borderId="58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41" xfId="0" applyFont="1" applyBorder="1" applyAlignment="1">
      <alignment wrapText="1" shrinkToFit="1"/>
    </xf>
    <xf numFmtId="0" fontId="0" fillId="0" borderId="24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 shrinkToFit="1"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34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 horizontal="center"/>
    </xf>
    <xf numFmtId="166" fontId="2" fillId="0" borderId="49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2" fillId="0" borderId="57" xfId="0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 shrinkToFit="1"/>
    </xf>
    <xf numFmtId="164" fontId="13" fillId="0" borderId="53" xfId="0" applyNumberFormat="1" applyFont="1" applyFill="1" applyBorder="1" applyAlignment="1">
      <alignment vertical="center"/>
    </xf>
    <xf numFmtId="3" fontId="13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4" fillId="0" borderId="3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9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/>
    </xf>
    <xf numFmtId="3" fontId="6" fillId="0" borderId="3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3" fontId="2" fillId="0" borderId="2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Fill="1" applyBorder="1" applyAlignment="1">
      <alignment/>
    </xf>
    <xf numFmtId="3" fontId="2" fillId="0" borderId="66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49" fontId="2" fillId="0" borderId="22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3" fontId="6" fillId="0" borderId="34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2" fillId="0" borderId="42" xfId="0" applyFont="1" applyFill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68" fontId="2" fillId="0" borderId="16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0" fontId="2" fillId="0" borderId="6" xfId="0" applyFont="1" applyFill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56" xfId="0" applyFont="1" applyBorder="1" applyAlignment="1">
      <alignment/>
    </xf>
    <xf numFmtId="3" fontId="6" fillId="0" borderId="7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64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64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3" fontId="2" fillId="0" borderId="43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/>
    </xf>
    <xf numFmtId="3" fontId="2" fillId="0" borderId="64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3" fontId="6" fillId="0" borderId="7" xfId="0" applyNumberFormat="1" applyFont="1" applyFill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2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2" fillId="0" borderId="47" xfId="0" applyFont="1" applyBorder="1" applyAlignment="1">
      <alignment horizontal="center"/>
    </xf>
    <xf numFmtId="0" fontId="2" fillId="0" borderId="67" xfId="0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6" fillId="0" borderId="54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4" fillId="0" borderId="51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 vertical="center"/>
    </xf>
    <xf numFmtId="3" fontId="2" fillId="0" borderId="63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49" fontId="0" fillId="0" borderId="59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/>
    </xf>
    <xf numFmtId="49" fontId="0" fillId="0" borderId="35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0" xfId="0" applyFont="1" applyBorder="1" applyAlignment="1">
      <alignment horizontal="left"/>
    </xf>
    <xf numFmtId="0" fontId="2" fillId="0" borderId="47" xfId="0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6" fillId="0" borderId="65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71" xfId="0" applyNumberFormat="1" applyFont="1" applyBorder="1" applyAlignment="1">
      <alignment/>
    </xf>
    <xf numFmtId="3" fontId="2" fillId="0" borderId="71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3" fontId="2" fillId="0" borderId="3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4" fillId="0" borderId="14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8">
      <selection activeCell="B24" sqref="B24"/>
    </sheetView>
  </sheetViews>
  <sheetFormatPr defaultColWidth="9.00390625" defaultRowHeight="12.75"/>
  <cols>
    <col min="1" max="1" width="48.25390625" style="9" customWidth="1"/>
    <col min="2" max="2" width="24.00390625" style="9" customWidth="1"/>
    <col min="3" max="5" width="8.375" style="9" hidden="1" customWidth="1"/>
    <col min="6" max="16384" width="9.125" style="9" customWidth="1"/>
  </cols>
  <sheetData>
    <row r="1" spans="2:3" ht="12">
      <c r="B1" s="10" t="s">
        <v>76</v>
      </c>
      <c r="C1" s="10" t="s">
        <v>76</v>
      </c>
    </row>
    <row r="2" spans="1:3" ht="12">
      <c r="A2" s="11"/>
      <c r="B2" s="10" t="s">
        <v>48</v>
      </c>
      <c r="C2" s="10" t="s">
        <v>48</v>
      </c>
    </row>
    <row r="3" spans="1:3" ht="12">
      <c r="A3" s="11"/>
      <c r="B3" s="10" t="s">
        <v>49</v>
      </c>
      <c r="C3" s="10" t="s">
        <v>49</v>
      </c>
    </row>
    <row r="4" spans="1:3" ht="12">
      <c r="A4" s="11"/>
      <c r="B4" s="10" t="s">
        <v>660</v>
      </c>
      <c r="C4" s="10" t="s">
        <v>471</v>
      </c>
    </row>
    <row r="5" ht="9.75">
      <c r="A5" s="11"/>
    </row>
    <row r="6" ht="9.75">
      <c r="A6" s="11"/>
    </row>
    <row r="7" ht="9.75">
      <c r="A7" s="11"/>
    </row>
    <row r="8" ht="9.75">
      <c r="A8" s="12"/>
    </row>
    <row r="9" spans="1:5" ht="15">
      <c r="A9" s="889" t="s">
        <v>548</v>
      </c>
      <c r="B9" s="889"/>
      <c r="C9" s="889"/>
      <c r="D9" s="889"/>
      <c r="E9" s="889"/>
    </row>
    <row r="10" ht="9.75">
      <c r="A10" s="13"/>
    </row>
    <row r="11" spans="1:5" ht="13.5" customHeight="1" thickBot="1">
      <c r="A11" s="890" t="s">
        <v>50</v>
      </c>
      <c r="B11" s="890"/>
      <c r="C11" s="890"/>
      <c r="D11" s="890"/>
      <c r="E11" s="890"/>
    </row>
    <row r="12" spans="1:5" ht="14.25" customHeight="1">
      <c r="A12" s="891" t="s">
        <v>51</v>
      </c>
      <c r="B12" s="898" t="s">
        <v>591</v>
      </c>
      <c r="C12" s="898" t="s">
        <v>509</v>
      </c>
      <c r="D12" s="896" t="s">
        <v>510</v>
      </c>
      <c r="E12" s="897"/>
    </row>
    <row r="13" spans="1:5" ht="12.75" customHeight="1">
      <c r="A13" s="892"/>
      <c r="B13" s="899"/>
      <c r="C13" s="899"/>
      <c r="D13" s="899" t="s">
        <v>511</v>
      </c>
      <c r="E13" s="894" t="s">
        <v>512</v>
      </c>
    </row>
    <row r="14" spans="1:5" ht="13.5" customHeight="1" thickBot="1">
      <c r="A14" s="893"/>
      <c r="B14" s="900"/>
      <c r="C14" s="900"/>
      <c r="D14" s="900"/>
      <c r="E14" s="895"/>
    </row>
    <row r="15" spans="1:5" ht="12.75" thickBot="1">
      <c r="A15" s="273">
        <v>1</v>
      </c>
      <c r="B15" s="274">
        <v>2</v>
      </c>
      <c r="C15" s="274">
        <v>4</v>
      </c>
      <c r="D15" s="274">
        <v>5</v>
      </c>
      <c r="E15" s="275">
        <v>6</v>
      </c>
    </row>
    <row r="16" spans="1:5" ht="12.75" customHeight="1">
      <c r="A16" s="917" t="s">
        <v>88</v>
      </c>
      <c r="B16" s="909">
        <f>SUM('Dochody-ukł.wykon.'!G110:G110)+'Dochody-ukł.wykon.'!G111</f>
        <v>2964819</v>
      </c>
      <c r="C16" s="905" t="e">
        <f>B16/#REF!*100</f>
        <v>#REF!</v>
      </c>
      <c r="D16" s="905" t="e">
        <f>#REF!/#REF!*100</f>
        <v>#REF!</v>
      </c>
      <c r="E16" s="907">
        <f>B16/$B$49*100</f>
        <v>7.691826537139988</v>
      </c>
    </row>
    <row r="17" spans="1:5" ht="12.75" customHeight="1">
      <c r="A17" s="918"/>
      <c r="B17" s="910"/>
      <c r="C17" s="912"/>
      <c r="D17" s="912"/>
      <c r="E17" s="916"/>
    </row>
    <row r="18" spans="1:5" ht="13.5" customHeight="1" thickBot="1">
      <c r="A18" s="884"/>
      <c r="B18" s="911"/>
      <c r="C18" s="906"/>
      <c r="D18" s="906"/>
      <c r="E18" s="908"/>
    </row>
    <row r="19" spans="1:5" ht="12">
      <c r="A19" s="276" t="s">
        <v>52</v>
      </c>
      <c r="B19" s="250">
        <f>SUM(B20:B21)</f>
        <v>1382219</v>
      </c>
      <c r="C19" s="282" t="e">
        <f>B19/#REF!*100</f>
        <v>#REF!</v>
      </c>
      <c r="D19" s="282" t="e">
        <f>#REF!/#REF!*100</f>
        <v>#REF!</v>
      </c>
      <c r="E19" s="283">
        <f>B19/$B$49*100</f>
        <v>3.585982410507723</v>
      </c>
    </row>
    <row r="20" spans="1:5" ht="12">
      <c r="A20" s="277" t="s">
        <v>787</v>
      </c>
      <c r="B20" s="271">
        <f>'Dochody-ukł.wykon.'!G52+'Dochody-ukł.wykon.'!G281+'Dochody-ukł.wykon.'!G185</f>
        <v>1198555</v>
      </c>
      <c r="C20" s="272" t="e">
        <f>B20/#REF!*100</f>
        <v>#REF!</v>
      </c>
      <c r="D20" s="272" t="e">
        <f>#REF!/#REF!*100</f>
        <v>#REF!</v>
      </c>
      <c r="E20" s="278">
        <f>B20/$B$49*100</f>
        <v>3.1094907160342062</v>
      </c>
    </row>
    <row r="21" spans="1:5" ht="12.75" thickBot="1">
      <c r="A21" s="279" t="s">
        <v>757</v>
      </c>
      <c r="B21" s="308">
        <f>'Dochody-ukł.wykon.'!G28+'Dochody-ukł.wykon.'!G50+'Dochody-ukł.wykon.'!G140+'Dochody-ukł.wykon.'!G47+'Dochody-ukł.wykon.'!G18</f>
        <v>183664</v>
      </c>
      <c r="C21" s="280" t="e">
        <f>B21/#REF!*100</f>
        <v>#REF!</v>
      </c>
      <c r="D21" s="280" t="e">
        <f>#REF!/#REF!*100</f>
        <v>#REF!</v>
      </c>
      <c r="E21" s="281">
        <f>B21/$B$49*100</f>
        <v>0.4764916944735172</v>
      </c>
    </row>
    <row r="22" spans="1:5" ht="12.75" customHeight="1">
      <c r="A22" s="901" t="s">
        <v>53</v>
      </c>
      <c r="B22" s="903">
        <f>4388717+11503+49500+659+35280+2130+20000+36000+30990+12158+12000+6255+1617+396000+25000+62-622+2660+11000+10000+3529+11200+59961+3959+2874+1900-23550+4408+14954+3962-21550-6255+15000+4249+1519+6310+4473+3400-110734+58854+125+643</f>
        <v>5090140</v>
      </c>
      <c r="C22" s="905" t="e">
        <f>B22/#REF!*100</f>
        <v>#REF!</v>
      </c>
      <c r="D22" s="905" t="e">
        <f>#REF!/#REF!*100</f>
        <v>#REF!</v>
      </c>
      <c r="E22" s="907">
        <f>B22/B49*100</f>
        <v>13.205687743419661</v>
      </c>
    </row>
    <row r="23" spans="1:5" ht="13.5" customHeight="1" thickBot="1">
      <c r="A23" s="902"/>
      <c r="B23" s="904"/>
      <c r="C23" s="906"/>
      <c r="D23" s="906"/>
      <c r="E23" s="908"/>
    </row>
    <row r="24" spans="1:5" ht="12.75" thickBot="1">
      <c r="A24" s="284" t="s">
        <v>756</v>
      </c>
      <c r="B24" s="285">
        <f>'Dochody-ukł.wykon.'!G125+'Dochody-ukł.wykon.'!G57+'Dochody-ukł.wykon.'!G53+'Dochody-ukł.wykon.'!G88</f>
        <v>106515</v>
      </c>
      <c r="C24" s="286" t="e">
        <f>B24/#REF!*100</f>
        <v>#REF!</v>
      </c>
      <c r="D24" s="286" t="e">
        <f>#REF!/#REF!*100</f>
        <v>#REF!</v>
      </c>
      <c r="E24" s="287">
        <f>B24/$B$49*100</f>
        <v>0.2763389278075545</v>
      </c>
    </row>
    <row r="25" spans="1:5" ht="12.75" customHeight="1">
      <c r="A25" s="901" t="s">
        <v>54</v>
      </c>
      <c r="B25" s="903">
        <f>B24+B22+B19+B16</f>
        <v>9543693</v>
      </c>
      <c r="C25" s="905" t="e">
        <f>B25/#REF!*100</f>
        <v>#REF!</v>
      </c>
      <c r="D25" s="905" t="e">
        <f>#REF!/#REF!*100</f>
        <v>#REF!</v>
      </c>
      <c r="E25" s="907">
        <f>B25/B49*100</f>
        <v>24.759835618874927</v>
      </c>
    </row>
    <row r="26" spans="1:5" ht="15" customHeight="1" thickBot="1">
      <c r="A26" s="902"/>
      <c r="B26" s="904"/>
      <c r="C26" s="906"/>
      <c r="D26" s="906"/>
      <c r="E26" s="908"/>
    </row>
    <row r="27" spans="1:5" ht="12.75" customHeight="1">
      <c r="A27" s="917" t="s">
        <v>55</v>
      </c>
      <c r="B27" s="909">
        <f>'Dochody-ukł.wykon.'!G115+'Dochody-ukł.wykon.'!G122+'Dochody-ukł.wykon.'!G127+'Dochody-ukł.wykon.'!G119+'Dochody-ukł.wykon.'!G118</f>
        <v>16726387</v>
      </c>
      <c r="C27" s="905" t="e">
        <f>B27/#REF!*100</f>
        <v>#REF!</v>
      </c>
      <c r="D27" s="905" t="e">
        <f>#REF!/#REF!*100</f>
        <v>#REF!</v>
      </c>
      <c r="E27" s="907">
        <f>B27/$B$49*100</f>
        <v>43.39437496760285</v>
      </c>
    </row>
    <row r="28" spans="1:5" ht="12.75" customHeight="1">
      <c r="A28" s="918"/>
      <c r="B28" s="910"/>
      <c r="C28" s="912"/>
      <c r="D28" s="912"/>
      <c r="E28" s="916"/>
    </row>
    <row r="29" spans="1:5" ht="13.5" customHeight="1" thickBot="1">
      <c r="A29" s="884"/>
      <c r="B29" s="911"/>
      <c r="C29" s="906"/>
      <c r="D29" s="906"/>
      <c r="E29" s="908"/>
    </row>
    <row r="30" spans="1:5" ht="12" customHeight="1">
      <c r="A30" s="917" t="s">
        <v>56</v>
      </c>
      <c r="B30" s="913">
        <f>SUM(B33:B43)</f>
        <v>11549508</v>
      </c>
      <c r="C30" s="905" t="e">
        <f>B30/#REF!*100</f>
        <v>#REF!</v>
      </c>
      <c r="D30" s="905" t="e">
        <f>#REF!/#REF!*100</f>
        <v>#REF!</v>
      </c>
      <c r="E30" s="907">
        <f>B30/$B$49*100</f>
        <v>29.963654484577507</v>
      </c>
    </row>
    <row r="31" spans="1:5" ht="12.75" customHeight="1">
      <c r="A31" s="918"/>
      <c r="B31" s="914"/>
      <c r="C31" s="912"/>
      <c r="D31" s="912"/>
      <c r="E31" s="916"/>
    </row>
    <row r="32" spans="1:5" ht="13.5" customHeight="1" thickBot="1">
      <c r="A32" s="884"/>
      <c r="B32" s="915"/>
      <c r="C32" s="906"/>
      <c r="D32" s="906"/>
      <c r="E32" s="908"/>
    </row>
    <row r="33" spans="1:5" ht="12.75" customHeight="1">
      <c r="A33" s="917" t="s">
        <v>243</v>
      </c>
      <c r="B33" s="913">
        <f>'Dochody-ukł.wykon.'!G287</f>
        <v>3367149</v>
      </c>
      <c r="C33" s="905" t="e">
        <f>B33/#REF!*100</f>
        <v>#REF!</v>
      </c>
      <c r="D33" s="905" t="e">
        <f>#REF!/#REF!*100</f>
        <v>#REF!</v>
      </c>
      <c r="E33" s="907">
        <f>B33/$B$49*100</f>
        <v>8.735617935767536</v>
      </c>
    </row>
    <row r="34" spans="1:5" ht="9.75" customHeight="1">
      <c r="A34" s="918"/>
      <c r="B34" s="914"/>
      <c r="C34" s="912"/>
      <c r="D34" s="912"/>
      <c r="E34" s="916"/>
    </row>
    <row r="35" spans="1:5" ht="12" customHeight="1">
      <c r="A35" s="872"/>
      <c r="B35" s="871"/>
      <c r="C35" s="873"/>
      <c r="D35" s="873"/>
      <c r="E35" s="874"/>
    </row>
    <row r="36" spans="1:5" ht="12.75" customHeight="1">
      <c r="A36" s="885" t="s">
        <v>513</v>
      </c>
      <c r="B36" s="888">
        <f>'Dochody-ukł.wykon.'!G288</f>
        <v>3685894</v>
      </c>
      <c r="C36" s="875" t="e">
        <f>B36/#REF!*100</f>
        <v>#REF!</v>
      </c>
      <c r="D36" s="875" t="e">
        <f>#REF!/#REF!*100</f>
        <v>#REF!</v>
      </c>
      <c r="E36" s="876">
        <f>B36/$B$49*100</f>
        <v>9.562559226139964</v>
      </c>
    </row>
    <row r="37" spans="1:5" ht="12" customHeight="1">
      <c r="A37" s="886"/>
      <c r="B37" s="914"/>
      <c r="C37" s="912"/>
      <c r="D37" s="912"/>
      <c r="E37" s="916"/>
    </row>
    <row r="38" spans="1:5" ht="9.75" customHeight="1">
      <c r="A38" s="887"/>
      <c r="B38" s="871"/>
      <c r="C38" s="873"/>
      <c r="D38" s="873"/>
      <c r="E38" s="874"/>
    </row>
    <row r="39" spans="1:5" ht="12.75" customHeight="1">
      <c r="A39" s="885" t="s">
        <v>592</v>
      </c>
      <c r="B39" s="888">
        <f>'Dochody-ukł.wykon.'!G289</f>
        <v>4496465</v>
      </c>
      <c r="C39" s="875" t="e">
        <f>B39/#REF!*100</f>
        <v>#REF!</v>
      </c>
      <c r="D39" s="875" t="e">
        <f>#REF!/#REF!*100</f>
        <v>#REF!</v>
      </c>
      <c r="E39" s="876">
        <f>B39/$B$49*100</f>
        <v>11.665477322670004</v>
      </c>
    </row>
    <row r="40" spans="1:5" ht="9.75" customHeight="1">
      <c r="A40" s="886"/>
      <c r="B40" s="914"/>
      <c r="C40" s="912"/>
      <c r="D40" s="912"/>
      <c r="E40" s="916"/>
    </row>
    <row r="41" spans="1:5" ht="12" customHeight="1">
      <c r="A41" s="887"/>
      <c r="B41" s="871"/>
      <c r="C41" s="873"/>
      <c r="D41" s="873"/>
      <c r="E41" s="874"/>
    </row>
    <row r="42" spans="1:5" ht="12.75" customHeight="1">
      <c r="A42" s="868" t="s">
        <v>538</v>
      </c>
      <c r="B42" s="869">
        <f>'Dochody-ukł.wykon.'!G290</f>
        <v>0</v>
      </c>
      <c r="C42" s="875">
        <v>0</v>
      </c>
      <c r="D42" s="875" t="e">
        <f>#REF!/#REF!*100</f>
        <v>#REF!</v>
      </c>
      <c r="E42" s="876">
        <f>B42/$B$49*100</f>
        <v>0</v>
      </c>
    </row>
    <row r="43" spans="1:5" ht="9.75" customHeight="1">
      <c r="A43" s="918"/>
      <c r="B43" s="910"/>
      <c r="C43" s="912"/>
      <c r="D43" s="912"/>
      <c r="E43" s="916"/>
    </row>
    <row r="44" spans="1:5" ht="12" customHeight="1">
      <c r="A44" s="872"/>
      <c r="B44" s="870"/>
      <c r="C44" s="873"/>
      <c r="D44" s="873"/>
      <c r="E44" s="874"/>
    </row>
    <row r="45" spans="1:5" ht="12" customHeight="1">
      <c r="A45" s="868" t="s">
        <v>57</v>
      </c>
      <c r="B45" s="869">
        <f>B30+B27</f>
        <v>28275895</v>
      </c>
      <c r="C45" s="875" t="e">
        <f>B45/#REF!*100</f>
        <v>#REF!</v>
      </c>
      <c r="D45" s="875" t="e">
        <f>#REF!/#REF!*100</f>
        <v>#REF!</v>
      </c>
      <c r="E45" s="876">
        <f>B45/$B$49*100</f>
        <v>73.35802945218035</v>
      </c>
    </row>
    <row r="46" spans="1:5" ht="12" customHeight="1">
      <c r="A46" s="918"/>
      <c r="B46" s="910"/>
      <c r="C46" s="912"/>
      <c r="D46" s="912"/>
      <c r="E46" s="916"/>
    </row>
    <row r="47" spans="1:5" ht="12" customHeight="1">
      <c r="A47" s="872"/>
      <c r="B47" s="870"/>
      <c r="C47" s="873"/>
      <c r="D47" s="873"/>
      <c r="E47" s="874"/>
    </row>
    <row r="48" spans="1:5" ht="25.5" customHeight="1" thickBot="1">
      <c r="A48" s="471" t="s">
        <v>684</v>
      </c>
      <c r="B48" s="324">
        <f>'Dochody-ukł.wykon.'!G291</f>
        <v>725470</v>
      </c>
      <c r="C48" s="523" t="e">
        <f>B48/#REF!*100</f>
        <v>#REF!</v>
      </c>
      <c r="D48" s="523" t="e">
        <f>#REF!/#REF!*100</f>
        <v>#REF!</v>
      </c>
      <c r="E48" s="524">
        <f>B48/$B$49*100</f>
        <v>1.8821349289447171</v>
      </c>
    </row>
    <row r="49" spans="1:5" ht="36" customHeight="1" thickBot="1">
      <c r="A49" s="288" t="s">
        <v>685</v>
      </c>
      <c r="B49" s="251">
        <f>B45+B25+B48</f>
        <v>38545058</v>
      </c>
      <c r="C49" s="309" t="e">
        <f>B49/#REF!*100</f>
        <v>#REF!</v>
      </c>
      <c r="D49" s="309" t="e">
        <f>#REF!/#REF!*100</f>
        <v>#REF!</v>
      </c>
      <c r="E49" s="310">
        <f>B49/$B$49*100</f>
        <v>100</v>
      </c>
    </row>
  </sheetData>
  <mergeCells count="58">
    <mergeCell ref="E45:E47"/>
    <mergeCell ref="A42:A44"/>
    <mergeCell ref="B42:B44"/>
    <mergeCell ref="C42:C44"/>
    <mergeCell ref="A45:A47"/>
    <mergeCell ref="B45:B47"/>
    <mergeCell ref="C45:C47"/>
    <mergeCell ref="D45:D47"/>
    <mergeCell ref="C36:C38"/>
    <mergeCell ref="D36:D38"/>
    <mergeCell ref="D42:D44"/>
    <mergeCell ref="E36:E38"/>
    <mergeCell ref="E39:E41"/>
    <mergeCell ref="E42:E44"/>
    <mergeCell ref="A39:A41"/>
    <mergeCell ref="B39:B41"/>
    <mergeCell ref="C39:C41"/>
    <mergeCell ref="D39:D41"/>
    <mergeCell ref="A36:A38"/>
    <mergeCell ref="B36:B38"/>
    <mergeCell ref="D30:D32"/>
    <mergeCell ref="E30:E32"/>
    <mergeCell ref="A33:A35"/>
    <mergeCell ref="B33:B35"/>
    <mergeCell ref="C33:C35"/>
    <mergeCell ref="D33:D35"/>
    <mergeCell ref="E33:E35"/>
    <mergeCell ref="A30:A32"/>
    <mergeCell ref="B30:B32"/>
    <mergeCell ref="C30:C32"/>
    <mergeCell ref="E16:E18"/>
    <mergeCell ref="A27:A29"/>
    <mergeCell ref="B27:B29"/>
    <mergeCell ref="C27:C29"/>
    <mergeCell ref="D27:D29"/>
    <mergeCell ref="E27:E29"/>
    <mergeCell ref="A16:A18"/>
    <mergeCell ref="D16:D18"/>
    <mergeCell ref="B16:B18"/>
    <mergeCell ref="C16:C18"/>
    <mergeCell ref="D13:D14"/>
    <mergeCell ref="B12:B14"/>
    <mergeCell ref="C25:C26"/>
    <mergeCell ref="D25:D26"/>
    <mergeCell ref="E25:E26"/>
    <mergeCell ref="C22:C23"/>
    <mergeCell ref="D22:D23"/>
    <mergeCell ref="E22:E23"/>
    <mergeCell ref="A22:A23"/>
    <mergeCell ref="B22:B23"/>
    <mergeCell ref="B25:B26"/>
    <mergeCell ref="A25:A26"/>
    <mergeCell ref="A9:E9"/>
    <mergeCell ref="A11:E11"/>
    <mergeCell ref="A12:A14"/>
    <mergeCell ref="E13:E14"/>
    <mergeCell ref="D12:E12"/>
    <mergeCell ref="C12:C14"/>
  </mergeCells>
  <printOptions horizontalCentered="1"/>
  <pageMargins left="0.38" right="0.3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6">
      <selection activeCell="E31" sqref="E31"/>
    </sheetView>
  </sheetViews>
  <sheetFormatPr defaultColWidth="9.00390625" defaultRowHeight="12.75"/>
  <cols>
    <col min="1" max="1" width="6.875" style="9" customWidth="1"/>
    <col min="2" max="2" width="44.125" style="9" customWidth="1"/>
    <col min="3" max="3" width="15.125" style="9" customWidth="1"/>
    <col min="4" max="4" width="15.125" style="9" hidden="1" customWidth="1"/>
    <col min="5" max="5" width="14.875" style="9" customWidth="1"/>
    <col min="6" max="16384" width="9.125" style="9" customWidth="1"/>
  </cols>
  <sheetData>
    <row r="1" spans="3:5" ht="12">
      <c r="C1" s="10" t="s">
        <v>296</v>
      </c>
      <c r="D1" s="10" t="s">
        <v>296</v>
      </c>
      <c r="E1" s="10"/>
    </row>
    <row r="2" spans="2:5" ht="12">
      <c r="B2" s="13"/>
      <c r="C2" s="10" t="s">
        <v>276</v>
      </c>
      <c r="D2" s="10" t="s">
        <v>276</v>
      </c>
      <c r="E2" s="10"/>
    </row>
    <row r="3" spans="2:5" ht="12">
      <c r="B3" s="13"/>
      <c r="C3" s="10" t="s">
        <v>49</v>
      </c>
      <c r="D3" s="10" t="s">
        <v>49</v>
      </c>
      <c r="E3" s="10"/>
    </row>
    <row r="4" spans="2:5" ht="12">
      <c r="B4" s="13"/>
      <c r="C4" s="10" t="s">
        <v>666</v>
      </c>
      <c r="D4" s="10" t="s">
        <v>472</v>
      </c>
      <c r="E4" s="11"/>
    </row>
    <row r="5" spans="2:5" ht="9.75">
      <c r="B5" s="13"/>
      <c r="C5" s="11"/>
      <c r="D5" s="11"/>
      <c r="E5" s="11"/>
    </row>
    <row r="6" spans="2:5" ht="9.75">
      <c r="B6" s="13"/>
      <c r="C6" s="11"/>
      <c r="D6" s="11"/>
      <c r="E6" s="11"/>
    </row>
    <row r="7" spans="2:5" ht="9.75">
      <c r="B7" s="13"/>
      <c r="C7" s="11"/>
      <c r="D7" s="11"/>
      <c r="E7" s="11"/>
    </row>
    <row r="8" spans="3:5" ht="9.75">
      <c r="C8" s="11"/>
      <c r="D8" s="11"/>
      <c r="E8" s="11"/>
    </row>
    <row r="9" spans="1:5" ht="12.75" customHeight="1">
      <c r="A9" s="982" t="s">
        <v>562</v>
      </c>
      <c r="B9" s="982"/>
      <c r="C9" s="982"/>
      <c r="D9" s="982"/>
      <c r="E9" s="982"/>
    </row>
    <row r="10" spans="2:4" ht="9.75">
      <c r="B10" s="13"/>
      <c r="C10" s="106"/>
      <c r="D10" s="106"/>
    </row>
    <row r="11" spans="2:4" ht="9.75">
      <c r="B11" s="13"/>
      <c r="C11" s="61"/>
      <c r="D11" s="61"/>
    </row>
    <row r="12" spans="1:5" ht="10.5" thickBot="1">
      <c r="A12" s="11"/>
      <c r="B12" s="11"/>
      <c r="C12" s="15"/>
      <c r="D12" s="15"/>
      <c r="E12" s="37" t="s">
        <v>297</v>
      </c>
    </row>
    <row r="13" spans="1:5" ht="12.75">
      <c r="A13" s="108"/>
      <c r="B13" s="112"/>
      <c r="C13" s="113" t="s">
        <v>298</v>
      </c>
      <c r="D13" s="113" t="s">
        <v>537</v>
      </c>
      <c r="E13" s="230" t="s">
        <v>299</v>
      </c>
    </row>
    <row r="14" spans="1:5" ht="12.75">
      <c r="A14" s="115" t="s">
        <v>300</v>
      </c>
      <c r="B14" s="2" t="s">
        <v>301</v>
      </c>
      <c r="C14" s="5" t="s">
        <v>302</v>
      </c>
      <c r="D14" s="5" t="s">
        <v>532</v>
      </c>
      <c r="E14" s="311" t="s">
        <v>303</v>
      </c>
    </row>
    <row r="15" spans="1:5" ht="13.5" thickBot="1">
      <c r="A15" s="117"/>
      <c r="B15" s="118"/>
      <c r="C15" s="107" t="s">
        <v>304</v>
      </c>
      <c r="D15" s="107" t="s">
        <v>533</v>
      </c>
      <c r="E15" s="270" t="s">
        <v>491</v>
      </c>
    </row>
    <row r="16" spans="1:5" ht="13.5" thickBot="1">
      <c r="A16" s="16">
        <v>1</v>
      </c>
      <c r="B16" s="99">
        <v>2</v>
      </c>
      <c r="C16" s="99">
        <v>3</v>
      </c>
      <c r="D16" s="99">
        <v>4</v>
      </c>
      <c r="E16" s="100">
        <v>4</v>
      </c>
    </row>
    <row r="17" spans="1:5" ht="12.75">
      <c r="A17" s="58" t="s">
        <v>305</v>
      </c>
      <c r="B17" s="6" t="s">
        <v>306</v>
      </c>
      <c r="C17" s="5"/>
      <c r="D17" s="72">
        <v>32862193</v>
      </c>
      <c r="E17" s="312">
        <f>'Dochody zał.1'!B49</f>
        <v>38545058</v>
      </c>
    </row>
    <row r="18" spans="1:5" ht="12.75">
      <c r="A18" s="120" t="s">
        <v>307</v>
      </c>
      <c r="B18" s="121" t="s">
        <v>308</v>
      </c>
      <c r="C18" s="571"/>
      <c r="D18" s="319">
        <v>34320937</v>
      </c>
      <c r="E18" s="313">
        <f>'WYDATKI ukł.wyk.'!G591</f>
        <v>38924107</v>
      </c>
    </row>
    <row r="19" spans="1:7" ht="12.75">
      <c r="A19" s="120"/>
      <c r="B19" s="121" t="s">
        <v>309</v>
      </c>
      <c r="C19" s="571"/>
      <c r="D19" s="319">
        <f>D17-D18</f>
        <v>-1458744</v>
      </c>
      <c r="E19" s="313">
        <f>E17-E18</f>
        <v>-379049</v>
      </c>
      <c r="G19" s="22">
        <f>E19+E20</f>
        <v>0</v>
      </c>
    </row>
    <row r="20" spans="1:5" ht="13.5" thickBot="1">
      <c r="A20" s="102"/>
      <c r="B20" s="122" t="s">
        <v>310</v>
      </c>
      <c r="C20" s="103"/>
      <c r="D20" s="320">
        <f>D21-D31</f>
        <v>3489592</v>
      </c>
      <c r="E20" s="314">
        <f>E21-E31</f>
        <v>379049</v>
      </c>
    </row>
    <row r="21" spans="1:5" ht="13.5" thickBot="1">
      <c r="A21" s="123" t="s">
        <v>311</v>
      </c>
      <c r="B21" s="124" t="s">
        <v>312</v>
      </c>
      <c r="C21" s="99"/>
      <c r="D21" s="321">
        <f>SUM(D22:D30)</f>
        <v>3922047</v>
      </c>
      <c r="E21" s="315">
        <f>SUM(E22:E30)</f>
        <v>1068122</v>
      </c>
    </row>
    <row r="22" spans="1:5" ht="12.75">
      <c r="A22" s="55" t="s">
        <v>313</v>
      </c>
      <c r="B22" s="51" t="s">
        <v>314</v>
      </c>
      <c r="C22" s="56" t="s">
        <v>315</v>
      </c>
      <c r="D22" s="71">
        <v>1161405</v>
      </c>
      <c r="E22" s="316">
        <f>800000+127418</f>
        <v>927418</v>
      </c>
    </row>
    <row r="23" spans="1:5" ht="12.75">
      <c r="A23" s="55" t="s">
        <v>316</v>
      </c>
      <c r="B23" s="121" t="s">
        <v>317</v>
      </c>
      <c r="C23" s="56" t="s">
        <v>315</v>
      </c>
      <c r="D23" s="71"/>
      <c r="E23" s="316"/>
    </row>
    <row r="24" spans="1:5" ht="25.5">
      <c r="A24" s="514" t="s">
        <v>318</v>
      </c>
      <c r="B24" s="513" t="s">
        <v>563</v>
      </c>
      <c r="C24" s="572" t="s">
        <v>564</v>
      </c>
      <c r="D24" s="515"/>
      <c r="E24" s="516"/>
    </row>
    <row r="25" spans="1:5" ht="12.75">
      <c r="A25" s="55" t="s">
        <v>321</v>
      </c>
      <c r="B25" s="121" t="s">
        <v>319</v>
      </c>
      <c r="C25" s="56" t="s">
        <v>565</v>
      </c>
      <c r="D25" s="71"/>
      <c r="E25" s="316"/>
    </row>
    <row r="26" spans="1:5" ht="12.75">
      <c r="A26" s="55" t="s">
        <v>324</v>
      </c>
      <c r="B26" s="121" t="s">
        <v>322</v>
      </c>
      <c r="C26" s="56" t="s">
        <v>323</v>
      </c>
      <c r="D26" s="71"/>
      <c r="E26" s="316"/>
    </row>
    <row r="27" spans="1:5" ht="12.75">
      <c r="A27" s="55" t="s">
        <v>327</v>
      </c>
      <c r="B27" s="121" t="s">
        <v>325</v>
      </c>
      <c r="C27" s="56" t="s">
        <v>326</v>
      </c>
      <c r="D27" s="71">
        <v>2760642</v>
      </c>
      <c r="E27" s="316"/>
    </row>
    <row r="28" spans="1:5" ht="12.75">
      <c r="A28" s="55" t="s">
        <v>329</v>
      </c>
      <c r="B28" s="121" t="s">
        <v>566</v>
      </c>
      <c r="C28" s="56" t="s">
        <v>567</v>
      </c>
      <c r="D28" s="71"/>
      <c r="E28" s="316"/>
    </row>
    <row r="29" spans="1:5" ht="12.75">
      <c r="A29" s="55" t="s">
        <v>356</v>
      </c>
      <c r="B29" s="121" t="s">
        <v>568</v>
      </c>
      <c r="C29" s="56" t="s">
        <v>328</v>
      </c>
      <c r="D29" s="71"/>
      <c r="E29" s="316"/>
    </row>
    <row r="30" spans="1:7" ht="13.5" thickBot="1">
      <c r="A30" s="55" t="s">
        <v>569</v>
      </c>
      <c r="B30" s="122" t="s">
        <v>570</v>
      </c>
      <c r="C30" s="103" t="s">
        <v>320</v>
      </c>
      <c r="D30" s="322"/>
      <c r="E30" s="317">
        <v>140704</v>
      </c>
      <c r="G30" s="22"/>
    </row>
    <row r="31" spans="1:5" ht="13.5" thickBot="1">
      <c r="A31" s="123" t="s">
        <v>330</v>
      </c>
      <c r="B31" s="124" t="s">
        <v>331</v>
      </c>
      <c r="C31" s="99"/>
      <c r="D31" s="321">
        <f>SUM(D32:D39)</f>
        <v>432455</v>
      </c>
      <c r="E31" s="315">
        <f>SUM(E32:E39)</f>
        <v>689073</v>
      </c>
    </row>
    <row r="32" spans="1:5" ht="12.75">
      <c r="A32" s="518" t="s">
        <v>313</v>
      </c>
      <c r="B32" s="519" t="s">
        <v>571</v>
      </c>
      <c r="C32" s="573" t="s">
        <v>332</v>
      </c>
      <c r="D32" s="520">
        <v>27457</v>
      </c>
      <c r="E32" s="312">
        <v>522825</v>
      </c>
    </row>
    <row r="33" spans="1:5" ht="12.75">
      <c r="A33" s="55" t="s">
        <v>316</v>
      </c>
      <c r="B33" s="51" t="s">
        <v>333</v>
      </c>
      <c r="C33" s="56" t="s">
        <v>574</v>
      </c>
      <c r="D33" s="71">
        <v>200000</v>
      </c>
      <c r="E33" s="316">
        <v>15000</v>
      </c>
    </row>
    <row r="34" spans="1:5" ht="12.75">
      <c r="A34" s="55" t="s">
        <v>318</v>
      </c>
      <c r="B34" s="121" t="s">
        <v>335</v>
      </c>
      <c r="C34" s="56" t="s">
        <v>332</v>
      </c>
      <c r="D34" s="71">
        <v>204998</v>
      </c>
      <c r="E34" s="316">
        <f>151248</f>
        <v>151248</v>
      </c>
    </row>
    <row r="35" spans="1:5" ht="38.25">
      <c r="A35" s="514" t="s">
        <v>321</v>
      </c>
      <c r="B35" s="517" t="s">
        <v>572</v>
      </c>
      <c r="C35" s="572" t="s">
        <v>573</v>
      </c>
      <c r="D35" s="515"/>
      <c r="E35" s="516"/>
    </row>
    <row r="36" spans="1:5" ht="12.75">
      <c r="A36" s="55" t="s">
        <v>324</v>
      </c>
      <c r="B36" s="121" t="s">
        <v>336</v>
      </c>
      <c r="C36" s="56" t="s">
        <v>337</v>
      </c>
      <c r="D36" s="71"/>
      <c r="E36" s="318"/>
    </row>
    <row r="37" spans="1:5" ht="12.75">
      <c r="A37" s="55" t="s">
        <v>327</v>
      </c>
      <c r="B37" s="121" t="s">
        <v>338</v>
      </c>
      <c r="C37" s="56" t="s">
        <v>339</v>
      </c>
      <c r="D37" s="71"/>
      <c r="E37" s="313"/>
    </row>
    <row r="38" spans="1:5" ht="12.75">
      <c r="A38" s="55" t="s">
        <v>329</v>
      </c>
      <c r="B38" s="122" t="s">
        <v>575</v>
      </c>
      <c r="C38" s="5" t="s">
        <v>576</v>
      </c>
      <c r="D38" s="72"/>
      <c r="E38" s="317"/>
    </row>
    <row r="39" spans="1:5" ht="13.5" thickBot="1">
      <c r="A39" s="117" t="s">
        <v>356</v>
      </c>
      <c r="B39" s="125" t="s">
        <v>340</v>
      </c>
      <c r="C39" s="574" t="s">
        <v>334</v>
      </c>
      <c r="D39" s="320"/>
      <c r="E39" s="314"/>
    </row>
    <row r="40" spans="4:5" ht="9.75">
      <c r="D40" s="14"/>
      <c r="E40" s="14"/>
    </row>
    <row r="41" spans="4:5" ht="9.75">
      <c r="D41" s="14"/>
      <c r="E41" s="14"/>
    </row>
    <row r="42" spans="4:5" ht="9.75">
      <c r="D42" s="14"/>
      <c r="E42" s="14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4">
      <selection activeCell="O31" sqref="O31"/>
    </sheetView>
  </sheetViews>
  <sheetFormatPr defaultColWidth="9.00390625" defaultRowHeight="12.75"/>
  <cols>
    <col min="1" max="1" width="3.375" style="9" customWidth="1"/>
    <col min="2" max="2" width="35.75390625" style="9" customWidth="1"/>
    <col min="3" max="3" width="10.875" style="9" customWidth="1"/>
    <col min="4" max="30" width="9.625" style="9" customWidth="1"/>
    <col min="31" max="42" width="10.125" style="9" customWidth="1"/>
    <col min="43" max="16384" width="9.125" style="9" customWidth="1"/>
  </cols>
  <sheetData>
    <row r="1" spans="4:25" ht="12">
      <c r="D1" s="11"/>
      <c r="F1" s="69"/>
      <c r="K1" s="10" t="s">
        <v>468</v>
      </c>
      <c r="Y1" s="10" t="s">
        <v>468</v>
      </c>
    </row>
    <row r="2" spans="1:25" ht="12">
      <c r="A2" s="126"/>
      <c r="B2" s="127"/>
      <c r="C2" s="126"/>
      <c r="D2" s="11"/>
      <c r="F2" s="69"/>
      <c r="K2" s="10" t="s">
        <v>341</v>
      </c>
      <c r="Y2" s="10" t="s">
        <v>341</v>
      </c>
    </row>
    <row r="3" spans="1:25" ht="12">
      <c r="A3" s="126"/>
      <c r="B3" s="127"/>
      <c r="D3" s="11"/>
      <c r="F3" s="69"/>
      <c r="K3" s="10" t="s">
        <v>49</v>
      </c>
      <c r="Y3" s="10" t="s">
        <v>49</v>
      </c>
    </row>
    <row r="4" spans="1:25" ht="12">
      <c r="A4" s="126"/>
      <c r="B4" s="127"/>
      <c r="D4" s="11"/>
      <c r="F4" s="69"/>
      <c r="K4" s="10" t="s">
        <v>667</v>
      </c>
      <c r="Y4" s="10" t="s">
        <v>667</v>
      </c>
    </row>
    <row r="5" spans="1:6" ht="12">
      <c r="A5" s="126"/>
      <c r="B5" s="127"/>
      <c r="D5" s="11"/>
      <c r="E5" s="10"/>
      <c r="F5" s="69"/>
    </row>
    <row r="6" spans="1:5" ht="9.75">
      <c r="A6" s="126"/>
      <c r="B6" s="127"/>
      <c r="D6" s="11"/>
      <c r="E6" s="11"/>
    </row>
    <row r="7" spans="1:5" ht="9.75">
      <c r="A7" s="126"/>
      <c r="B7" s="127"/>
      <c r="D7" s="11"/>
      <c r="E7" s="11"/>
    </row>
    <row r="8" spans="1:5" ht="9.75">
      <c r="A8" s="126"/>
      <c r="B8" s="127"/>
      <c r="D8" s="11"/>
      <c r="E8" s="11"/>
    </row>
    <row r="9" spans="1:6" ht="9.75">
      <c r="A9" s="126"/>
      <c r="B9" s="127"/>
      <c r="D9" s="128"/>
      <c r="E9" s="126"/>
      <c r="F9" s="126"/>
    </row>
    <row r="10" spans="2:27" ht="12.75" customHeight="1">
      <c r="B10" s="950" t="s">
        <v>577</v>
      </c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 t="s">
        <v>577</v>
      </c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</row>
    <row r="11" spans="1:6" ht="9.75">
      <c r="A11" s="126"/>
      <c r="B11" s="129"/>
      <c r="C11" s="126"/>
      <c r="D11" s="126"/>
      <c r="E11" s="126"/>
      <c r="F11" s="126"/>
    </row>
    <row r="12" spans="1:6" ht="9.75">
      <c r="A12" s="126"/>
      <c r="B12" s="129"/>
      <c r="C12" s="126"/>
      <c r="D12" s="126"/>
      <c r="E12" s="126"/>
      <c r="F12" s="126"/>
    </row>
    <row r="13" spans="1:6" ht="9.75">
      <c r="A13" s="126"/>
      <c r="B13" s="127"/>
      <c r="C13" s="126"/>
      <c r="D13" s="126"/>
      <c r="E13" s="126"/>
      <c r="F13" s="126"/>
    </row>
    <row r="14" spans="13:27" ht="10.5" thickBot="1">
      <c r="M14" s="37" t="s">
        <v>297</v>
      </c>
      <c r="AA14" s="37" t="s">
        <v>297</v>
      </c>
    </row>
    <row r="15" spans="1:27" ht="12.75" customHeight="1">
      <c r="A15" s="130"/>
      <c r="B15" s="131"/>
      <c r="C15" s="131"/>
      <c r="D15" s="997" t="s">
        <v>342</v>
      </c>
      <c r="E15" s="970"/>
      <c r="F15" s="970"/>
      <c r="G15" s="970"/>
      <c r="H15" s="970"/>
      <c r="I15" s="970"/>
      <c r="J15" s="970"/>
      <c r="K15" s="970"/>
      <c r="L15" s="970"/>
      <c r="M15" s="971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57"/>
    </row>
    <row r="16" spans="1:27" ht="12">
      <c r="A16" s="95"/>
      <c r="B16" s="132" t="s">
        <v>343</v>
      </c>
      <c r="C16" s="132" t="s">
        <v>74</v>
      </c>
      <c r="D16" s="133"/>
      <c r="E16" s="133"/>
      <c r="F16" s="530"/>
      <c r="G16" s="534"/>
      <c r="H16" s="530"/>
      <c r="I16" s="534"/>
      <c r="J16" s="530"/>
      <c r="K16" s="534"/>
      <c r="L16" s="530"/>
      <c r="M16" s="530"/>
      <c r="N16" s="530"/>
      <c r="O16" s="534"/>
      <c r="P16" s="530"/>
      <c r="Q16" s="534"/>
      <c r="R16" s="530"/>
      <c r="S16" s="534"/>
      <c r="T16" s="530"/>
      <c r="U16" s="534"/>
      <c r="V16" s="530"/>
      <c r="W16" s="534"/>
      <c r="X16" s="530"/>
      <c r="Y16" s="534"/>
      <c r="Z16" s="530"/>
      <c r="AA16" s="527"/>
    </row>
    <row r="17" spans="1:27" ht="12">
      <c r="A17" s="134" t="s">
        <v>344</v>
      </c>
      <c r="B17" s="132" t="s">
        <v>345</v>
      </c>
      <c r="C17" s="132" t="s">
        <v>346</v>
      </c>
      <c r="D17" s="132">
        <v>2006</v>
      </c>
      <c r="E17" s="132">
        <v>2007</v>
      </c>
      <c r="F17" s="531">
        <v>2008</v>
      </c>
      <c r="G17" s="132">
        <v>2009</v>
      </c>
      <c r="H17" s="531">
        <v>2010</v>
      </c>
      <c r="I17" s="532">
        <v>2011</v>
      </c>
      <c r="J17" s="531">
        <v>2012</v>
      </c>
      <c r="K17" s="532">
        <v>2013</v>
      </c>
      <c r="L17" s="531">
        <v>2014</v>
      </c>
      <c r="M17" s="531">
        <v>2015</v>
      </c>
      <c r="N17" s="531">
        <v>2016</v>
      </c>
      <c r="O17" s="532">
        <v>2017</v>
      </c>
      <c r="P17" s="531">
        <v>2018</v>
      </c>
      <c r="Q17" s="532">
        <v>2019</v>
      </c>
      <c r="R17" s="531">
        <v>2020</v>
      </c>
      <c r="S17" s="532">
        <v>2021</v>
      </c>
      <c r="T17" s="531">
        <v>2022</v>
      </c>
      <c r="U17" s="532">
        <v>2023</v>
      </c>
      <c r="V17" s="531">
        <v>2024</v>
      </c>
      <c r="W17" s="532">
        <v>2025</v>
      </c>
      <c r="X17" s="531">
        <v>2026</v>
      </c>
      <c r="Y17" s="532">
        <v>2027</v>
      </c>
      <c r="Z17" s="531">
        <v>2028</v>
      </c>
      <c r="AA17" s="528">
        <v>2029</v>
      </c>
    </row>
    <row r="18" spans="1:27" ht="12">
      <c r="A18" s="95"/>
      <c r="B18" s="133"/>
      <c r="C18" s="132" t="s">
        <v>515</v>
      </c>
      <c r="D18" s="133"/>
      <c r="E18" s="133"/>
      <c r="F18" s="90"/>
      <c r="G18" s="10"/>
      <c r="H18" s="90"/>
      <c r="I18" s="10"/>
      <c r="J18" s="90"/>
      <c r="K18" s="10"/>
      <c r="L18" s="90"/>
      <c r="M18" s="90"/>
      <c r="N18" s="90"/>
      <c r="O18" s="10"/>
      <c r="P18" s="90"/>
      <c r="Q18" s="10"/>
      <c r="R18" s="90"/>
      <c r="S18" s="10"/>
      <c r="T18" s="90"/>
      <c r="U18" s="10"/>
      <c r="V18" s="90"/>
      <c r="W18" s="10"/>
      <c r="X18" s="90"/>
      <c r="Y18" s="10"/>
      <c r="Z18" s="90"/>
      <c r="AA18" s="529"/>
    </row>
    <row r="19" spans="1:27" ht="12.75" thickBot="1">
      <c r="A19" s="97"/>
      <c r="B19" s="135"/>
      <c r="C19" s="136"/>
      <c r="D19" s="135"/>
      <c r="E19" s="135"/>
      <c r="F19" s="94"/>
      <c r="G19" s="232"/>
      <c r="H19" s="94"/>
      <c r="I19" s="232"/>
      <c r="J19" s="94"/>
      <c r="K19" s="232"/>
      <c r="L19" s="94"/>
      <c r="M19" s="94"/>
      <c r="N19" s="94"/>
      <c r="O19" s="232"/>
      <c r="P19" s="94"/>
      <c r="Q19" s="232"/>
      <c r="R19" s="94"/>
      <c r="S19" s="232"/>
      <c r="T19" s="94"/>
      <c r="U19" s="232"/>
      <c r="V19" s="94"/>
      <c r="W19" s="232"/>
      <c r="X19" s="94"/>
      <c r="Y19" s="232"/>
      <c r="Z19" s="94"/>
      <c r="AA19" s="98"/>
    </row>
    <row r="20" spans="1:27" s="166" customFormat="1" ht="12" thickBot="1">
      <c r="A20" s="553">
        <v>1</v>
      </c>
      <c r="B20" s="554">
        <v>2</v>
      </c>
      <c r="C20" s="554">
        <v>3</v>
      </c>
      <c r="D20" s="554">
        <v>4</v>
      </c>
      <c r="E20" s="554">
        <v>5</v>
      </c>
      <c r="F20" s="555">
        <v>6</v>
      </c>
      <c r="G20" s="554">
        <v>7</v>
      </c>
      <c r="H20" s="555">
        <v>8</v>
      </c>
      <c r="I20" s="554">
        <v>9</v>
      </c>
      <c r="J20" s="555">
        <v>10</v>
      </c>
      <c r="K20" s="554">
        <v>11</v>
      </c>
      <c r="L20" s="555">
        <v>12</v>
      </c>
      <c r="M20" s="555">
        <v>13</v>
      </c>
      <c r="N20" s="555">
        <v>14</v>
      </c>
      <c r="O20" s="554">
        <v>15</v>
      </c>
      <c r="P20" s="555">
        <v>16</v>
      </c>
      <c r="Q20" s="554">
        <v>17</v>
      </c>
      <c r="R20" s="555">
        <v>18</v>
      </c>
      <c r="S20" s="554">
        <v>19</v>
      </c>
      <c r="T20" s="555">
        <v>20</v>
      </c>
      <c r="U20" s="554">
        <v>21</v>
      </c>
      <c r="V20" s="555">
        <v>22</v>
      </c>
      <c r="W20" s="554">
        <v>23</v>
      </c>
      <c r="X20" s="555">
        <v>24</v>
      </c>
      <c r="Y20" s="554">
        <v>25</v>
      </c>
      <c r="Z20" s="555">
        <v>26</v>
      </c>
      <c r="AA20" s="556">
        <v>27</v>
      </c>
    </row>
    <row r="21" spans="1:27" ht="12.75">
      <c r="A21" s="137" t="s">
        <v>313</v>
      </c>
      <c r="B21" s="133" t="s">
        <v>347</v>
      </c>
      <c r="C21" s="291">
        <v>0</v>
      </c>
      <c r="D21" s="535">
        <v>0</v>
      </c>
      <c r="E21" s="535">
        <v>0</v>
      </c>
      <c r="F21" s="181">
        <v>0</v>
      </c>
      <c r="G21" s="536">
        <v>0</v>
      </c>
      <c r="H21" s="181">
        <v>0</v>
      </c>
      <c r="I21" s="536">
        <v>0</v>
      </c>
      <c r="J21" s="181">
        <v>0</v>
      </c>
      <c r="K21" s="536">
        <v>0</v>
      </c>
      <c r="L21" s="181">
        <v>0</v>
      </c>
      <c r="M21" s="181">
        <v>0</v>
      </c>
      <c r="N21" s="181">
        <v>0</v>
      </c>
      <c r="O21" s="536">
        <v>0</v>
      </c>
      <c r="P21" s="181">
        <v>0</v>
      </c>
      <c r="Q21" s="536">
        <v>0</v>
      </c>
      <c r="R21" s="181">
        <v>0</v>
      </c>
      <c r="S21" s="536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537">
        <v>0</v>
      </c>
    </row>
    <row r="22" spans="1:27" ht="12.75">
      <c r="A22" s="138" t="s">
        <v>316</v>
      </c>
      <c r="B22" s="538" t="s">
        <v>348</v>
      </c>
      <c r="C22" s="720">
        <v>11018970</v>
      </c>
      <c r="D22" s="539">
        <f>C22+'Źrodla fin. 7'!E22-'Źrodla fin. 7'!E32</f>
        <v>11423563</v>
      </c>
      <c r="E22" s="539">
        <v>10885716</v>
      </c>
      <c r="F22" s="540">
        <v>10385424</v>
      </c>
      <c r="G22" s="560">
        <v>9718432</v>
      </c>
      <c r="H22" s="563">
        <v>9051440</v>
      </c>
      <c r="I22" s="560">
        <v>8459220</v>
      </c>
      <c r="J22" s="563">
        <v>7867000</v>
      </c>
      <c r="K22" s="560">
        <v>7274780</v>
      </c>
      <c r="L22" s="563">
        <v>6682560</v>
      </c>
      <c r="M22" s="563">
        <v>6090340</v>
      </c>
      <c r="N22" s="563">
        <v>5498120</v>
      </c>
      <c r="O22" s="560">
        <v>4906200</v>
      </c>
      <c r="P22" s="563">
        <v>4480680</v>
      </c>
      <c r="Q22" s="560">
        <v>4055160</v>
      </c>
      <c r="R22" s="563">
        <v>3629640</v>
      </c>
      <c r="S22" s="560">
        <v>3204120</v>
      </c>
      <c r="T22" s="563">
        <v>2778600</v>
      </c>
      <c r="U22" s="563">
        <v>2353080</v>
      </c>
      <c r="V22" s="563">
        <v>1927560</v>
      </c>
      <c r="W22" s="563">
        <v>1502040</v>
      </c>
      <c r="X22" s="563">
        <v>1076520</v>
      </c>
      <c r="Y22" s="563">
        <v>651000</v>
      </c>
      <c r="Z22" s="563">
        <v>225480</v>
      </c>
      <c r="AA22" s="565">
        <v>0</v>
      </c>
    </row>
    <row r="23" spans="1:27" ht="12.75">
      <c r="A23" s="137" t="s">
        <v>318</v>
      </c>
      <c r="B23" s="133" t="s">
        <v>317</v>
      </c>
      <c r="C23" s="291">
        <v>171248</v>
      </c>
      <c r="D23" s="535">
        <v>20000</v>
      </c>
      <c r="E23" s="535">
        <v>10000</v>
      </c>
      <c r="F23" s="181">
        <v>0</v>
      </c>
      <c r="G23" s="290">
        <v>0</v>
      </c>
      <c r="H23" s="289">
        <v>0</v>
      </c>
      <c r="I23" s="290">
        <v>0</v>
      </c>
      <c r="J23" s="289">
        <v>0</v>
      </c>
      <c r="K23" s="290">
        <v>0</v>
      </c>
      <c r="L23" s="289">
        <v>0</v>
      </c>
      <c r="M23" s="289">
        <v>0</v>
      </c>
      <c r="N23" s="289">
        <v>0</v>
      </c>
      <c r="O23" s="290">
        <v>0</v>
      </c>
      <c r="P23" s="289">
        <v>0</v>
      </c>
      <c r="Q23" s="290">
        <v>0</v>
      </c>
      <c r="R23" s="289">
        <v>0</v>
      </c>
      <c r="S23" s="290">
        <v>0</v>
      </c>
      <c r="T23" s="289">
        <v>0</v>
      </c>
      <c r="U23" s="289">
        <v>0</v>
      </c>
      <c r="V23" s="289">
        <v>0</v>
      </c>
      <c r="W23" s="289">
        <v>0</v>
      </c>
      <c r="X23" s="289">
        <v>0</v>
      </c>
      <c r="Y23" s="289">
        <v>0</v>
      </c>
      <c r="Z23" s="289">
        <v>0</v>
      </c>
      <c r="AA23" s="566">
        <v>0</v>
      </c>
    </row>
    <row r="24" spans="1:27" ht="12.75">
      <c r="A24" s="138" t="s">
        <v>321</v>
      </c>
      <c r="B24" s="538" t="s">
        <v>349</v>
      </c>
      <c r="C24" s="720"/>
      <c r="D24" s="539"/>
      <c r="E24" s="539"/>
      <c r="F24" s="540"/>
      <c r="G24" s="560"/>
      <c r="H24" s="563"/>
      <c r="I24" s="560"/>
      <c r="J24" s="563"/>
      <c r="K24" s="560"/>
      <c r="L24" s="563"/>
      <c r="M24" s="563"/>
      <c r="N24" s="563"/>
      <c r="O24" s="560"/>
      <c r="P24" s="563"/>
      <c r="Q24" s="560"/>
      <c r="R24" s="563"/>
      <c r="S24" s="560"/>
      <c r="T24" s="563"/>
      <c r="U24" s="563"/>
      <c r="V24" s="563"/>
      <c r="W24" s="563"/>
      <c r="X24" s="563"/>
      <c r="Y24" s="563"/>
      <c r="Z24" s="563"/>
      <c r="AA24" s="565"/>
    </row>
    <row r="25" spans="1:27" ht="12.75">
      <c r="A25" s="137" t="s">
        <v>324</v>
      </c>
      <c r="B25" s="133" t="s">
        <v>589</v>
      </c>
      <c r="C25" s="291">
        <v>0</v>
      </c>
      <c r="D25" s="535">
        <f>D28</f>
        <v>0</v>
      </c>
      <c r="E25" s="535">
        <f>E28</f>
        <v>0</v>
      </c>
      <c r="F25" s="181">
        <f>F28</f>
        <v>0</v>
      </c>
      <c r="G25" s="290">
        <f>G28</f>
        <v>0</v>
      </c>
      <c r="H25" s="289">
        <f>H28</f>
        <v>0</v>
      </c>
      <c r="I25" s="290">
        <f aca="true" t="shared" si="0" ref="I25:T25">I28</f>
        <v>0</v>
      </c>
      <c r="J25" s="289">
        <f t="shared" si="0"/>
        <v>0</v>
      </c>
      <c r="K25" s="290">
        <f t="shared" si="0"/>
        <v>0</v>
      </c>
      <c r="L25" s="289">
        <f t="shared" si="0"/>
        <v>0</v>
      </c>
      <c r="M25" s="289">
        <f t="shared" si="0"/>
        <v>0</v>
      </c>
      <c r="N25" s="289">
        <f t="shared" si="0"/>
        <v>0</v>
      </c>
      <c r="O25" s="290">
        <f t="shared" si="0"/>
        <v>0</v>
      </c>
      <c r="P25" s="289">
        <f t="shared" si="0"/>
        <v>0</v>
      </c>
      <c r="Q25" s="290">
        <f t="shared" si="0"/>
        <v>0</v>
      </c>
      <c r="R25" s="289">
        <f t="shared" si="0"/>
        <v>0</v>
      </c>
      <c r="S25" s="290">
        <f t="shared" si="0"/>
        <v>0</v>
      </c>
      <c r="T25" s="289">
        <f t="shared" si="0"/>
        <v>0</v>
      </c>
      <c r="U25" s="289">
        <f aca="true" t="shared" si="1" ref="U25:AA25">U28</f>
        <v>0</v>
      </c>
      <c r="V25" s="289">
        <f t="shared" si="1"/>
        <v>0</v>
      </c>
      <c r="W25" s="289">
        <f t="shared" si="1"/>
        <v>0</v>
      </c>
      <c r="X25" s="289">
        <f t="shared" si="1"/>
        <v>0</v>
      </c>
      <c r="Y25" s="289">
        <f t="shared" si="1"/>
        <v>0</v>
      </c>
      <c r="Z25" s="289">
        <f t="shared" si="1"/>
        <v>0</v>
      </c>
      <c r="AA25" s="566">
        <f t="shared" si="1"/>
        <v>0</v>
      </c>
    </row>
    <row r="26" spans="1:27" ht="12.75">
      <c r="A26" s="137"/>
      <c r="B26" s="538" t="s">
        <v>350</v>
      </c>
      <c r="C26" s="720"/>
      <c r="D26" s="539"/>
      <c r="E26" s="539"/>
      <c r="F26" s="540"/>
      <c r="G26" s="560"/>
      <c r="H26" s="563"/>
      <c r="I26" s="560"/>
      <c r="J26" s="563"/>
      <c r="K26" s="560"/>
      <c r="L26" s="563"/>
      <c r="M26" s="563"/>
      <c r="N26" s="563"/>
      <c r="O26" s="560"/>
      <c r="P26" s="563"/>
      <c r="Q26" s="560"/>
      <c r="R26" s="563"/>
      <c r="S26" s="560"/>
      <c r="T26" s="563"/>
      <c r="U26" s="563"/>
      <c r="V26" s="563"/>
      <c r="W26" s="563"/>
      <c r="X26" s="563"/>
      <c r="Y26" s="563"/>
      <c r="Z26" s="563"/>
      <c r="AA26" s="565"/>
    </row>
    <row r="27" spans="1:27" ht="12.75">
      <c r="A27" s="137"/>
      <c r="B27" s="133" t="s">
        <v>351</v>
      </c>
      <c r="C27" s="291"/>
      <c r="D27" s="535"/>
      <c r="E27" s="535"/>
      <c r="F27" s="181"/>
      <c r="G27" s="290"/>
      <c r="H27" s="289"/>
      <c r="I27" s="290"/>
      <c r="J27" s="289"/>
      <c r="K27" s="290"/>
      <c r="L27" s="289"/>
      <c r="M27" s="289"/>
      <c r="N27" s="289"/>
      <c r="O27" s="290"/>
      <c r="P27" s="289"/>
      <c r="Q27" s="290"/>
      <c r="R27" s="289"/>
      <c r="S27" s="290"/>
      <c r="T27" s="289"/>
      <c r="U27" s="289"/>
      <c r="V27" s="289"/>
      <c r="W27" s="289"/>
      <c r="X27" s="289"/>
      <c r="Y27" s="289"/>
      <c r="Z27" s="289"/>
      <c r="AA27" s="566"/>
    </row>
    <row r="28" spans="1:27" ht="12.75">
      <c r="A28" s="137"/>
      <c r="B28" s="538" t="s">
        <v>352</v>
      </c>
      <c r="C28" s="721"/>
      <c r="D28" s="539"/>
      <c r="E28" s="539"/>
      <c r="F28" s="540"/>
      <c r="G28" s="560"/>
      <c r="H28" s="563"/>
      <c r="I28" s="560"/>
      <c r="J28" s="563"/>
      <c r="K28" s="560"/>
      <c r="L28" s="563"/>
      <c r="M28" s="563"/>
      <c r="N28" s="563"/>
      <c r="O28" s="560"/>
      <c r="P28" s="563"/>
      <c r="Q28" s="560"/>
      <c r="R28" s="563"/>
      <c r="S28" s="560"/>
      <c r="T28" s="563"/>
      <c r="U28" s="563"/>
      <c r="V28" s="563"/>
      <c r="W28" s="563"/>
      <c r="X28" s="563"/>
      <c r="Y28" s="563"/>
      <c r="Z28" s="563"/>
      <c r="AA28" s="565"/>
    </row>
    <row r="29" spans="1:27" ht="12.75">
      <c r="A29" s="137"/>
      <c r="B29" s="541" t="s">
        <v>353</v>
      </c>
      <c r="C29" s="542"/>
      <c r="D29" s="543"/>
      <c r="E29" s="543"/>
      <c r="F29" s="182"/>
      <c r="G29" s="561"/>
      <c r="H29" s="564"/>
      <c r="I29" s="561"/>
      <c r="J29" s="564"/>
      <c r="K29" s="561"/>
      <c r="L29" s="564"/>
      <c r="M29" s="564"/>
      <c r="N29" s="564"/>
      <c r="O29" s="561"/>
      <c r="P29" s="564"/>
      <c r="Q29" s="561"/>
      <c r="R29" s="564"/>
      <c r="S29" s="561"/>
      <c r="T29" s="564"/>
      <c r="U29" s="564"/>
      <c r="V29" s="564"/>
      <c r="W29" s="564"/>
      <c r="X29" s="564"/>
      <c r="Y29" s="564"/>
      <c r="Z29" s="564"/>
      <c r="AA29" s="567"/>
    </row>
    <row r="30" spans="1:27" ht="12.75">
      <c r="A30" s="138" t="s">
        <v>327</v>
      </c>
      <c r="B30" s="541" t="s">
        <v>354</v>
      </c>
      <c r="C30" s="544">
        <f aca="true" t="shared" si="2" ref="C30:H30">SUM(C21:C25)</f>
        <v>11190218</v>
      </c>
      <c r="D30" s="545">
        <f t="shared" si="2"/>
        <v>11443563</v>
      </c>
      <c r="E30" s="545">
        <f t="shared" si="2"/>
        <v>10895716</v>
      </c>
      <c r="F30" s="197">
        <f t="shared" si="2"/>
        <v>10385424</v>
      </c>
      <c r="G30" s="562">
        <f t="shared" si="2"/>
        <v>9718432</v>
      </c>
      <c r="H30" s="428">
        <f t="shared" si="2"/>
        <v>9051440</v>
      </c>
      <c r="I30" s="562">
        <f aca="true" t="shared" si="3" ref="I30:T30">SUM(I21:I25)</f>
        <v>8459220</v>
      </c>
      <c r="J30" s="428">
        <f t="shared" si="3"/>
        <v>7867000</v>
      </c>
      <c r="K30" s="562">
        <f t="shared" si="3"/>
        <v>7274780</v>
      </c>
      <c r="L30" s="428">
        <f t="shared" si="3"/>
        <v>6682560</v>
      </c>
      <c r="M30" s="428">
        <f t="shared" si="3"/>
        <v>6090340</v>
      </c>
      <c r="N30" s="428">
        <f t="shared" si="3"/>
        <v>5498120</v>
      </c>
      <c r="O30" s="562">
        <f t="shared" si="3"/>
        <v>4906200</v>
      </c>
      <c r="P30" s="428">
        <f t="shared" si="3"/>
        <v>4480680</v>
      </c>
      <c r="Q30" s="562">
        <f t="shared" si="3"/>
        <v>4055160</v>
      </c>
      <c r="R30" s="428">
        <f t="shared" si="3"/>
        <v>3629640</v>
      </c>
      <c r="S30" s="562">
        <f t="shared" si="3"/>
        <v>3204120</v>
      </c>
      <c r="T30" s="428">
        <f t="shared" si="3"/>
        <v>2778600</v>
      </c>
      <c r="U30" s="428">
        <f aca="true" t="shared" si="4" ref="U30:AA30">SUM(U21:U25)</f>
        <v>2353080</v>
      </c>
      <c r="V30" s="428">
        <f t="shared" si="4"/>
        <v>1927560</v>
      </c>
      <c r="W30" s="428">
        <f t="shared" si="4"/>
        <v>1502040</v>
      </c>
      <c r="X30" s="428">
        <f t="shared" si="4"/>
        <v>1076520</v>
      </c>
      <c r="Y30" s="428">
        <f t="shared" si="4"/>
        <v>651000</v>
      </c>
      <c r="Z30" s="428">
        <f t="shared" si="4"/>
        <v>225480</v>
      </c>
      <c r="AA30" s="568">
        <f t="shared" si="4"/>
        <v>0</v>
      </c>
    </row>
    <row r="31" spans="1:27" ht="13.5" thickBot="1">
      <c r="A31" s="140" t="s">
        <v>329</v>
      </c>
      <c r="B31" s="533" t="s">
        <v>355</v>
      </c>
      <c r="C31" s="722">
        <v>32826290</v>
      </c>
      <c r="D31" s="569">
        <f>'Dochody zał.1'!B49</f>
        <v>38545058</v>
      </c>
      <c r="E31" s="546">
        <v>35529429</v>
      </c>
      <c r="F31" s="547">
        <v>35995394</v>
      </c>
      <c r="G31" s="558">
        <v>36627756</v>
      </c>
      <c r="H31" s="426">
        <v>37109997</v>
      </c>
      <c r="I31" s="558">
        <v>37599803</v>
      </c>
      <c r="J31" s="426">
        <v>38097312</v>
      </c>
      <c r="K31" s="558">
        <v>38602670</v>
      </c>
      <c r="L31" s="426">
        <v>39116023</v>
      </c>
      <c r="M31" s="426">
        <v>39637522</v>
      </c>
      <c r="N31" s="426">
        <v>40167320</v>
      </c>
      <c r="O31" s="558">
        <v>40705574</v>
      </c>
      <c r="P31" s="426">
        <v>40897640</v>
      </c>
      <c r="Q31" s="558">
        <v>41449740</v>
      </c>
      <c r="R31" s="426">
        <v>42010751</v>
      </c>
      <c r="S31" s="558">
        <v>42533736</v>
      </c>
      <c r="T31" s="426">
        <v>43112610</v>
      </c>
      <c r="U31" s="426">
        <v>43700912</v>
      </c>
      <c r="V31" s="426">
        <v>44298821</v>
      </c>
      <c r="W31" s="426">
        <v>44906524</v>
      </c>
      <c r="X31" s="426">
        <v>45524209</v>
      </c>
      <c r="Y31" s="426">
        <v>46152069</v>
      </c>
      <c r="Z31" s="426">
        <v>46790302</v>
      </c>
      <c r="AA31" s="559">
        <v>47439110</v>
      </c>
    </row>
    <row r="32" spans="1:27" ht="13.5" thickBot="1">
      <c r="A32" s="142" t="s">
        <v>356</v>
      </c>
      <c r="B32" s="548" t="s">
        <v>357</v>
      </c>
      <c r="C32" s="723">
        <f aca="true" t="shared" si="5" ref="C32:H32">C30/C31*100</f>
        <v>34.08919497146952</v>
      </c>
      <c r="D32" s="549">
        <f t="shared" si="5"/>
        <v>29.688794345568244</v>
      </c>
      <c r="E32" s="549">
        <f t="shared" si="5"/>
        <v>30.666735454712768</v>
      </c>
      <c r="F32" s="549">
        <f t="shared" si="5"/>
        <v>28.85209146481353</v>
      </c>
      <c r="G32" s="550">
        <f t="shared" si="5"/>
        <v>26.53297133463486</v>
      </c>
      <c r="H32" s="549">
        <f t="shared" si="5"/>
        <v>24.39084002081703</v>
      </c>
      <c r="I32" s="550">
        <f aca="true" t="shared" si="6" ref="I32:T32">I30/I31*100</f>
        <v>22.498043407301896</v>
      </c>
      <c r="J32" s="549">
        <f t="shared" si="6"/>
        <v>20.649750827564947</v>
      </c>
      <c r="K32" s="550">
        <f t="shared" si="6"/>
        <v>18.84527676453468</v>
      </c>
      <c r="L32" s="549">
        <f t="shared" si="6"/>
        <v>17.083945369395042</v>
      </c>
      <c r="M32" s="549">
        <f t="shared" si="6"/>
        <v>15.36508765608506</v>
      </c>
      <c r="N32" s="549">
        <f t="shared" si="6"/>
        <v>13.688042916480361</v>
      </c>
      <c r="O32" s="550">
        <f t="shared" si="6"/>
        <v>12.052894770627729</v>
      </c>
      <c r="P32" s="549">
        <f t="shared" si="6"/>
        <v>10.9558399946794</v>
      </c>
      <c r="Q32" s="550">
        <f t="shared" si="6"/>
        <v>9.78331830308224</v>
      </c>
      <c r="R32" s="549">
        <f t="shared" si="6"/>
        <v>8.63978841987376</v>
      </c>
      <c r="S32" s="551">
        <f t="shared" si="6"/>
        <v>7.533126175419906</v>
      </c>
      <c r="T32" s="549">
        <f t="shared" si="6"/>
        <v>6.44498210616337</v>
      </c>
      <c r="U32" s="549">
        <f aca="true" t="shared" si="7" ref="U32:AA32">U30/U31*100</f>
        <v>5.38451005324557</v>
      </c>
      <c r="V32" s="549">
        <f t="shared" si="7"/>
        <v>4.351267046136511</v>
      </c>
      <c r="W32" s="549">
        <f t="shared" si="7"/>
        <v>3.3448146643458756</v>
      </c>
      <c r="X32" s="549">
        <f t="shared" si="7"/>
        <v>2.36471983511015</v>
      </c>
      <c r="Y32" s="549">
        <f t="shared" si="7"/>
        <v>1.4105543133938372</v>
      </c>
      <c r="Z32" s="549">
        <f t="shared" si="7"/>
        <v>0.4818947310919259</v>
      </c>
      <c r="AA32" s="552">
        <f t="shared" si="7"/>
        <v>0</v>
      </c>
    </row>
    <row r="33" ht="9.75">
      <c r="C33" s="185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C9">
      <selection activeCell="H26" sqref="H26"/>
    </sheetView>
  </sheetViews>
  <sheetFormatPr defaultColWidth="9.00390625" defaultRowHeight="12.75"/>
  <cols>
    <col min="1" max="1" width="5.625" style="9" customWidth="1"/>
    <col min="2" max="2" width="47.875" style="9" customWidth="1"/>
    <col min="3" max="3" width="7.25390625" style="9" customWidth="1"/>
    <col min="4" max="4" width="9.125" style="9" customWidth="1"/>
    <col min="5" max="5" width="14.00390625" style="9" customWidth="1"/>
    <col min="6" max="6" width="12.375" style="9" customWidth="1"/>
    <col min="7" max="7" width="9.125" style="9" customWidth="1"/>
    <col min="8" max="8" width="10.875" style="9" customWidth="1"/>
    <col min="9" max="9" width="10.75390625" style="9" customWidth="1"/>
    <col min="10" max="10" width="14.875" style="9" customWidth="1"/>
    <col min="11" max="16384" width="9.125" style="9" customWidth="1"/>
  </cols>
  <sheetData>
    <row r="1" ht="12">
      <c r="I1" s="10" t="s">
        <v>358</v>
      </c>
    </row>
    <row r="2" ht="12">
      <c r="I2" s="10" t="s">
        <v>341</v>
      </c>
    </row>
    <row r="3" spans="5:10" ht="12">
      <c r="E3" s="62"/>
      <c r="F3" s="62"/>
      <c r="G3" s="11"/>
      <c r="H3" s="11"/>
      <c r="I3" s="10" t="s">
        <v>49</v>
      </c>
      <c r="J3" s="11"/>
    </row>
    <row r="4" spans="5:10" ht="12">
      <c r="E4" s="62"/>
      <c r="F4" s="62"/>
      <c r="G4" s="11"/>
      <c r="H4" s="11"/>
      <c r="I4" s="10" t="s">
        <v>668</v>
      </c>
      <c r="J4" s="11"/>
    </row>
    <row r="5" spans="5:10" ht="9.75">
      <c r="E5" s="62"/>
      <c r="F5" s="62"/>
      <c r="G5" s="11"/>
      <c r="H5" s="11"/>
      <c r="I5" s="11"/>
      <c r="J5" s="11"/>
    </row>
    <row r="6" spans="5:10" ht="9.75">
      <c r="E6" s="62"/>
      <c r="F6" s="62"/>
      <c r="G6" s="11"/>
      <c r="H6" s="11"/>
      <c r="I6" s="11"/>
      <c r="J6" s="11"/>
    </row>
    <row r="7" spans="5:10" ht="9.75">
      <c r="E7" s="62"/>
      <c r="F7" s="62"/>
      <c r="G7" s="11"/>
      <c r="H7" s="11"/>
      <c r="I7" s="11"/>
      <c r="J7" s="11"/>
    </row>
    <row r="8" spans="5:10" ht="9.75">
      <c r="E8" s="62"/>
      <c r="F8" s="62"/>
      <c r="G8" s="11"/>
      <c r="H8" s="11"/>
      <c r="I8" s="11"/>
      <c r="J8" s="11"/>
    </row>
    <row r="9" spans="2:10" ht="12.75">
      <c r="B9" s="982" t="s">
        <v>578</v>
      </c>
      <c r="C9" s="982"/>
      <c r="D9" s="982"/>
      <c r="E9" s="982"/>
      <c r="F9" s="982"/>
      <c r="G9" s="982"/>
      <c r="H9" s="982"/>
      <c r="I9" s="982"/>
      <c r="J9" s="982"/>
    </row>
    <row r="10" spans="2:10" ht="12">
      <c r="B10" s="998"/>
      <c r="C10" s="998"/>
      <c r="D10" s="998"/>
      <c r="E10" s="998"/>
      <c r="F10" s="998"/>
      <c r="G10" s="998"/>
      <c r="H10" s="998"/>
      <c r="I10" s="998"/>
      <c r="J10" s="998"/>
    </row>
    <row r="11" spans="2:10" ht="12">
      <c r="B11" s="259"/>
      <c r="C11" s="259"/>
      <c r="D11" s="259"/>
      <c r="E11" s="259"/>
      <c r="F11" s="259"/>
      <c r="G11" s="259"/>
      <c r="H11" s="259"/>
      <c r="I11" s="259"/>
      <c r="J11" s="259"/>
    </row>
    <row r="12" spans="2:10" ht="12">
      <c r="B12" s="259"/>
      <c r="C12" s="259"/>
      <c r="D12" s="259"/>
      <c r="E12" s="259"/>
      <c r="F12" s="259"/>
      <c r="G12" s="259"/>
      <c r="H12" s="259"/>
      <c r="I12" s="259"/>
      <c r="J12" s="259"/>
    </row>
    <row r="13" spans="2:4" ht="9.75">
      <c r="B13" s="13"/>
      <c r="C13" s="13"/>
      <c r="D13" s="13"/>
    </row>
    <row r="14" ht="12" thickBot="1">
      <c r="J14" s="521" t="s">
        <v>90</v>
      </c>
    </row>
    <row r="15" spans="1:10" ht="12.75">
      <c r="A15" s="143"/>
      <c r="B15" s="108"/>
      <c r="C15" s="144"/>
      <c r="D15" s="144"/>
      <c r="E15" s="112" t="s">
        <v>359</v>
      </c>
      <c r="F15" s="145" t="s">
        <v>360</v>
      </c>
      <c r="G15" s="146"/>
      <c r="H15" s="145" t="s">
        <v>255</v>
      </c>
      <c r="I15" s="147"/>
      <c r="J15" s="114" t="s">
        <v>359</v>
      </c>
    </row>
    <row r="16" spans="1:10" ht="12.75">
      <c r="A16" s="115" t="s">
        <v>344</v>
      </c>
      <c r="B16" s="115" t="s">
        <v>361</v>
      </c>
      <c r="C16" s="2" t="s">
        <v>58</v>
      </c>
      <c r="D16" s="148" t="s">
        <v>46</v>
      </c>
      <c r="E16" s="2" t="s">
        <v>362</v>
      </c>
      <c r="F16" s="149"/>
      <c r="G16" s="150" t="s">
        <v>363</v>
      </c>
      <c r="H16" s="148"/>
      <c r="I16" s="148" t="s">
        <v>62</v>
      </c>
      <c r="J16" s="116" t="s">
        <v>362</v>
      </c>
    </row>
    <row r="17" spans="1:10" ht="12.75">
      <c r="A17" s="151"/>
      <c r="B17" s="110"/>
      <c r="C17" s="3"/>
      <c r="D17" s="3"/>
      <c r="E17" s="2" t="s">
        <v>364</v>
      </c>
      <c r="F17" s="148" t="s">
        <v>365</v>
      </c>
      <c r="G17" s="148" t="s">
        <v>366</v>
      </c>
      <c r="H17" s="148" t="s">
        <v>365</v>
      </c>
      <c r="I17" s="148" t="s">
        <v>367</v>
      </c>
      <c r="J17" s="116" t="s">
        <v>364</v>
      </c>
    </row>
    <row r="18" spans="1:10" ht="13.5" thickBot="1">
      <c r="A18" s="191"/>
      <c r="B18" s="152"/>
      <c r="C18" s="105"/>
      <c r="D18" s="105"/>
      <c r="E18" s="107" t="s">
        <v>368</v>
      </c>
      <c r="F18" s="153"/>
      <c r="G18" s="153" t="s">
        <v>369</v>
      </c>
      <c r="H18" s="105"/>
      <c r="I18" s="153" t="s">
        <v>370</v>
      </c>
      <c r="J18" s="119" t="s">
        <v>371</v>
      </c>
    </row>
    <row r="19" spans="1:10" ht="13.5" thickBot="1">
      <c r="A19" s="117">
        <v>1</v>
      </c>
      <c r="B19" s="2">
        <v>2</v>
      </c>
      <c r="C19" s="2">
        <v>3</v>
      </c>
      <c r="D19" s="2">
        <v>4</v>
      </c>
      <c r="E19" s="2">
        <v>5</v>
      </c>
      <c r="F19" s="148">
        <v>6</v>
      </c>
      <c r="G19" s="148">
        <v>7</v>
      </c>
      <c r="H19" s="2">
        <v>8</v>
      </c>
      <c r="I19" s="148">
        <v>9</v>
      </c>
      <c r="J19" s="116">
        <v>10</v>
      </c>
    </row>
    <row r="20" spans="1:10" ht="13.5" thickBot="1">
      <c r="A20" s="154" t="s">
        <v>305</v>
      </c>
      <c r="B20" s="155" t="s">
        <v>38</v>
      </c>
      <c r="C20" s="156"/>
      <c r="D20" s="124"/>
      <c r="E20" s="157">
        <f aca="true" t="shared" si="0" ref="E20:J20">E24+E26</f>
        <v>91739</v>
      </c>
      <c r="F20" s="157">
        <f t="shared" si="0"/>
        <v>367623</v>
      </c>
      <c r="G20" s="157">
        <f t="shared" si="0"/>
        <v>0</v>
      </c>
      <c r="H20" s="157">
        <f t="shared" si="0"/>
        <v>367623</v>
      </c>
      <c r="I20" s="157">
        <f t="shared" si="0"/>
        <v>32514</v>
      </c>
      <c r="J20" s="158">
        <f t="shared" si="0"/>
        <v>91739</v>
      </c>
    </row>
    <row r="21" spans="1:10" ht="12.75">
      <c r="A21" s="41" t="s">
        <v>372</v>
      </c>
      <c r="B21" s="192" t="s">
        <v>373</v>
      </c>
      <c r="C21" s="3"/>
      <c r="D21" s="3"/>
      <c r="E21" s="101"/>
      <c r="F21" s="101"/>
      <c r="G21" s="101"/>
      <c r="H21" s="101"/>
      <c r="I21" s="101"/>
      <c r="J21" s="45"/>
    </row>
    <row r="22" spans="1:10" ht="12.75">
      <c r="A22" s="41"/>
      <c r="B22" s="192" t="s">
        <v>374</v>
      </c>
      <c r="C22" s="2"/>
      <c r="D22" s="2"/>
      <c r="E22" s="101"/>
      <c r="F22" s="101"/>
      <c r="G22" s="101"/>
      <c r="H22" s="101"/>
      <c r="I22" s="101"/>
      <c r="J22" s="45"/>
    </row>
    <row r="23" spans="1:10" ht="12.75">
      <c r="A23" s="41"/>
      <c r="B23" s="192" t="s">
        <v>375</v>
      </c>
      <c r="C23" s="2"/>
      <c r="D23" s="2"/>
      <c r="E23" s="101"/>
      <c r="F23" s="101"/>
      <c r="G23" s="101"/>
      <c r="H23" s="101"/>
      <c r="I23" s="101"/>
      <c r="J23" s="45"/>
    </row>
    <row r="24" spans="1:10" ht="12.75">
      <c r="A24" s="41"/>
      <c r="B24" s="302" t="s">
        <v>376</v>
      </c>
      <c r="C24" s="4">
        <v>710</v>
      </c>
      <c r="D24" s="4">
        <v>71097</v>
      </c>
      <c r="E24" s="139">
        <v>0</v>
      </c>
      <c r="F24" s="139">
        <v>141939</v>
      </c>
      <c r="G24" s="139">
        <v>0</v>
      </c>
      <c r="H24" s="139">
        <v>141939</v>
      </c>
      <c r="I24" s="139">
        <v>0</v>
      </c>
      <c r="J24" s="44">
        <f>E24+F24-H24</f>
        <v>0</v>
      </c>
    </row>
    <row r="25" spans="1:10" ht="12.75">
      <c r="A25" s="41"/>
      <c r="B25" s="303" t="s">
        <v>403</v>
      </c>
      <c r="C25" s="63"/>
      <c r="D25" s="63"/>
      <c r="E25" s="141"/>
      <c r="F25" s="141"/>
      <c r="G25" s="141"/>
      <c r="H25" s="141"/>
      <c r="I25" s="141"/>
      <c r="J25" s="54"/>
    </row>
    <row r="26" spans="1:10" ht="13.5" thickBot="1">
      <c r="A26" s="257"/>
      <c r="B26" s="304" t="s">
        <v>404</v>
      </c>
      <c r="C26" s="118">
        <v>801</v>
      </c>
      <c r="D26" s="118">
        <v>80197</v>
      </c>
      <c r="E26" s="724">
        <v>91739</v>
      </c>
      <c r="F26" s="724">
        <v>225684</v>
      </c>
      <c r="G26" s="724">
        <v>0</v>
      </c>
      <c r="H26" s="724">
        <v>225684</v>
      </c>
      <c r="I26" s="724">
        <f>21314+11200</f>
        <v>32514</v>
      </c>
      <c r="J26" s="725">
        <f>114239-22500</f>
        <v>91739</v>
      </c>
    </row>
    <row r="30" spans="5:8" ht="12.75">
      <c r="E30" s="176">
        <f>E26+F26</f>
        <v>317423</v>
      </c>
      <c r="F30" s="34"/>
      <c r="G30" s="34"/>
      <c r="H30" s="176">
        <f>H26+J26</f>
        <v>317423</v>
      </c>
    </row>
    <row r="35" ht="12.75">
      <c r="G35" s="176">
        <f>E30-H30</f>
        <v>0</v>
      </c>
    </row>
  </sheetData>
  <mergeCells count="2">
    <mergeCell ref="B9:J9"/>
    <mergeCell ref="B10:J10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37">
      <selection activeCell="A58" sqref="A58"/>
    </sheetView>
  </sheetViews>
  <sheetFormatPr defaultColWidth="9.00390625" defaultRowHeight="12.75"/>
  <cols>
    <col min="1" max="1" width="75.375" style="185" customWidth="1"/>
    <col min="2" max="2" width="21.875" style="9" customWidth="1"/>
    <col min="3" max="16384" width="9.125" style="9" customWidth="1"/>
  </cols>
  <sheetData>
    <row r="1" spans="1:2" ht="12">
      <c r="A1" s="325"/>
      <c r="B1" s="10" t="s">
        <v>535</v>
      </c>
    </row>
    <row r="2" spans="1:2" ht="12">
      <c r="A2" s="325"/>
      <c r="B2" s="10" t="s">
        <v>179</v>
      </c>
    </row>
    <row r="3" spans="1:2" ht="12">
      <c r="A3" s="325"/>
      <c r="B3" s="10" t="s">
        <v>49</v>
      </c>
    </row>
    <row r="4" spans="1:2" ht="12">
      <c r="A4" s="325"/>
      <c r="B4" s="10" t="s">
        <v>669</v>
      </c>
    </row>
    <row r="5" spans="1:2" ht="9.75">
      <c r="A5" s="325"/>
      <c r="B5" s="11"/>
    </row>
    <row r="6" spans="1:2" ht="9.75">
      <c r="A6" s="325"/>
      <c r="B6" s="11"/>
    </row>
    <row r="7" spans="1:2" ht="9.75">
      <c r="A7" s="325"/>
      <c r="B7" s="11"/>
    </row>
    <row r="8" spans="1:2" ht="12.75">
      <c r="A8" s="950" t="s">
        <v>579</v>
      </c>
      <c r="B8" s="950"/>
    </row>
    <row r="9" spans="1:2" ht="12.75">
      <c r="A9" s="950" t="s">
        <v>580</v>
      </c>
      <c r="B9" s="950"/>
    </row>
    <row r="10" spans="1:2" ht="12.75">
      <c r="A10" s="950" t="s">
        <v>581</v>
      </c>
      <c r="B10" s="950"/>
    </row>
    <row r="11" ht="9.75">
      <c r="A11" s="780"/>
    </row>
    <row r="12" spans="1:2" ht="10.5" thickBot="1">
      <c r="A12" s="781"/>
      <c r="B12" s="14" t="s">
        <v>297</v>
      </c>
    </row>
    <row r="13" spans="1:2" ht="12.75">
      <c r="A13" s="782"/>
      <c r="B13" s="160"/>
    </row>
    <row r="14" spans="1:2" ht="12.75">
      <c r="A14" s="346" t="s">
        <v>377</v>
      </c>
      <c r="B14" s="116" t="s">
        <v>378</v>
      </c>
    </row>
    <row r="15" spans="1:2" ht="13.5" thickBot="1">
      <c r="A15" s="783"/>
      <c r="B15" s="74"/>
    </row>
    <row r="16" spans="1:2" ht="13.5" thickBot="1">
      <c r="A16" s="784">
        <v>1</v>
      </c>
      <c r="B16" s="17">
        <v>2</v>
      </c>
    </row>
    <row r="17" spans="1:2" ht="12.75">
      <c r="A17" s="785"/>
      <c r="B17" s="46"/>
    </row>
    <row r="18" spans="1:2" ht="13.5" thickBot="1">
      <c r="A18" s="786" t="s">
        <v>524</v>
      </c>
      <c r="B18" s="772">
        <v>1000</v>
      </c>
    </row>
    <row r="19" spans="1:2" ht="13.5" thickBot="1">
      <c r="A19" s="787" t="s">
        <v>379</v>
      </c>
      <c r="B19" s="158">
        <f>SUM(B18:B18)</f>
        <v>1000</v>
      </c>
    </row>
    <row r="20" spans="1:2" ht="12.75">
      <c r="A20" s="788"/>
      <c r="B20" s="111"/>
    </row>
    <row r="21" spans="1:2" ht="13.5" thickBot="1">
      <c r="A21" s="783" t="s">
        <v>675</v>
      </c>
      <c r="B21" s="639">
        <v>1600</v>
      </c>
    </row>
    <row r="22" spans="1:2" ht="13.5" thickBot="1">
      <c r="A22" s="787" t="s">
        <v>676</v>
      </c>
      <c r="B22" s="65">
        <f>B21</f>
        <v>1600</v>
      </c>
    </row>
    <row r="23" spans="1:2" ht="12.75">
      <c r="A23" s="788"/>
      <c r="B23" s="111"/>
    </row>
    <row r="24" spans="1:2" ht="26.25" thickBot="1">
      <c r="A24" s="773" t="s">
        <v>781</v>
      </c>
      <c r="B24" s="19">
        <v>5300</v>
      </c>
    </row>
    <row r="25" spans="1:2" ht="13.5" thickBot="1">
      <c r="A25" s="787" t="s">
        <v>782</v>
      </c>
      <c r="B25" s="201">
        <f>B24</f>
        <v>5300</v>
      </c>
    </row>
    <row r="26" spans="1:2" ht="12.75">
      <c r="A26" s="788"/>
      <c r="B26" s="111"/>
    </row>
    <row r="27" spans="1:2" ht="12.75">
      <c r="A27" s="789" t="s">
        <v>525</v>
      </c>
      <c r="B27" s="66">
        <v>1000</v>
      </c>
    </row>
    <row r="28" spans="1:2" ht="12.75">
      <c r="A28" s="785" t="s">
        <v>526</v>
      </c>
      <c r="B28" s="19">
        <v>1000</v>
      </c>
    </row>
    <row r="29" spans="1:2" ht="12.75">
      <c r="A29" s="786" t="s">
        <v>527</v>
      </c>
      <c r="B29" s="161">
        <v>1000</v>
      </c>
    </row>
    <row r="30" spans="1:2" ht="13.5" thickBot="1">
      <c r="A30" s="785" t="s">
        <v>528</v>
      </c>
      <c r="B30" s="19">
        <v>1000</v>
      </c>
    </row>
    <row r="31" spans="1:2" ht="13.5" thickBot="1">
      <c r="A31" s="787" t="s">
        <v>460</v>
      </c>
      <c r="B31" s="201">
        <f>SUM(B27:B30)</f>
        <v>4000</v>
      </c>
    </row>
    <row r="32" spans="1:2" ht="12.75">
      <c r="A32" s="788"/>
      <c r="B32" s="111"/>
    </row>
    <row r="33" spans="1:2" ht="12.75">
      <c r="A33" s="789" t="s">
        <v>582</v>
      </c>
      <c r="B33" s="203">
        <v>10000</v>
      </c>
    </row>
    <row r="34" spans="1:2" ht="12.75">
      <c r="A34" s="789" t="s">
        <v>380</v>
      </c>
      <c r="B34" s="203">
        <v>10000</v>
      </c>
    </row>
    <row r="35" spans="1:2" ht="12.75">
      <c r="A35" s="789" t="s">
        <v>381</v>
      </c>
      <c r="B35" s="203">
        <v>5000</v>
      </c>
    </row>
    <row r="36" spans="1:2" ht="12.75">
      <c r="A36" s="790" t="s">
        <v>529</v>
      </c>
      <c r="B36" s="467">
        <v>2000</v>
      </c>
    </row>
    <row r="37" spans="1:2" ht="12.75">
      <c r="A37" s="786" t="s">
        <v>461</v>
      </c>
      <c r="B37" s="202">
        <v>3000</v>
      </c>
    </row>
    <row r="38" spans="1:2" ht="25.5">
      <c r="A38" s="790" t="s">
        <v>458</v>
      </c>
      <c r="B38" s="202">
        <v>10000</v>
      </c>
    </row>
    <row r="39" spans="1:2" ht="25.5" customHeight="1">
      <c r="A39" s="791" t="s">
        <v>490</v>
      </c>
      <c r="B39" s="203">
        <v>3000</v>
      </c>
    </row>
    <row r="40" spans="1:2" ht="25.5">
      <c r="A40" s="791" t="s">
        <v>462</v>
      </c>
      <c r="B40" s="203">
        <v>5000</v>
      </c>
    </row>
    <row r="41" spans="1:2" ht="12.75">
      <c r="A41" s="789" t="s">
        <v>459</v>
      </c>
      <c r="B41" s="203">
        <v>4000</v>
      </c>
    </row>
    <row r="42" spans="1:2" ht="12.75">
      <c r="A42" s="789" t="s">
        <v>464</v>
      </c>
      <c r="B42" s="203">
        <v>2000</v>
      </c>
    </row>
    <row r="43" spans="1:2" ht="12.75">
      <c r="A43" s="789" t="s">
        <v>465</v>
      </c>
      <c r="B43" s="203">
        <v>2000</v>
      </c>
    </row>
    <row r="44" spans="1:2" ht="12.75">
      <c r="A44" s="789" t="s">
        <v>463</v>
      </c>
      <c r="B44" s="203">
        <v>2000</v>
      </c>
    </row>
    <row r="45" spans="1:2" ht="12.75">
      <c r="A45" s="791" t="s">
        <v>489</v>
      </c>
      <c r="B45" s="203">
        <v>2000</v>
      </c>
    </row>
    <row r="46" spans="1:2" ht="12.75">
      <c r="A46" s="789" t="s">
        <v>530</v>
      </c>
      <c r="B46" s="203">
        <v>2000</v>
      </c>
    </row>
    <row r="47" spans="1:2" ht="13.5" thickBot="1">
      <c r="A47" s="791" t="s">
        <v>583</v>
      </c>
      <c r="B47" s="66">
        <v>2000</v>
      </c>
    </row>
    <row r="48" spans="1:3" ht="13.5" thickBot="1">
      <c r="A48" s="787" t="s">
        <v>382</v>
      </c>
      <c r="B48" s="158">
        <f>SUM(B33:B47)</f>
        <v>64000</v>
      </c>
      <c r="C48" s="22"/>
    </row>
    <row r="49" spans="1:2" ht="12.75">
      <c r="A49" s="788"/>
      <c r="B49" s="111"/>
    </row>
    <row r="50" spans="1:2" ht="13.5" thickBot="1">
      <c r="A50" s="361" t="s">
        <v>383</v>
      </c>
      <c r="B50" s="65">
        <f>B48+B19+B31+B22+B25</f>
        <v>75900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3">
      <selection activeCell="D34" sqref="D34"/>
    </sheetView>
  </sheetViews>
  <sheetFormatPr defaultColWidth="9.00390625" defaultRowHeight="12.75"/>
  <cols>
    <col min="1" max="1" width="6.625" style="9" customWidth="1"/>
    <col min="2" max="2" width="9.625" style="9" customWidth="1"/>
    <col min="3" max="3" width="56.00390625" style="9" customWidth="1"/>
    <col min="4" max="4" width="23.125" style="9" customWidth="1"/>
    <col min="5" max="16384" width="9.125" style="9" customWidth="1"/>
  </cols>
  <sheetData>
    <row r="1" ht="12">
      <c r="D1" s="10" t="s">
        <v>536</v>
      </c>
    </row>
    <row r="2" ht="12">
      <c r="D2" s="10" t="s">
        <v>384</v>
      </c>
    </row>
    <row r="3" ht="12">
      <c r="D3" s="10" t="s">
        <v>49</v>
      </c>
    </row>
    <row r="4" ht="12">
      <c r="D4" s="10" t="s">
        <v>666</v>
      </c>
    </row>
    <row r="9" spans="1:4" ht="12.75" customHeight="1">
      <c r="A9" s="950" t="s">
        <v>518</v>
      </c>
      <c r="B9" s="950"/>
      <c r="C9" s="950"/>
      <c r="D9" s="950"/>
    </row>
    <row r="10" spans="1:4" ht="12.75" customHeight="1">
      <c r="A10" s="950" t="s">
        <v>400</v>
      </c>
      <c r="B10" s="950"/>
      <c r="C10" s="950"/>
      <c r="D10" s="950"/>
    </row>
    <row r="11" ht="9.75">
      <c r="C11" s="13"/>
    </row>
    <row r="12" ht="9.75">
      <c r="C12" s="13"/>
    </row>
    <row r="13" ht="10.5" thickBot="1">
      <c r="D13" s="14" t="s">
        <v>386</v>
      </c>
    </row>
    <row r="14" spans="1:4" ht="12.75">
      <c r="A14" s="21"/>
      <c r="B14" s="113"/>
      <c r="C14" s="109"/>
      <c r="D14" s="114" t="s">
        <v>447</v>
      </c>
    </row>
    <row r="15" spans="1:4" ht="12.75">
      <c r="A15" s="18" t="s">
        <v>300</v>
      </c>
      <c r="B15" s="5" t="s">
        <v>0</v>
      </c>
      <c r="C15" s="31" t="s">
        <v>253</v>
      </c>
      <c r="D15" s="116" t="s">
        <v>303</v>
      </c>
    </row>
    <row r="16" spans="1:4" ht="13.5" thickBot="1">
      <c r="A16" s="67"/>
      <c r="B16" s="107"/>
      <c r="C16" s="33"/>
      <c r="D16" s="119" t="s">
        <v>491</v>
      </c>
    </row>
    <row r="17" spans="1:4" ht="10.5" thickBot="1">
      <c r="A17" s="38">
        <v>1</v>
      </c>
      <c r="B17" s="39">
        <v>2</v>
      </c>
      <c r="C17" s="170">
        <v>3</v>
      </c>
      <c r="D17" s="40">
        <v>4</v>
      </c>
    </row>
    <row r="18" spans="1:4" ht="12.75">
      <c r="A18" s="115"/>
      <c r="B18" s="5"/>
      <c r="C18" s="31"/>
      <c r="D18" s="116"/>
    </row>
    <row r="19" spans="1:4" ht="13.5" thickBot="1">
      <c r="A19" s="8" t="s">
        <v>313</v>
      </c>
      <c r="B19" s="29"/>
      <c r="C19" s="32" t="s">
        <v>387</v>
      </c>
      <c r="D19" s="43">
        <f>SUM(D20+D21-D22)</f>
        <v>1652</v>
      </c>
    </row>
    <row r="20" spans="1:4" ht="12.75">
      <c r="A20" s="18"/>
      <c r="B20" s="5"/>
      <c r="C20" s="52" t="s">
        <v>388</v>
      </c>
      <c r="D20" s="44">
        <v>1652</v>
      </c>
    </row>
    <row r="21" spans="1:4" ht="12.75">
      <c r="A21" s="18"/>
      <c r="B21" s="5"/>
      <c r="C21" s="52" t="s">
        <v>389</v>
      </c>
      <c r="D21" s="44">
        <v>0</v>
      </c>
    </row>
    <row r="22" spans="1:4" ht="12.75">
      <c r="A22" s="18"/>
      <c r="B22" s="5"/>
      <c r="C22" s="52" t="s">
        <v>390</v>
      </c>
      <c r="D22" s="44">
        <v>0</v>
      </c>
    </row>
    <row r="23" spans="1:4" ht="12.75">
      <c r="A23" s="18"/>
      <c r="B23" s="5"/>
      <c r="C23" s="6"/>
      <c r="D23" s="45"/>
    </row>
    <row r="24" spans="1:4" ht="13.5" thickBot="1">
      <c r="A24" s="28" t="s">
        <v>316</v>
      </c>
      <c r="B24" s="29"/>
      <c r="C24" s="32" t="s">
        <v>391</v>
      </c>
      <c r="D24" s="43">
        <f>SUM(D25:D27)</f>
        <v>130200</v>
      </c>
    </row>
    <row r="25" spans="1:4" ht="12.75">
      <c r="A25" s="18"/>
      <c r="B25" s="64" t="s">
        <v>235</v>
      </c>
      <c r="C25" s="52" t="s">
        <v>70</v>
      </c>
      <c r="D25" s="44">
        <v>200</v>
      </c>
    </row>
    <row r="26" spans="1:4" ht="12.75">
      <c r="A26" s="18"/>
      <c r="B26" s="171" t="s">
        <v>396</v>
      </c>
      <c r="C26" s="168" t="s">
        <v>392</v>
      </c>
      <c r="D26" s="49">
        <v>130000</v>
      </c>
    </row>
    <row r="27" spans="1:4" ht="12.75">
      <c r="A27" s="115"/>
      <c r="B27" s="30"/>
      <c r="C27" s="6"/>
      <c r="D27" s="54"/>
    </row>
    <row r="28" spans="1:4" ht="13.5" thickBot="1">
      <c r="A28" s="28" t="s">
        <v>318</v>
      </c>
      <c r="B28" s="42"/>
      <c r="C28" s="32" t="s">
        <v>393</v>
      </c>
      <c r="D28" s="43">
        <f>D29+D35</f>
        <v>131852</v>
      </c>
    </row>
    <row r="29" spans="1:4" ht="12.75">
      <c r="A29" s="58" t="s">
        <v>394</v>
      </c>
      <c r="B29" s="47"/>
      <c r="C29" s="52" t="s">
        <v>395</v>
      </c>
      <c r="D29" s="44">
        <f>SUM(D30:D33)</f>
        <v>131852</v>
      </c>
    </row>
    <row r="30" spans="1:4" ht="12.75">
      <c r="A30" s="18"/>
      <c r="B30" s="64" t="s">
        <v>396</v>
      </c>
      <c r="C30" s="52" t="s">
        <v>392</v>
      </c>
      <c r="D30" s="44">
        <v>96000</v>
      </c>
    </row>
    <row r="31" spans="1:4" ht="12.75">
      <c r="A31" s="18"/>
      <c r="B31" s="64" t="s">
        <v>202</v>
      </c>
      <c r="C31" s="52" t="s">
        <v>190</v>
      </c>
      <c r="D31" s="44">
        <v>28352</v>
      </c>
    </row>
    <row r="32" spans="1:4" ht="12.75">
      <c r="A32" s="18"/>
      <c r="B32" s="167" t="s">
        <v>181</v>
      </c>
      <c r="C32" s="168" t="s">
        <v>182</v>
      </c>
      <c r="D32" s="44">
        <v>7500</v>
      </c>
    </row>
    <row r="33" spans="1:4" ht="12.75">
      <c r="A33" s="18"/>
      <c r="B33" s="64" t="s">
        <v>266</v>
      </c>
      <c r="C33" s="52" t="s">
        <v>194</v>
      </c>
      <c r="D33" s="44">
        <v>0</v>
      </c>
    </row>
    <row r="34" spans="1:4" ht="12.75">
      <c r="A34" s="58"/>
      <c r="B34" s="64"/>
      <c r="C34" s="52"/>
      <c r="D34" s="44"/>
    </row>
    <row r="35" spans="1:4" ht="12.75">
      <c r="A35" s="58" t="s">
        <v>397</v>
      </c>
      <c r="B35" s="47"/>
      <c r="C35" s="52" t="s">
        <v>398</v>
      </c>
      <c r="D35" s="49">
        <f>SUM(D36:D36)</f>
        <v>0</v>
      </c>
    </row>
    <row r="36" spans="1:4" ht="12.75">
      <c r="A36" s="102"/>
      <c r="B36" s="103"/>
      <c r="C36" s="104"/>
      <c r="D36" s="54"/>
    </row>
    <row r="37" spans="1:4" ht="13.5" thickBot="1">
      <c r="A37" s="28" t="s">
        <v>321</v>
      </c>
      <c r="B37" s="29"/>
      <c r="C37" s="32" t="s">
        <v>399</v>
      </c>
      <c r="D37" s="43">
        <f>D38+D39-D40</f>
        <v>0</v>
      </c>
    </row>
    <row r="38" spans="1:4" ht="12.75">
      <c r="A38" s="18"/>
      <c r="B38" s="5"/>
      <c r="C38" s="52" t="s">
        <v>388</v>
      </c>
      <c r="D38" s="44">
        <v>0</v>
      </c>
    </row>
    <row r="39" spans="1:4" ht="12.75">
      <c r="A39" s="18"/>
      <c r="B39" s="5"/>
      <c r="C39" s="52" t="s">
        <v>389</v>
      </c>
      <c r="D39" s="44">
        <v>0</v>
      </c>
    </row>
    <row r="40" spans="1:4" ht="12.75">
      <c r="A40" s="18"/>
      <c r="B40" s="5"/>
      <c r="C40" s="52" t="s">
        <v>390</v>
      </c>
      <c r="D40" s="49">
        <v>0</v>
      </c>
    </row>
    <row r="41" spans="1:4" ht="13.5" thickBot="1">
      <c r="A41" s="20"/>
      <c r="B41" s="73"/>
      <c r="C41" s="33"/>
      <c r="D41" s="68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6">
      <selection activeCell="F28" sqref="F28"/>
    </sheetView>
  </sheetViews>
  <sheetFormatPr defaultColWidth="9.00390625" defaultRowHeight="12.75"/>
  <cols>
    <col min="1" max="1" width="7.25390625" style="9" customWidth="1"/>
    <col min="2" max="2" width="9.375" style="9" customWidth="1"/>
    <col min="3" max="3" width="55.875" style="9" customWidth="1"/>
    <col min="4" max="4" width="23.375" style="9" customWidth="1"/>
    <col min="5" max="16384" width="9.125" style="9" customWidth="1"/>
  </cols>
  <sheetData>
    <row r="1" ht="12">
      <c r="D1" s="10" t="s">
        <v>457</v>
      </c>
    </row>
    <row r="2" ht="12">
      <c r="D2" s="10" t="s">
        <v>384</v>
      </c>
    </row>
    <row r="3" ht="12">
      <c r="D3" s="10" t="s">
        <v>49</v>
      </c>
    </row>
    <row r="4" ht="12">
      <c r="D4" s="10" t="s">
        <v>670</v>
      </c>
    </row>
    <row r="9" spans="1:4" ht="12.75" customHeight="1">
      <c r="A9" s="950" t="s">
        <v>517</v>
      </c>
      <c r="B9" s="950"/>
      <c r="C9" s="950"/>
      <c r="D9" s="950"/>
    </row>
    <row r="10" spans="1:4" ht="12.75" customHeight="1">
      <c r="A10" s="950" t="s">
        <v>385</v>
      </c>
      <c r="B10" s="950"/>
      <c r="C10" s="950"/>
      <c r="D10" s="950"/>
    </row>
    <row r="11" spans="1:4" ht="9.75">
      <c r="A11" s="185"/>
      <c r="B11" s="185"/>
      <c r="C11" s="305"/>
      <c r="D11" s="185"/>
    </row>
    <row r="12" ht="9.75">
      <c r="C12" s="13"/>
    </row>
    <row r="13" ht="10.5" thickBot="1">
      <c r="D13" s="14" t="s">
        <v>386</v>
      </c>
    </row>
    <row r="14" spans="1:4" ht="12.75">
      <c r="A14" s="21"/>
      <c r="B14" s="113"/>
      <c r="C14" s="109"/>
      <c r="D14" s="114" t="s">
        <v>447</v>
      </c>
    </row>
    <row r="15" spans="1:4" ht="12.75">
      <c r="A15" s="18" t="s">
        <v>300</v>
      </c>
      <c r="B15" s="5" t="s">
        <v>0</v>
      </c>
      <c r="C15" s="31" t="s">
        <v>253</v>
      </c>
      <c r="D15" s="116" t="s">
        <v>303</v>
      </c>
    </row>
    <row r="16" spans="1:4" ht="13.5" thickBot="1">
      <c r="A16" s="67"/>
      <c r="B16" s="107"/>
      <c r="C16" s="33"/>
      <c r="D16" s="119" t="s">
        <v>491</v>
      </c>
    </row>
    <row r="17" spans="1:4" s="166" customFormat="1" ht="12.75" customHeight="1" thickBot="1">
      <c r="A17" s="162">
        <v>1</v>
      </c>
      <c r="B17" s="163">
        <v>2</v>
      </c>
      <c r="C17" s="164">
        <v>3</v>
      </c>
      <c r="D17" s="165">
        <v>4</v>
      </c>
    </row>
    <row r="18" spans="1:4" ht="12.75">
      <c r="A18" s="115"/>
      <c r="B18" s="5"/>
      <c r="C18" s="31"/>
      <c r="D18" s="116"/>
    </row>
    <row r="19" spans="1:4" ht="13.5" thickBot="1">
      <c r="A19" s="8" t="s">
        <v>313</v>
      </c>
      <c r="B19" s="29"/>
      <c r="C19" s="32" t="s">
        <v>387</v>
      </c>
      <c r="D19" s="43">
        <f>D20+D21-D22</f>
        <v>31000</v>
      </c>
    </row>
    <row r="20" spans="1:4" ht="12.75">
      <c r="A20" s="18"/>
      <c r="B20" s="5"/>
      <c r="C20" s="52" t="s">
        <v>388</v>
      </c>
      <c r="D20" s="44">
        <v>41000</v>
      </c>
    </row>
    <row r="21" spans="1:4" ht="12.75">
      <c r="A21" s="18"/>
      <c r="B21" s="5"/>
      <c r="C21" s="52" t="s">
        <v>389</v>
      </c>
      <c r="D21" s="44">
        <v>10000</v>
      </c>
    </row>
    <row r="22" spans="1:4" ht="12.75">
      <c r="A22" s="18"/>
      <c r="B22" s="5"/>
      <c r="C22" s="52" t="s">
        <v>390</v>
      </c>
      <c r="D22" s="44">
        <v>20000</v>
      </c>
    </row>
    <row r="23" spans="1:4" ht="12.75">
      <c r="A23" s="18"/>
      <c r="B23" s="5"/>
      <c r="C23" s="6"/>
      <c r="D23" s="45"/>
    </row>
    <row r="24" spans="1:4" ht="13.5" thickBot="1">
      <c r="A24" s="28" t="s">
        <v>316</v>
      </c>
      <c r="B24" s="29"/>
      <c r="C24" s="32" t="s">
        <v>391</v>
      </c>
      <c r="D24" s="43">
        <f>SUM(D25:D27)</f>
        <v>390000</v>
      </c>
    </row>
    <row r="25" spans="1:4" ht="12.75">
      <c r="A25" s="18"/>
      <c r="B25" s="64" t="s">
        <v>233</v>
      </c>
      <c r="C25" s="52" t="s">
        <v>40</v>
      </c>
      <c r="D25" s="49">
        <v>380000</v>
      </c>
    </row>
    <row r="26" spans="1:4" ht="12.75">
      <c r="A26" s="18"/>
      <c r="B26" s="64" t="s">
        <v>235</v>
      </c>
      <c r="C26" s="52" t="s">
        <v>70</v>
      </c>
      <c r="D26" s="49">
        <v>10000</v>
      </c>
    </row>
    <row r="27" spans="1:4" ht="12.75">
      <c r="A27" s="18"/>
      <c r="B27" s="64" t="s">
        <v>396</v>
      </c>
      <c r="C27" s="52" t="s">
        <v>392</v>
      </c>
      <c r="D27" s="49">
        <v>0</v>
      </c>
    </row>
    <row r="28" spans="1:4" ht="12.75">
      <c r="A28" s="115"/>
      <c r="B28" s="30"/>
      <c r="C28" s="6"/>
      <c r="D28" s="45"/>
    </row>
    <row r="29" spans="1:4" ht="13.5" thickBot="1">
      <c r="A29" s="28" t="s">
        <v>318</v>
      </c>
      <c r="B29" s="42"/>
      <c r="C29" s="32" t="s">
        <v>393</v>
      </c>
      <c r="D29" s="43">
        <f>D30+D36</f>
        <v>410000</v>
      </c>
    </row>
    <row r="30" spans="1:4" ht="12.75">
      <c r="A30" s="58" t="s">
        <v>394</v>
      </c>
      <c r="B30" s="47"/>
      <c r="C30" s="52" t="s">
        <v>395</v>
      </c>
      <c r="D30" s="44">
        <f>SUM(D31:D34)</f>
        <v>390000</v>
      </c>
    </row>
    <row r="31" spans="1:4" ht="12.75">
      <c r="A31" s="18"/>
      <c r="B31" s="64" t="s">
        <v>396</v>
      </c>
      <c r="C31" s="52" t="s">
        <v>392</v>
      </c>
      <c r="D31" s="44">
        <v>78000</v>
      </c>
    </row>
    <row r="32" spans="1:4" ht="12.75">
      <c r="A32" s="18"/>
      <c r="B32" s="64" t="s">
        <v>202</v>
      </c>
      <c r="C32" s="52" t="s">
        <v>190</v>
      </c>
      <c r="D32" s="44">
        <v>12000</v>
      </c>
    </row>
    <row r="33" spans="1:4" ht="12.75">
      <c r="A33" s="18"/>
      <c r="B33" s="64" t="s">
        <v>247</v>
      </c>
      <c r="C33" s="52" t="s">
        <v>192</v>
      </c>
      <c r="D33" s="44">
        <v>5000</v>
      </c>
    </row>
    <row r="34" spans="1:4" ht="12.75">
      <c r="A34" s="18"/>
      <c r="B34" s="167" t="s">
        <v>181</v>
      </c>
      <c r="C34" s="168" t="s">
        <v>182</v>
      </c>
      <c r="D34" s="44">
        <v>295000</v>
      </c>
    </row>
    <row r="35" spans="1:4" ht="12.75">
      <c r="A35" s="58"/>
      <c r="B35" s="64"/>
      <c r="C35" s="52"/>
      <c r="D35" s="44"/>
    </row>
    <row r="36" spans="1:4" ht="12.75">
      <c r="A36" s="169" t="s">
        <v>397</v>
      </c>
      <c r="B36" s="167"/>
      <c r="C36" s="168" t="s">
        <v>398</v>
      </c>
      <c r="D36" s="49">
        <f>SUM(D37:D37)</f>
        <v>20000</v>
      </c>
    </row>
    <row r="37" spans="1:4" ht="12.75">
      <c r="A37" s="58"/>
      <c r="B37" s="59">
        <v>6120</v>
      </c>
      <c r="C37" s="52" t="s">
        <v>244</v>
      </c>
      <c r="D37" s="44">
        <v>20000</v>
      </c>
    </row>
    <row r="38" spans="1:4" ht="12.75">
      <c r="A38" s="102"/>
      <c r="B38" s="103"/>
      <c r="C38" s="104"/>
      <c r="D38" s="54"/>
    </row>
    <row r="39" spans="1:4" ht="13.5" thickBot="1">
      <c r="A39" s="8" t="s">
        <v>321</v>
      </c>
      <c r="B39" s="29"/>
      <c r="C39" s="32" t="s">
        <v>399</v>
      </c>
      <c r="D39" s="43">
        <f>D19+D24-D29</f>
        <v>11000</v>
      </c>
    </row>
    <row r="40" spans="1:4" ht="12.75">
      <c r="A40" s="18"/>
      <c r="B40" s="5"/>
      <c r="C40" s="52" t="s">
        <v>388</v>
      </c>
      <c r="D40" s="44">
        <v>21000</v>
      </c>
    </row>
    <row r="41" spans="1:4" ht="12.75">
      <c r="A41" s="18"/>
      <c r="B41" s="5"/>
      <c r="C41" s="52" t="s">
        <v>389</v>
      </c>
      <c r="D41" s="44">
        <v>10000</v>
      </c>
    </row>
    <row r="42" spans="1:4" ht="12.75">
      <c r="A42" s="18"/>
      <c r="B42" s="5"/>
      <c r="C42" s="52" t="s">
        <v>390</v>
      </c>
      <c r="D42" s="49">
        <v>20000</v>
      </c>
    </row>
    <row r="43" spans="1:4" ht="13.5" thickBot="1">
      <c r="A43" s="67"/>
      <c r="B43" s="33"/>
      <c r="C43" s="73"/>
      <c r="D43" s="23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9">
      <selection activeCell="E21" sqref="E21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60.75390625" style="0" customWidth="1"/>
    <col min="5" max="5" width="20.125" style="0" customWidth="1"/>
  </cols>
  <sheetData>
    <row r="1" spans="1:5" ht="12.75">
      <c r="A1" s="9"/>
      <c r="B1" s="9"/>
      <c r="C1" s="9"/>
      <c r="D1" s="9"/>
      <c r="E1" s="10" t="s">
        <v>590</v>
      </c>
    </row>
    <row r="2" spans="1:5" ht="12.75">
      <c r="A2" s="9"/>
      <c r="B2" s="9"/>
      <c r="C2" s="9"/>
      <c r="D2" s="9"/>
      <c r="E2" s="10" t="s">
        <v>272</v>
      </c>
    </row>
    <row r="3" spans="1:5" ht="12.75">
      <c r="A3" s="9"/>
      <c r="B3" s="9"/>
      <c r="C3" s="9"/>
      <c r="D3" s="11"/>
      <c r="E3" s="10" t="s">
        <v>49</v>
      </c>
    </row>
    <row r="4" spans="1:5" ht="12.75">
      <c r="A4" s="9"/>
      <c r="B4" s="9"/>
      <c r="C4" s="9"/>
      <c r="D4" s="11"/>
      <c r="E4" s="10" t="s">
        <v>661</v>
      </c>
    </row>
    <row r="5" spans="1:5" ht="12.75">
      <c r="A5" s="9"/>
      <c r="B5" s="9"/>
      <c r="C5" s="9"/>
      <c r="D5" s="11"/>
      <c r="E5" s="10"/>
    </row>
    <row r="6" spans="1:5" ht="12.75">
      <c r="A6" s="9"/>
      <c r="B6" s="9"/>
      <c r="C6" s="9"/>
      <c r="D6" s="11"/>
      <c r="E6" s="10"/>
    </row>
    <row r="7" spans="1:5" ht="12.75">
      <c r="A7" s="9"/>
      <c r="B7" s="9"/>
      <c r="C7" s="9"/>
      <c r="D7" s="11"/>
      <c r="E7" s="10"/>
    </row>
    <row r="8" spans="1:5" ht="12.75">
      <c r="A8" s="998"/>
      <c r="B8" s="998"/>
      <c r="C8" s="998"/>
      <c r="D8" s="998"/>
      <c r="E8" s="998"/>
    </row>
    <row r="9" spans="1:5" ht="15.75">
      <c r="A9" s="999" t="s">
        <v>817</v>
      </c>
      <c r="B9" s="999"/>
      <c r="C9" s="999"/>
      <c r="D9" s="999"/>
      <c r="E9" s="999"/>
    </row>
    <row r="10" spans="1:5" ht="12.75">
      <c r="A10" s="259"/>
      <c r="B10" s="259"/>
      <c r="C10" s="259"/>
      <c r="D10" s="259"/>
      <c r="E10" s="259"/>
    </row>
    <row r="11" spans="1:5" ht="12.75">
      <c r="A11" s="259"/>
      <c r="B11" s="259"/>
      <c r="C11" s="259"/>
      <c r="D11" s="259"/>
      <c r="E11" s="259"/>
    </row>
    <row r="12" spans="1:5" ht="12.75">
      <c r="A12" s="998"/>
      <c r="B12" s="998"/>
      <c r="C12" s="998"/>
      <c r="D12" s="998"/>
      <c r="E12" s="998"/>
    </row>
    <row r="13" spans="1:5" ht="13.5" thickBot="1">
      <c r="A13" s="11"/>
      <c r="B13" s="11"/>
      <c r="C13" s="11"/>
      <c r="D13" s="11"/>
      <c r="E13" s="37" t="s">
        <v>273</v>
      </c>
    </row>
    <row r="14" spans="1:5" ht="12.75">
      <c r="A14" s="969" t="s">
        <v>298</v>
      </c>
      <c r="B14" s="970"/>
      <c r="C14" s="971"/>
      <c r="D14" s="945" t="s">
        <v>91</v>
      </c>
      <c r="E14" s="966" t="s">
        <v>255</v>
      </c>
    </row>
    <row r="15" spans="1:5" ht="12.75">
      <c r="A15" s="978" t="s">
        <v>58</v>
      </c>
      <c r="B15" s="980" t="s">
        <v>46</v>
      </c>
      <c r="C15" s="980" t="s">
        <v>0</v>
      </c>
      <c r="D15" s="946"/>
      <c r="E15" s="967"/>
    </row>
    <row r="16" spans="1:5" ht="13.5" thickBot="1">
      <c r="A16" s="979"/>
      <c r="B16" s="981"/>
      <c r="C16" s="981"/>
      <c r="D16" s="981"/>
      <c r="E16" s="968"/>
    </row>
    <row r="17" spans="1:5" ht="13.5" thickBot="1">
      <c r="A17" s="38">
        <v>1</v>
      </c>
      <c r="B17" s="39">
        <v>2</v>
      </c>
      <c r="C17" s="172">
        <v>3</v>
      </c>
      <c r="D17" s="172">
        <v>4</v>
      </c>
      <c r="E17" s="173">
        <v>5</v>
      </c>
    </row>
    <row r="18" spans="1:5" ht="13.5" thickBot="1">
      <c r="A18" s="243">
        <v>851</v>
      </c>
      <c r="B18" s="229"/>
      <c r="C18" s="262"/>
      <c r="D18" s="247" t="s">
        <v>18</v>
      </c>
      <c r="E18" s="252">
        <f>E19</f>
        <v>652481</v>
      </c>
    </row>
    <row r="19" spans="1:5" ht="12.75">
      <c r="A19" s="226"/>
      <c r="B19" s="246">
        <v>85111</v>
      </c>
      <c r="C19" s="263"/>
      <c r="D19" s="248" t="s">
        <v>504</v>
      </c>
      <c r="E19" s="253">
        <f>E21+E23</f>
        <v>652481</v>
      </c>
    </row>
    <row r="20" spans="1:5" ht="12.75">
      <c r="A20" s="226"/>
      <c r="B20" s="228"/>
      <c r="C20" s="208">
        <v>6220</v>
      </c>
      <c r="D20" s="186" t="s">
        <v>818</v>
      </c>
      <c r="E20" s="227"/>
    </row>
    <row r="21" spans="1:5" ht="12.75">
      <c r="A21" s="265"/>
      <c r="B21" s="228"/>
      <c r="C21" s="208"/>
      <c r="D21" s="186" t="s">
        <v>819</v>
      </c>
      <c r="E21" s="227">
        <f>'WYDATKI ukł.wyk.'!G296</f>
        <v>593800</v>
      </c>
    </row>
    <row r="22" spans="1:5" ht="12.75">
      <c r="A22" s="265"/>
      <c r="B22" s="228"/>
      <c r="C22" s="208"/>
      <c r="D22" s="186"/>
      <c r="E22" s="227"/>
    </row>
    <row r="23" spans="1:5" ht="12.75">
      <c r="A23" s="265"/>
      <c r="B23" s="228"/>
      <c r="C23" s="208">
        <v>6228</v>
      </c>
      <c r="D23" s="186" t="s">
        <v>818</v>
      </c>
      <c r="E23" s="227">
        <f>'WYDATKI ukł.wyk.'!G298</f>
        <v>58681</v>
      </c>
    </row>
    <row r="24" spans="1:5" ht="12.75">
      <c r="A24" s="265"/>
      <c r="B24" s="228"/>
      <c r="C24" s="208"/>
      <c r="D24" s="186" t="s">
        <v>819</v>
      </c>
      <c r="E24" s="227"/>
    </row>
    <row r="25" spans="1:5" ht="13.5" thickBot="1">
      <c r="A25" s="266"/>
      <c r="B25" s="267"/>
      <c r="C25" s="268"/>
      <c r="D25" s="267"/>
      <c r="E25" s="269"/>
    </row>
  </sheetData>
  <mergeCells count="9">
    <mergeCell ref="A8:E8"/>
    <mergeCell ref="A9:E9"/>
    <mergeCell ref="A12:E12"/>
    <mergeCell ref="A14:C14"/>
    <mergeCell ref="D14:D16"/>
    <mergeCell ref="E14:E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123"/>
  <sheetViews>
    <sheetView workbookViewId="0" topLeftCell="A47">
      <selection activeCell="F37" sqref="F37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8.875" style="0" hidden="1" customWidth="1"/>
    <col min="4" max="4" width="9.00390625" style="0" hidden="1" customWidth="1"/>
    <col min="6" max="6" width="8.625" style="384" customWidth="1"/>
    <col min="7" max="8" width="8.375" style="0" customWidth="1"/>
    <col min="9" max="9" width="8.625" style="0" customWidth="1"/>
    <col min="10" max="14" width="8.375" style="0" customWidth="1"/>
    <col min="15" max="15" width="9.75390625" style="0" customWidth="1"/>
    <col min="16" max="16" width="9.625" style="0" customWidth="1"/>
    <col min="17" max="17" width="8.375" style="0" customWidth="1"/>
    <col min="18" max="18" width="9.25390625" style="0" customWidth="1"/>
    <col min="20" max="20" width="9.75390625" style="0" bestFit="1" customWidth="1"/>
    <col min="21" max="21" width="9.00390625" style="0" customWidth="1"/>
    <col min="22" max="22" width="9.25390625" style="0" customWidth="1"/>
    <col min="23" max="24" width="9.375" style="0" customWidth="1"/>
    <col min="25" max="27" width="9.75390625" style="0" bestFit="1" customWidth="1"/>
    <col min="30" max="30" width="10.125" style="0" bestFit="1" customWidth="1"/>
  </cols>
  <sheetData>
    <row r="1" spans="15:28" ht="10.5" customHeight="1">
      <c r="O1" s="166" t="s">
        <v>599</v>
      </c>
      <c r="AB1" s="166" t="s">
        <v>599</v>
      </c>
    </row>
    <row r="2" spans="15:28" ht="9.75" customHeight="1">
      <c r="O2" s="166" t="s">
        <v>600</v>
      </c>
      <c r="AB2" s="166" t="s">
        <v>600</v>
      </c>
    </row>
    <row r="3" spans="15:28" ht="9.75" customHeight="1">
      <c r="O3" s="166" t="s">
        <v>49</v>
      </c>
      <c r="AB3" s="166" t="s">
        <v>49</v>
      </c>
    </row>
    <row r="4" spans="15:28" ht="9.75" customHeight="1">
      <c r="O4" s="166" t="s">
        <v>671</v>
      </c>
      <c r="AB4" s="166" t="s">
        <v>671</v>
      </c>
    </row>
    <row r="5" spans="2:32" ht="10.5" customHeight="1">
      <c r="B5" s="576"/>
      <c r="C5" s="576"/>
      <c r="D5" s="576"/>
      <c r="E5" s="1000" t="s">
        <v>601</v>
      </c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577"/>
      <c r="R5" s="1000" t="s">
        <v>657</v>
      </c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577"/>
      <c r="AE5" s="577"/>
      <c r="AF5" s="577"/>
    </row>
    <row r="6" spans="1:29" ht="7.5" customHeight="1">
      <c r="A6" s="578"/>
      <c r="B6" s="578"/>
      <c r="C6" s="579"/>
      <c r="D6" s="579"/>
      <c r="E6" s="579"/>
      <c r="F6" s="758"/>
      <c r="G6" s="579"/>
      <c r="H6" s="579"/>
      <c r="I6" s="579"/>
      <c r="J6" s="166"/>
      <c r="K6" s="578"/>
      <c r="L6" s="578"/>
      <c r="M6" s="578"/>
      <c r="N6" s="578"/>
      <c r="O6" s="578"/>
      <c r="P6" s="580" t="s">
        <v>90</v>
      </c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0" t="s">
        <v>90</v>
      </c>
    </row>
    <row r="7" spans="1:29" s="586" customFormat="1" ht="24.75" customHeight="1">
      <c r="A7" s="582" t="s">
        <v>344</v>
      </c>
      <c r="B7" s="583" t="s">
        <v>361</v>
      </c>
      <c r="C7" s="584" t="s">
        <v>602</v>
      </c>
      <c r="D7" s="584" t="s">
        <v>603</v>
      </c>
      <c r="E7" s="584" t="s">
        <v>729</v>
      </c>
      <c r="F7" s="759" t="s">
        <v>604</v>
      </c>
      <c r="G7" s="582" t="s">
        <v>605</v>
      </c>
      <c r="H7" s="582" t="s">
        <v>606</v>
      </c>
      <c r="I7" s="582" t="s">
        <v>607</v>
      </c>
      <c r="J7" s="582" t="s">
        <v>608</v>
      </c>
      <c r="K7" s="582" t="s">
        <v>609</v>
      </c>
      <c r="L7" s="582" t="s">
        <v>610</v>
      </c>
      <c r="M7" s="582" t="s">
        <v>611</v>
      </c>
      <c r="N7" s="582" t="s">
        <v>612</v>
      </c>
      <c r="O7" s="582" t="s">
        <v>613</v>
      </c>
      <c r="P7" s="585" t="s">
        <v>614</v>
      </c>
      <c r="Q7" s="582" t="s">
        <v>615</v>
      </c>
      <c r="R7" s="582" t="s">
        <v>616</v>
      </c>
      <c r="S7" s="582" t="s">
        <v>617</v>
      </c>
      <c r="T7" s="582" t="s">
        <v>618</v>
      </c>
      <c r="U7" s="582" t="s">
        <v>619</v>
      </c>
      <c r="V7" s="582" t="s">
        <v>620</v>
      </c>
      <c r="W7" s="582" t="s">
        <v>621</v>
      </c>
      <c r="X7" s="582" t="s">
        <v>622</v>
      </c>
      <c r="Y7" s="582" t="s">
        <v>623</v>
      </c>
      <c r="Z7" s="582" t="s">
        <v>624</v>
      </c>
      <c r="AA7" s="582" t="s">
        <v>625</v>
      </c>
      <c r="AB7" s="582" t="s">
        <v>626</v>
      </c>
      <c r="AC7" s="582" t="s">
        <v>627</v>
      </c>
    </row>
    <row r="8" spans="1:29" s="586" customFormat="1" ht="19.5" customHeight="1">
      <c r="A8" s="587" t="s">
        <v>305</v>
      </c>
      <c r="B8" s="588" t="s">
        <v>355</v>
      </c>
      <c r="C8" s="589">
        <f>C9+C13+C14</f>
        <v>33018472</v>
      </c>
      <c r="D8" s="589">
        <f aca="true" t="shared" si="0" ref="D8:AC8">D9+D13+D14</f>
        <v>34245928</v>
      </c>
      <c r="E8" s="589">
        <f t="shared" si="0"/>
        <v>32826290</v>
      </c>
      <c r="F8" s="589">
        <f t="shared" si="0"/>
        <v>38545058</v>
      </c>
      <c r="G8" s="589">
        <f t="shared" si="0"/>
        <v>35529429</v>
      </c>
      <c r="H8" s="589">
        <f t="shared" si="0"/>
        <v>35995394.06</v>
      </c>
      <c r="I8" s="589">
        <f t="shared" si="0"/>
        <v>36627756.0902</v>
      </c>
      <c r="J8" s="589">
        <f t="shared" si="0"/>
        <v>37109997.400762</v>
      </c>
      <c r="K8" s="589">
        <f t="shared" si="0"/>
        <v>37599802.537622824</v>
      </c>
      <c r="L8" s="589">
        <f t="shared" si="0"/>
        <v>38097311.61330931</v>
      </c>
      <c r="M8" s="589">
        <f t="shared" si="0"/>
        <v>38602669.52415887</v>
      </c>
      <c r="N8" s="589">
        <f t="shared" si="0"/>
        <v>39116022.96321126</v>
      </c>
      <c r="O8" s="589">
        <f t="shared" si="0"/>
        <v>39637522.43333039</v>
      </c>
      <c r="P8" s="589">
        <f t="shared" si="0"/>
        <v>40167319.77036613</v>
      </c>
      <c r="Q8" s="589">
        <f t="shared" si="0"/>
        <v>40705574.11262449</v>
      </c>
      <c r="R8" s="589">
        <f t="shared" si="0"/>
        <v>40897639.60513933</v>
      </c>
      <c r="S8" s="589">
        <f t="shared" si="0"/>
        <v>41449740.12482042</v>
      </c>
      <c r="T8" s="589">
        <f t="shared" si="0"/>
        <v>42010751.05894602</v>
      </c>
      <c r="U8" s="589">
        <f t="shared" si="0"/>
        <v>42533736.32727042</v>
      </c>
      <c r="V8" s="589">
        <f t="shared" si="0"/>
        <v>43112610.37423276</v>
      </c>
      <c r="W8" s="589">
        <f t="shared" si="0"/>
        <v>43700912.01673853</v>
      </c>
      <c r="X8" s="589">
        <f t="shared" si="0"/>
        <v>44298820.84561421</v>
      </c>
      <c r="Y8" s="589">
        <f t="shared" si="0"/>
        <v>44906524.002765924</v>
      </c>
      <c r="Z8" s="589">
        <f t="shared" si="0"/>
        <v>45524209.30486069</v>
      </c>
      <c r="AA8" s="589">
        <f t="shared" si="0"/>
        <v>46152068.81981774</v>
      </c>
      <c r="AB8" s="589">
        <f t="shared" si="0"/>
        <v>46790301.827902526</v>
      </c>
      <c r="AC8" s="589">
        <f t="shared" si="0"/>
        <v>47439110.1388659</v>
      </c>
    </row>
    <row r="9" spans="1:29" s="586" customFormat="1" ht="19.5" customHeight="1">
      <c r="A9" s="590" t="s">
        <v>628</v>
      </c>
      <c r="B9" s="591" t="s">
        <v>629</v>
      </c>
      <c r="C9" s="592">
        <f>SUM(C10:C12)</f>
        <v>6362905</v>
      </c>
      <c r="D9" s="592">
        <f>SUM(D10:D12)</f>
        <v>8893422</v>
      </c>
      <c r="E9" s="592">
        <f>SUM(E10:E12)</f>
        <v>8435141</v>
      </c>
      <c r="F9" s="592">
        <f aca="true" t="shared" si="1" ref="F9:M9">SUM(F10:F12)</f>
        <v>10269163</v>
      </c>
      <c r="G9" s="592">
        <f t="shared" si="1"/>
        <v>9290683</v>
      </c>
      <c r="H9" s="592">
        <f t="shared" si="1"/>
        <v>9494260.600000001</v>
      </c>
      <c r="I9" s="592">
        <f>SUM(I10:I12)</f>
        <v>9702489.629</v>
      </c>
      <c r="J9" s="592">
        <f>SUM(J10:J12)</f>
        <v>9915478.274950001</v>
      </c>
      <c r="K9" s="592">
        <f t="shared" si="1"/>
        <v>10133338.220552702</v>
      </c>
      <c r="L9" s="592">
        <f t="shared" si="1"/>
        <v>10356182.653068492</v>
      </c>
      <c r="M9" s="592">
        <f t="shared" si="1"/>
        <v>10584129.274315646</v>
      </c>
      <c r="N9" s="592">
        <f>SUM(N10:N12)</f>
        <v>10817297.3108696</v>
      </c>
      <c r="O9" s="592">
        <f>SUM(O10:O12)</f>
        <v>11055809.524465311</v>
      </c>
      <c r="P9" s="592">
        <f>SUM(P10:P12)</f>
        <v>11299790.22260672</v>
      </c>
      <c r="Q9" s="592">
        <f>SUM(Q10:Q12)</f>
        <v>11549369.269387478</v>
      </c>
      <c r="R9" s="592">
        <f aca="true" t="shared" si="2" ref="R9:AC9">SUM(R10:R12)</f>
        <v>11449872.713469952</v>
      </c>
      <c r="S9" s="592">
        <f t="shared" si="2"/>
        <v>11707495.287739351</v>
      </c>
      <c r="T9" s="592">
        <f t="shared" si="2"/>
        <v>11971083.77349414</v>
      </c>
      <c r="U9" s="592">
        <f t="shared" si="2"/>
        <v>12193672.36896402</v>
      </c>
      <c r="V9" s="592">
        <f t="shared" si="2"/>
        <v>12469145.776343301</v>
      </c>
      <c r="W9" s="592">
        <f t="shared" si="2"/>
        <v>12751012.772870168</v>
      </c>
      <c r="X9" s="592">
        <f t="shared" si="2"/>
        <v>13039423.02773757</v>
      </c>
      <c r="Y9" s="592">
        <f t="shared" si="2"/>
        <v>13334532.206710523</v>
      </c>
      <c r="Z9" s="592">
        <f t="shared" si="2"/>
        <v>13636497.590844734</v>
      </c>
      <c r="AA9" s="592">
        <f t="shared" si="2"/>
        <v>13945479.988661628</v>
      </c>
      <c r="AB9" s="592">
        <f t="shared" si="2"/>
        <v>14261647.10843486</v>
      </c>
      <c r="AC9" s="592">
        <f t="shared" si="2"/>
        <v>14585168.872203559</v>
      </c>
    </row>
    <row r="10" spans="1:29" s="586" customFormat="1" ht="19.5" customHeight="1">
      <c r="A10" s="590" t="s">
        <v>313</v>
      </c>
      <c r="B10" s="591" t="s">
        <v>630</v>
      </c>
      <c r="C10" s="592">
        <v>1515900</v>
      </c>
      <c r="D10" s="592">
        <v>819896</v>
      </c>
      <c r="E10" s="592">
        <v>162910</v>
      </c>
      <c r="F10" s="592">
        <v>1382219</v>
      </c>
      <c r="G10" s="592">
        <v>900630</v>
      </c>
      <c r="H10" s="592">
        <f aca="true" t="shared" si="3" ref="H10:Q10">G10*1.01</f>
        <v>909636.3</v>
      </c>
      <c r="I10" s="592">
        <f t="shared" si="3"/>
        <v>918732.6630000001</v>
      </c>
      <c r="J10" s="592">
        <f t="shared" si="3"/>
        <v>927919.9896300001</v>
      </c>
      <c r="K10" s="592">
        <f t="shared" si="3"/>
        <v>937199.1895263001</v>
      </c>
      <c r="L10" s="592">
        <f t="shared" si="3"/>
        <v>946571.181421563</v>
      </c>
      <c r="M10" s="592">
        <f t="shared" si="3"/>
        <v>956036.8932357787</v>
      </c>
      <c r="N10" s="592">
        <f t="shared" si="3"/>
        <v>965597.2621681364</v>
      </c>
      <c r="O10" s="592">
        <f t="shared" si="3"/>
        <v>975253.2347898178</v>
      </c>
      <c r="P10" s="592">
        <f t="shared" si="3"/>
        <v>985005.7671377161</v>
      </c>
      <c r="Q10" s="592">
        <f t="shared" si="3"/>
        <v>994855.8248090933</v>
      </c>
      <c r="R10" s="592">
        <v>650000</v>
      </c>
      <c r="S10" s="592">
        <f>R10*1.01</f>
        <v>656500</v>
      </c>
      <c r="T10" s="592">
        <f>S10*1.01</f>
        <v>663065</v>
      </c>
      <c r="U10" s="592">
        <v>622590</v>
      </c>
      <c r="V10" s="592">
        <f>U10*1.01</f>
        <v>628815.9</v>
      </c>
      <c r="W10" s="592">
        <f>V10*1.01</f>
        <v>635104.059</v>
      </c>
      <c r="X10" s="592">
        <f>W10*1.01</f>
        <v>641455.09959</v>
      </c>
      <c r="Y10" s="592">
        <v>647870</v>
      </c>
      <c r="Z10" s="592">
        <f>Y10*1.01</f>
        <v>654348.7</v>
      </c>
      <c r="AA10" s="592">
        <v>660892</v>
      </c>
      <c r="AB10" s="592">
        <f>AA10*1.01</f>
        <v>667500.92</v>
      </c>
      <c r="AC10" s="592">
        <v>674176</v>
      </c>
    </row>
    <row r="11" spans="1:29" s="586" customFormat="1" ht="19.5" customHeight="1">
      <c r="A11" s="590" t="s">
        <v>316</v>
      </c>
      <c r="B11" s="591" t="s">
        <v>631</v>
      </c>
      <c r="C11" s="592">
        <v>208222</v>
      </c>
      <c r="D11" s="592">
        <v>1857304</v>
      </c>
      <c r="E11" s="592">
        <v>2605297</v>
      </c>
      <c r="F11" s="592">
        <v>2964819</v>
      </c>
      <c r="G11" s="592">
        <v>3035915</v>
      </c>
      <c r="H11" s="592">
        <f>G11*1.02</f>
        <v>3096633.3000000003</v>
      </c>
      <c r="I11" s="592">
        <f aca="true" t="shared" si="4" ref="I11:AC11">H11*1.02</f>
        <v>3158565.9660000005</v>
      </c>
      <c r="J11" s="592">
        <f t="shared" si="4"/>
        <v>3221737.2853200007</v>
      </c>
      <c r="K11" s="592">
        <f t="shared" si="4"/>
        <v>3286172.0310264006</v>
      </c>
      <c r="L11" s="592">
        <f t="shared" si="4"/>
        <v>3351895.4716469287</v>
      </c>
      <c r="M11" s="592">
        <f t="shared" si="4"/>
        <v>3418933.3810798675</v>
      </c>
      <c r="N11" s="592">
        <f t="shared" si="4"/>
        <v>3487312.0487014647</v>
      </c>
      <c r="O11" s="592">
        <f t="shared" si="4"/>
        <v>3557058.289675494</v>
      </c>
      <c r="P11" s="592">
        <f t="shared" si="4"/>
        <v>3628199.4554690043</v>
      </c>
      <c r="Q11" s="592">
        <f t="shared" si="4"/>
        <v>3700763.4445783845</v>
      </c>
      <c r="R11" s="592">
        <f t="shared" si="4"/>
        <v>3774778.7134699523</v>
      </c>
      <c r="S11" s="592">
        <f t="shared" si="4"/>
        <v>3850274.2877393514</v>
      </c>
      <c r="T11" s="592">
        <f t="shared" si="4"/>
        <v>3927279.7734941384</v>
      </c>
      <c r="U11" s="592">
        <f t="shared" si="4"/>
        <v>4005825.368964021</v>
      </c>
      <c r="V11" s="592">
        <f t="shared" si="4"/>
        <v>4085941.8763433015</v>
      </c>
      <c r="W11" s="592">
        <f t="shared" si="4"/>
        <v>4167660.7138701677</v>
      </c>
      <c r="X11" s="592">
        <f t="shared" si="4"/>
        <v>4251013.928147571</v>
      </c>
      <c r="Y11" s="592">
        <f t="shared" si="4"/>
        <v>4336034.206710523</v>
      </c>
      <c r="Z11" s="592">
        <f t="shared" si="4"/>
        <v>4422754.890844733</v>
      </c>
      <c r="AA11" s="592">
        <f t="shared" si="4"/>
        <v>4511209.988661628</v>
      </c>
      <c r="AB11" s="592">
        <f t="shared" si="4"/>
        <v>4601434.188434861</v>
      </c>
      <c r="AC11" s="592">
        <f t="shared" si="4"/>
        <v>4693462.872203558</v>
      </c>
    </row>
    <row r="12" spans="1:29" s="586" customFormat="1" ht="19.5" customHeight="1">
      <c r="A12" s="590" t="s">
        <v>318</v>
      </c>
      <c r="B12" s="591" t="s">
        <v>632</v>
      </c>
      <c r="C12" s="592">
        <v>4638783</v>
      </c>
      <c r="D12" s="592">
        <v>6216222</v>
      </c>
      <c r="E12" s="592">
        <v>5666934</v>
      </c>
      <c r="F12" s="592">
        <v>5922125</v>
      </c>
      <c r="G12" s="592">
        <v>5354138</v>
      </c>
      <c r="H12" s="592">
        <v>5487991</v>
      </c>
      <c r="I12" s="592">
        <v>5625191</v>
      </c>
      <c r="J12" s="592">
        <v>5765821</v>
      </c>
      <c r="K12" s="592">
        <v>5909967</v>
      </c>
      <c r="L12" s="592">
        <v>6057716</v>
      </c>
      <c r="M12" s="592">
        <v>6209159</v>
      </c>
      <c r="N12" s="592">
        <v>6364388</v>
      </c>
      <c r="O12" s="592">
        <v>6523498</v>
      </c>
      <c r="P12" s="592">
        <v>6686585</v>
      </c>
      <c r="Q12" s="592">
        <v>6853750</v>
      </c>
      <c r="R12" s="592">
        <v>7025094</v>
      </c>
      <c r="S12" s="592">
        <v>7200721</v>
      </c>
      <c r="T12" s="592">
        <v>7380739</v>
      </c>
      <c r="U12" s="592">
        <v>7565257</v>
      </c>
      <c r="V12" s="592">
        <v>7754388</v>
      </c>
      <c r="W12" s="592">
        <v>7948248</v>
      </c>
      <c r="X12" s="592">
        <v>8146954</v>
      </c>
      <c r="Y12" s="592">
        <v>8350628</v>
      </c>
      <c r="Z12" s="592">
        <v>8559394</v>
      </c>
      <c r="AA12" s="592">
        <v>8773378</v>
      </c>
      <c r="AB12" s="592">
        <v>8992712</v>
      </c>
      <c r="AC12" s="592">
        <v>9217530</v>
      </c>
    </row>
    <row r="13" spans="1:35" s="586" customFormat="1" ht="19.5" customHeight="1">
      <c r="A13" s="590" t="s">
        <v>633</v>
      </c>
      <c r="B13" s="591" t="s">
        <v>634</v>
      </c>
      <c r="C13" s="592">
        <v>12593121</v>
      </c>
      <c r="D13" s="592">
        <v>17199567</v>
      </c>
      <c r="E13" s="592">
        <v>15867998</v>
      </c>
      <c r="F13" s="592">
        <v>16726387</v>
      </c>
      <c r="G13" s="592">
        <v>16276534</v>
      </c>
      <c r="H13" s="592">
        <f>G13*1.01</f>
        <v>16439299.34</v>
      </c>
      <c r="I13" s="592">
        <v>16762814</v>
      </c>
      <c r="J13" s="592">
        <f aca="true" t="shared" si="5" ref="J13:O13">I13*1.01</f>
        <v>16930442.14</v>
      </c>
      <c r="K13" s="592">
        <f t="shared" si="5"/>
        <v>17099746.5614</v>
      </c>
      <c r="L13" s="592">
        <f t="shared" si="5"/>
        <v>17270744.027014</v>
      </c>
      <c r="M13" s="592">
        <f t="shared" si="5"/>
        <v>17443451.46728414</v>
      </c>
      <c r="N13" s="592">
        <f t="shared" si="5"/>
        <v>17617885.98195698</v>
      </c>
      <c r="O13" s="592">
        <f t="shared" si="5"/>
        <v>17794064.84177655</v>
      </c>
      <c r="P13" s="592">
        <v>17972005</v>
      </c>
      <c r="Q13" s="592">
        <f>P13*1.01</f>
        <v>18151725.05</v>
      </c>
      <c r="R13" s="592">
        <f>Q13*1.01</f>
        <v>18333242.3005</v>
      </c>
      <c r="S13" s="592">
        <v>18516575</v>
      </c>
      <c r="T13" s="592">
        <f>S13*1.01</f>
        <v>18701740.75</v>
      </c>
      <c r="U13" s="592">
        <f>T13*1.01</f>
        <v>18888758.1575</v>
      </c>
      <c r="V13" s="592">
        <f>U13*1.01</f>
        <v>19077645.739074998</v>
      </c>
      <c r="W13" s="592">
        <f>V13*1.01</f>
        <v>19268422.19646575</v>
      </c>
      <c r="X13" s="592">
        <v>19461106</v>
      </c>
      <c r="Y13" s="592">
        <f>X13*1.01</f>
        <v>19655717.06</v>
      </c>
      <c r="Z13" s="592">
        <f>Y13*1.01</f>
        <v>19852274.2306</v>
      </c>
      <c r="AA13" s="592">
        <f>Z13*1.01</f>
        <v>20050796.972906</v>
      </c>
      <c r="AB13" s="592">
        <f>AA13*1.01</f>
        <v>20251304.94263506</v>
      </c>
      <c r="AC13" s="592">
        <f>AB13*1.01</f>
        <v>20453817.99206141</v>
      </c>
      <c r="AI13" s="593"/>
    </row>
    <row r="14" spans="1:29" s="586" customFormat="1" ht="19.5" customHeight="1">
      <c r="A14" s="590" t="s">
        <v>635</v>
      </c>
      <c r="B14" s="594" t="s">
        <v>636</v>
      </c>
      <c r="C14" s="592">
        <v>14062446</v>
      </c>
      <c r="D14" s="592">
        <v>8152939</v>
      </c>
      <c r="E14" s="592">
        <v>8523151</v>
      </c>
      <c r="F14" s="592">
        <v>11549508</v>
      </c>
      <c r="G14" s="592">
        <v>9962212</v>
      </c>
      <c r="H14" s="592">
        <f>G14*1.01</f>
        <v>10061834.12</v>
      </c>
      <c r="I14" s="592">
        <f aca="true" t="shared" si="6" ref="I14:AB14">H14*1.01</f>
        <v>10162452.461199999</v>
      </c>
      <c r="J14" s="592">
        <f t="shared" si="6"/>
        <v>10264076.985811999</v>
      </c>
      <c r="K14" s="592">
        <f t="shared" si="6"/>
        <v>10366717.75567012</v>
      </c>
      <c r="L14" s="592">
        <f t="shared" si="6"/>
        <v>10470384.93322682</v>
      </c>
      <c r="M14" s="592">
        <f t="shared" si="6"/>
        <v>10575088.782559087</v>
      </c>
      <c r="N14" s="592">
        <f t="shared" si="6"/>
        <v>10680839.670384679</v>
      </c>
      <c r="O14" s="592">
        <f t="shared" si="6"/>
        <v>10787648.067088526</v>
      </c>
      <c r="P14" s="592">
        <f>O14*1.01</f>
        <v>10895524.547759412</v>
      </c>
      <c r="Q14" s="592">
        <f t="shared" si="6"/>
        <v>11004479.793237006</v>
      </c>
      <c r="R14" s="592">
        <f t="shared" si="6"/>
        <v>11114524.591169376</v>
      </c>
      <c r="S14" s="592">
        <f t="shared" si="6"/>
        <v>11225669.83708107</v>
      </c>
      <c r="T14" s="592">
        <f t="shared" si="6"/>
        <v>11337926.53545188</v>
      </c>
      <c r="U14" s="592">
        <f>T14*1.01</f>
        <v>11451305.8008064</v>
      </c>
      <c r="V14" s="592">
        <f t="shared" si="6"/>
        <v>11565818.858814463</v>
      </c>
      <c r="W14" s="592">
        <f t="shared" si="6"/>
        <v>11681477.047402607</v>
      </c>
      <c r="X14" s="592">
        <f t="shared" si="6"/>
        <v>11798291.817876633</v>
      </c>
      <c r="Y14" s="592">
        <f t="shared" si="6"/>
        <v>11916274.7360554</v>
      </c>
      <c r="Z14" s="592">
        <f t="shared" si="6"/>
        <v>12035437.483415954</v>
      </c>
      <c r="AA14" s="592">
        <f t="shared" si="6"/>
        <v>12155791.858250113</v>
      </c>
      <c r="AB14" s="592">
        <f t="shared" si="6"/>
        <v>12277349.776832614</v>
      </c>
      <c r="AC14" s="592">
        <f>AB14*1.01</f>
        <v>12400123.27460094</v>
      </c>
    </row>
    <row r="15" spans="1:29" s="586" customFormat="1" ht="19.5" customHeight="1">
      <c r="A15" s="587" t="s">
        <v>307</v>
      </c>
      <c r="B15" s="588" t="s">
        <v>393</v>
      </c>
      <c r="C15" s="589">
        <f>SUM(C16:C17)</f>
        <v>33174234</v>
      </c>
      <c r="D15" s="589">
        <f>SUM(D16:D17)</f>
        <v>30631087</v>
      </c>
      <c r="E15" s="589">
        <f>SUM(E16:E17)</f>
        <v>34328273</v>
      </c>
      <c r="F15" s="589">
        <f aca="true" t="shared" si="7" ref="F15:AC15">SUM(F16:F17)</f>
        <v>38924107</v>
      </c>
      <c r="G15" s="589">
        <f t="shared" si="7"/>
        <v>34528077</v>
      </c>
      <c r="H15" s="589">
        <f t="shared" si="7"/>
        <v>35271577.385</v>
      </c>
      <c r="I15" s="589">
        <f t="shared" si="7"/>
        <v>35443935.271924995</v>
      </c>
      <c r="J15" s="589">
        <f t="shared" si="7"/>
        <v>35617154.94828462</v>
      </c>
      <c r="K15" s="589">
        <f t="shared" si="7"/>
        <v>36191240.72302604</v>
      </c>
      <c r="L15" s="589">
        <f t="shared" si="7"/>
        <v>36366196.926641166</v>
      </c>
      <c r="M15" s="589">
        <f t="shared" si="7"/>
        <v>36542027.911274366</v>
      </c>
      <c r="N15" s="589">
        <f t="shared" si="7"/>
        <v>36718738.05083074</v>
      </c>
      <c r="O15" s="589">
        <f t="shared" si="7"/>
        <v>36896331.74108489</v>
      </c>
      <c r="P15" s="589">
        <f t="shared" si="7"/>
        <v>37074813.39979031</v>
      </c>
      <c r="Q15" s="589">
        <f t="shared" si="7"/>
        <v>37254187.46678926</v>
      </c>
      <c r="R15" s="589">
        <f t="shared" si="7"/>
        <v>37434458.4041232</v>
      </c>
      <c r="S15" s="589">
        <f t="shared" si="7"/>
        <v>37615630.69614381</v>
      </c>
      <c r="T15" s="589">
        <f t="shared" si="7"/>
        <v>37797708.84962453</v>
      </c>
      <c r="U15" s="589">
        <f t="shared" si="7"/>
        <v>37980697.39387265</v>
      </c>
      <c r="V15" s="589">
        <f t="shared" si="7"/>
        <v>38164600.88084201</v>
      </c>
      <c r="W15" s="589">
        <f t="shared" si="7"/>
        <v>38349423.88524622</v>
      </c>
      <c r="X15" s="589">
        <f t="shared" si="7"/>
        <v>38535171.004672445</v>
      </c>
      <c r="Y15" s="589">
        <f t="shared" si="7"/>
        <v>38721846.85969581</v>
      </c>
      <c r="Z15" s="589">
        <f t="shared" si="7"/>
        <v>38909456.09399428</v>
      </c>
      <c r="AA15" s="589">
        <f t="shared" si="7"/>
        <v>39098003.37446425</v>
      </c>
      <c r="AB15" s="589">
        <f t="shared" si="7"/>
        <v>39287493.39133657</v>
      </c>
      <c r="AC15" s="589">
        <f t="shared" si="7"/>
        <v>39477930.85829325</v>
      </c>
    </row>
    <row r="16" spans="1:29" s="586" customFormat="1" ht="19.5" customHeight="1">
      <c r="A16" s="590" t="s">
        <v>628</v>
      </c>
      <c r="B16" s="591" t="s">
        <v>637</v>
      </c>
      <c r="C16" s="592">
        <v>28635322</v>
      </c>
      <c r="D16" s="592">
        <v>29448799</v>
      </c>
      <c r="E16" s="592">
        <v>31255712</v>
      </c>
      <c r="F16" s="592">
        <v>36076970</v>
      </c>
      <c r="G16" s="592">
        <v>34300077</v>
      </c>
      <c r="H16" s="592">
        <f aca="true" t="shared" si="8" ref="H16:AC16">G16*1.005</f>
        <v>34471577.385</v>
      </c>
      <c r="I16" s="592">
        <f t="shared" si="8"/>
        <v>34643935.271924995</v>
      </c>
      <c r="J16" s="592">
        <f t="shared" si="8"/>
        <v>34817154.94828462</v>
      </c>
      <c r="K16" s="592">
        <f>J16*1.005</f>
        <v>34991240.72302604</v>
      </c>
      <c r="L16" s="592">
        <f t="shared" si="8"/>
        <v>35166196.926641166</v>
      </c>
      <c r="M16" s="592">
        <f t="shared" si="8"/>
        <v>35342027.911274366</v>
      </c>
      <c r="N16" s="592">
        <f>M16*1.005</f>
        <v>35518738.05083074</v>
      </c>
      <c r="O16" s="592">
        <f t="shared" si="8"/>
        <v>35696331.74108489</v>
      </c>
      <c r="P16" s="592">
        <f t="shared" si="8"/>
        <v>35874813.39979031</v>
      </c>
      <c r="Q16" s="592">
        <f>P16*1.005</f>
        <v>36054187.46678926</v>
      </c>
      <c r="R16" s="592">
        <f t="shared" si="8"/>
        <v>36234458.4041232</v>
      </c>
      <c r="S16" s="592">
        <f t="shared" si="8"/>
        <v>36415630.69614381</v>
      </c>
      <c r="T16" s="592">
        <f t="shared" si="8"/>
        <v>36597708.84962453</v>
      </c>
      <c r="U16" s="592">
        <f>T16*1.005</f>
        <v>36780697.39387265</v>
      </c>
      <c r="V16" s="592">
        <f t="shared" si="8"/>
        <v>36964600.88084201</v>
      </c>
      <c r="W16" s="592">
        <f t="shared" si="8"/>
        <v>37149423.88524622</v>
      </c>
      <c r="X16" s="592">
        <f>W16*1.005</f>
        <v>37335171.004672445</v>
      </c>
      <c r="Y16" s="592">
        <f t="shared" si="8"/>
        <v>37521846.85969581</v>
      </c>
      <c r="Z16" s="592">
        <f>Y16*1.005</f>
        <v>37709456.09399428</v>
      </c>
      <c r="AA16" s="592">
        <f t="shared" si="8"/>
        <v>37898003.37446425</v>
      </c>
      <c r="AB16" s="592">
        <f t="shared" si="8"/>
        <v>38087493.39133657</v>
      </c>
      <c r="AC16" s="592">
        <f t="shared" si="8"/>
        <v>38277930.85829325</v>
      </c>
    </row>
    <row r="17" spans="1:29" s="586" customFormat="1" ht="19.5" customHeight="1">
      <c r="A17" s="590" t="s">
        <v>633</v>
      </c>
      <c r="B17" s="591" t="s">
        <v>638</v>
      </c>
      <c r="C17" s="592">
        <v>4538912</v>
      </c>
      <c r="D17" s="592">
        <v>1182288</v>
      </c>
      <c r="E17" s="592">
        <v>3072561</v>
      </c>
      <c r="F17" s="592">
        <v>2847137</v>
      </c>
      <c r="G17" s="592">
        <v>228000</v>
      </c>
      <c r="H17" s="592">
        <v>800000</v>
      </c>
      <c r="I17" s="592">
        <v>800000</v>
      </c>
      <c r="J17" s="592">
        <v>800000</v>
      </c>
      <c r="K17" s="592">
        <v>1200000</v>
      </c>
      <c r="L17" s="592">
        <v>1200000</v>
      </c>
      <c r="M17" s="592">
        <v>1200000</v>
      </c>
      <c r="N17" s="592">
        <v>1200000</v>
      </c>
      <c r="O17" s="592">
        <v>1200000</v>
      </c>
      <c r="P17" s="592">
        <v>1200000</v>
      </c>
      <c r="Q17" s="592">
        <v>1200000</v>
      </c>
      <c r="R17" s="592">
        <v>1200000</v>
      </c>
      <c r="S17" s="592">
        <v>1200000</v>
      </c>
      <c r="T17" s="592">
        <v>1200000</v>
      </c>
      <c r="U17" s="592">
        <v>1200000</v>
      </c>
      <c r="V17" s="592">
        <v>1200000</v>
      </c>
      <c r="W17" s="592">
        <v>1200000</v>
      </c>
      <c r="X17" s="592">
        <v>1200000</v>
      </c>
      <c r="Y17" s="592">
        <v>1200000</v>
      </c>
      <c r="Z17" s="592">
        <v>1200000</v>
      </c>
      <c r="AA17" s="592">
        <v>1200000</v>
      </c>
      <c r="AB17" s="592">
        <v>1200000</v>
      </c>
      <c r="AC17" s="592">
        <v>1200000</v>
      </c>
    </row>
    <row r="18" spans="1:29" s="586" customFormat="1" ht="19.5" customHeight="1">
      <c r="A18" s="587" t="s">
        <v>311</v>
      </c>
      <c r="B18" s="588" t="s">
        <v>639</v>
      </c>
      <c r="C18" s="589">
        <f>C19+C23+C27+C28</f>
        <v>4073579</v>
      </c>
      <c r="D18" s="589">
        <f>D19+D23+D27+D28</f>
        <v>14901697</v>
      </c>
      <c r="E18" s="589">
        <f>E19+E23+E27+E28</f>
        <v>1041064</v>
      </c>
      <c r="F18" s="589">
        <f aca="true" t="shared" si="9" ref="F18:AC18">F19+F23+F27+F28+F29</f>
        <v>1289073</v>
      </c>
      <c r="G18" s="589">
        <f t="shared" si="9"/>
        <v>1611132</v>
      </c>
      <c r="H18" s="589">
        <f t="shared" si="9"/>
        <v>1543530</v>
      </c>
      <c r="I18" s="589">
        <f t="shared" si="9"/>
        <v>1674270</v>
      </c>
      <c r="J18" s="589">
        <f t="shared" si="9"/>
        <v>1648310</v>
      </c>
      <c r="K18" s="589">
        <f t="shared" si="9"/>
        <v>1547578</v>
      </c>
      <c r="L18" s="589">
        <f t="shared" si="9"/>
        <v>1521618</v>
      </c>
      <c r="M18" s="589">
        <f t="shared" si="9"/>
        <v>1495658</v>
      </c>
      <c r="N18" s="589">
        <f t="shared" si="9"/>
        <v>1466688</v>
      </c>
      <c r="O18" s="589">
        <f t="shared" si="9"/>
        <v>1443731</v>
      </c>
      <c r="P18" s="589">
        <f t="shared" si="9"/>
        <v>1151719</v>
      </c>
      <c r="Q18" s="589">
        <f t="shared" si="9"/>
        <v>1031769.6</v>
      </c>
      <c r="R18" s="589">
        <f t="shared" si="9"/>
        <v>818016</v>
      </c>
      <c r="S18" s="589">
        <f t="shared" si="9"/>
        <v>783974.4</v>
      </c>
      <c r="T18" s="589">
        <f t="shared" si="9"/>
        <v>749932.8</v>
      </c>
      <c r="U18" s="589">
        <f t="shared" si="9"/>
        <v>715891.2</v>
      </c>
      <c r="V18" s="589">
        <f t="shared" si="9"/>
        <v>681849.6</v>
      </c>
      <c r="W18" s="589">
        <f t="shared" si="9"/>
        <v>647808</v>
      </c>
      <c r="X18" s="589">
        <f t="shared" si="9"/>
        <v>613766.4</v>
      </c>
      <c r="Y18" s="589">
        <f t="shared" si="9"/>
        <v>579724.8</v>
      </c>
      <c r="Z18" s="589">
        <f t="shared" si="9"/>
        <v>545683.2</v>
      </c>
      <c r="AA18" s="589">
        <f t="shared" si="9"/>
        <v>511641.6</v>
      </c>
      <c r="AB18" s="589">
        <f t="shared" si="9"/>
        <v>477600</v>
      </c>
      <c r="AC18" s="589">
        <f t="shared" si="9"/>
        <v>234499.2</v>
      </c>
    </row>
    <row r="19" spans="1:29" s="586" customFormat="1" ht="19.5" customHeight="1">
      <c r="A19" s="590" t="s">
        <v>628</v>
      </c>
      <c r="B19" s="591" t="s">
        <v>640</v>
      </c>
      <c r="C19" s="592">
        <f>SUM(C20:C22)</f>
        <v>1073579</v>
      </c>
      <c r="D19" s="592">
        <f aca="true" t="shared" si="10" ref="D19:AC19">SUM(D20:D22)</f>
        <v>7901697</v>
      </c>
      <c r="E19" s="592">
        <f t="shared" si="10"/>
        <v>1041064</v>
      </c>
      <c r="F19" s="592">
        <f t="shared" si="10"/>
        <v>1274073</v>
      </c>
      <c r="G19" s="592">
        <f t="shared" si="10"/>
        <v>1307244</v>
      </c>
      <c r="H19" s="592">
        <f t="shared" si="10"/>
        <v>1254642</v>
      </c>
      <c r="I19" s="592">
        <f t="shared" si="10"/>
        <v>1385382</v>
      </c>
      <c r="J19" s="592">
        <f t="shared" si="10"/>
        <v>1359422</v>
      </c>
      <c r="K19" s="592">
        <f t="shared" si="10"/>
        <v>1258690</v>
      </c>
      <c r="L19" s="592">
        <f t="shared" si="10"/>
        <v>1232730</v>
      </c>
      <c r="M19" s="592">
        <f t="shared" si="10"/>
        <v>1206770</v>
      </c>
      <c r="N19" s="592">
        <f t="shared" si="10"/>
        <v>1177800</v>
      </c>
      <c r="O19" s="592">
        <f t="shared" si="10"/>
        <v>1154843</v>
      </c>
      <c r="P19" s="592">
        <f t="shared" si="10"/>
        <v>1151719</v>
      </c>
      <c r="Q19" s="592">
        <f t="shared" si="10"/>
        <v>1031769.6</v>
      </c>
      <c r="R19" s="592">
        <f t="shared" si="10"/>
        <v>818016</v>
      </c>
      <c r="S19" s="592">
        <f t="shared" si="10"/>
        <v>783974.4</v>
      </c>
      <c r="T19" s="592">
        <f t="shared" si="10"/>
        <v>749932.8</v>
      </c>
      <c r="U19" s="592">
        <f t="shared" si="10"/>
        <v>715891.2</v>
      </c>
      <c r="V19" s="592">
        <f t="shared" si="10"/>
        <v>681849.6</v>
      </c>
      <c r="W19" s="592">
        <f t="shared" si="10"/>
        <v>647808</v>
      </c>
      <c r="X19" s="592">
        <f t="shared" si="10"/>
        <v>613766.4</v>
      </c>
      <c r="Y19" s="592">
        <f t="shared" si="10"/>
        <v>579724.8</v>
      </c>
      <c r="Z19" s="592">
        <f t="shared" si="10"/>
        <v>545683.2</v>
      </c>
      <c r="AA19" s="592">
        <f t="shared" si="10"/>
        <v>511641.6</v>
      </c>
      <c r="AB19" s="592">
        <f t="shared" si="10"/>
        <v>477600</v>
      </c>
      <c r="AC19" s="592">
        <f t="shared" si="10"/>
        <v>234499.2</v>
      </c>
    </row>
    <row r="20" spans="1:29" s="586" customFormat="1" ht="19.5" customHeight="1">
      <c r="A20" s="590" t="s">
        <v>313</v>
      </c>
      <c r="B20" s="591" t="s">
        <v>641</v>
      </c>
      <c r="C20" s="592">
        <v>157183</v>
      </c>
      <c r="D20" s="592">
        <v>6704199</v>
      </c>
      <c r="E20" s="592">
        <v>220015</v>
      </c>
      <c r="F20" s="592">
        <v>674073</v>
      </c>
      <c r="G20" s="592">
        <v>547847</v>
      </c>
      <c r="H20" s="592">
        <v>510292</v>
      </c>
      <c r="I20" s="592">
        <v>666992</v>
      </c>
      <c r="J20" s="592">
        <v>666992</v>
      </c>
      <c r="K20" s="592">
        <v>592220</v>
      </c>
      <c r="L20" s="592">
        <v>592220</v>
      </c>
      <c r="M20" s="592">
        <v>592220</v>
      </c>
      <c r="N20" s="592">
        <v>592220</v>
      </c>
      <c r="O20" s="592">
        <v>592220</v>
      </c>
      <c r="P20" s="592">
        <f>425520+166700</f>
        <v>592220</v>
      </c>
      <c r="Q20" s="592">
        <f>425520+166400</f>
        <v>591920</v>
      </c>
      <c r="R20" s="592">
        <v>425520</v>
      </c>
      <c r="S20" s="592">
        <f aca="true" t="shared" si="11" ref="S20:AA21">R20</f>
        <v>425520</v>
      </c>
      <c r="T20" s="592">
        <f t="shared" si="11"/>
        <v>425520</v>
      </c>
      <c r="U20" s="592">
        <f t="shared" si="11"/>
        <v>425520</v>
      </c>
      <c r="V20" s="592">
        <f t="shared" si="11"/>
        <v>425520</v>
      </c>
      <c r="W20" s="592">
        <f t="shared" si="11"/>
        <v>425520</v>
      </c>
      <c r="X20" s="592">
        <f t="shared" si="11"/>
        <v>425520</v>
      </c>
      <c r="Y20" s="592">
        <f t="shared" si="11"/>
        <v>425520</v>
      </c>
      <c r="Z20" s="592">
        <f t="shared" si="11"/>
        <v>425520</v>
      </c>
      <c r="AA20" s="592">
        <f t="shared" si="11"/>
        <v>425520</v>
      </c>
      <c r="AB20" s="592">
        <f>AA20</f>
        <v>425520</v>
      </c>
      <c r="AC20" s="592">
        <v>225480</v>
      </c>
    </row>
    <row r="21" spans="1:30" s="586" customFormat="1" ht="55.5" customHeight="1">
      <c r="A21" s="590" t="s">
        <v>316</v>
      </c>
      <c r="B21" s="595" t="s">
        <v>642</v>
      </c>
      <c r="C21" s="592">
        <v>0</v>
      </c>
      <c r="D21" s="592">
        <v>0</v>
      </c>
      <c r="E21" s="592">
        <v>0</v>
      </c>
      <c r="F21" s="592">
        <v>0</v>
      </c>
      <c r="G21" s="592">
        <v>0</v>
      </c>
      <c r="H21" s="592">
        <v>0</v>
      </c>
      <c r="I21" s="592">
        <v>0</v>
      </c>
      <c r="J21" s="592">
        <v>0</v>
      </c>
      <c r="K21" s="592">
        <v>0</v>
      </c>
      <c r="L21" s="592">
        <v>0</v>
      </c>
      <c r="M21" s="592">
        <v>0</v>
      </c>
      <c r="N21" s="592">
        <f>M21</f>
        <v>0</v>
      </c>
      <c r="O21" s="592">
        <f>N21</f>
        <v>0</v>
      </c>
      <c r="P21" s="592">
        <v>0</v>
      </c>
      <c r="Q21" s="592">
        <v>0</v>
      </c>
      <c r="R21" s="592">
        <v>0</v>
      </c>
      <c r="S21" s="592">
        <f t="shared" si="11"/>
        <v>0</v>
      </c>
      <c r="T21" s="592">
        <f t="shared" si="11"/>
        <v>0</v>
      </c>
      <c r="U21" s="592">
        <f t="shared" si="11"/>
        <v>0</v>
      </c>
      <c r="V21" s="592">
        <f t="shared" si="11"/>
        <v>0</v>
      </c>
      <c r="W21" s="592">
        <v>0</v>
      </c>
      <c r="X21" s="592">
        <v>0</v>
      </c>
      <c r="Y21" s="592">
        <v>0</v>
      </c>
      <c r="Z21" s="592">
        <f t="shared" si="11"/>
        <v>0</v>
      </c>
      <c r="AA21" s="592">
        <v>0</v>
      </c>
      <c r="AB21" s="592">
        <v>0</v>
      </c>
      <c r="AC21" s="592">
        <v>0</v>
      </c>
      <c r="AD21" s="593"/>
    </row>
    <row r="22" spans="1:29" s="586" customFormat="1" ht="19.5" customHeight="1">
      <c r="A22" s="590" t="s">
        <v>318</v>
      </c>
      <c r="B22" s="591" t="s">
        <v>643</v>
      </c>
      <c r="C22" s="592">
        <v>916396</v>
      </c>
      <c r="D22" s="592">
        <v>1197498</v>
      </c>
      <c r="E22" s="592">
        <v>821049</v>
      </c>
      <c r="F22" s="592">
        <v>600000</v>
      </c>
      <c r="G22" s="592">
        <v>759397</v>
      </c>
      <c r="H22" s="592">
        <v>744350</v>
      </c>
      <c r="I22" s="592">
        <v>718390</v>
      </c>
      <c r="J22" s="592">
        <v>692430</v>
      </c>
      <c r="K22" s="592">
        <v>666470</v>
      </c>
      <c r="L22" s="592">
        <v>640510</v>
      </c>
      <c r="M22" s="592">
        <v>614550</v>
      </c>
      <c r="N22" s="592">
        <v>585580</v>
      </c>
      <c r="O22" s="592">
        <v>562623</v>
      </c>
      <c r="P22" s="592">
        <v>559499</v>
      </c>
      <c r="Q22" s="592">
        <f aca="true" t="shared" si="12" ref="Q22:AB22">P31*8/100</f>
        <v>439849.6</v>
      </c>
      <c r="R22" s="592">
        <f t="shared" si="12"/>
        <v>392496</v>
      </c>
      <c r="S22" s="592">
        <f t="shared" si="12"/>
        <v>358454.4</v>
      </c>
      <c r="T22" s="592">
        <f t="shared" si="12"/>
        <v>324412.8</v>
      </c>
      <c r="U22" s="592">
        <f t="shared" si="12"/>
        <v>290371.2</v>
      </c>
      <c r="V22" s="592">
        <f t="shared" si="12"/>
        <v>256329.6</v>
      </c>
      <c r="W22" s="592">
        <f t="shared" si="12"/>
        <v>222288</v>
      </c>
      <c r="X22" s="592">
        <f t="shared" si="12"/>
        <v>188246.4</v>
      </c>
      <c r="Y22" s="592">
        <f t="shared" si="12"/>
        <v>154204.8</v>
      </c>
      <c r="Z22" s="592">
        <f t="shared" si="12"/>
        <v>120163.2</v>
      </c>
      <c r="AA22" s="592">
        <f t="shared" si="12"/>
        <v>86121.6</v>
      </c>
      <c r="AB22" s="592">
        <f t="shared" si="12"/>
        <v>52080</v>
      </c>
      <c r="AC22" s="592">
        <f>AB31*4/100</f>
        <v>9019.2</v>
      </c>
    </row>
    <row r="23" spans="1:29" s="586" customFormat="1" ht="22.5">
      <c r="A23" s="590" t="s">
        <v>633</v>
      </c>
      <c r="B23" s="594" t="s">
        <v>644</v>
      </c>
      <c r="C23" s="592">
        <f>SUM(C24:C26)</f>
        <v>0</v>
      </c>
      <c r="D23" s="592">
        <f aca="true" t="shared" si="13" ref="D23:AC23">SUM(D24:D26)</f>
        <v>0</v>
      </c>
      <c r="E23" s="592">
        <f t="shared" si="13"/>
        <v>0</v>
      </c>
      <c r="F23" s="592">
        <f t="shared" si="13"/>
        <v>0</v>
      </c>
      <c r="G23" s="592">
        <f t="shared" si="13"/>
        <v>0</v>
      </c>
      <c r="H23" s="592">
        <f t="shared" si="13"/>
        <v>0</v>
      </c>
      <c r="I23" s="592">
        <f t="shared" si="13"/>
        <v>0</v>
      </c>
      <c r="J23" s="592">
        <f t="shared" si="13"/>
        <v>0</v>
      </c>
      <c r="K23" s="592">
        <f t="shared" si="13"/>
        <v>0</v>
      </c>
      <c r="L23" s="592">
        <f t="shared" si="13"/>
        <v>0</v>
      </c>
      <c r="M23" s="592">
        <f t="shared" si="13"/>
        <v>0</v>
      </c>
      <c r="N23" s="592">
        <f t="shared" si="13"/>
        <v>0</v>
      </c>
      <c r="O23" s="592">
        <f t="shared" si="13"/>
        <v>0</v>
      </c>
      <c r="P23" s="592">
        <f t="shared" si="13"/>
        <v>0</v>
      </c>
      <c r="Q23" s="592">
        <f t="shared" si="13"/>
        <v>0</v>
      </c>
      <c r="R23" s="592">
        <f t="shared" si="13"/>
        <v>0</v>
      </c>
      <c r="S23" s="592">
        <f t="shared" si="13"/>
        <v>0</v>
      </c>
      <c r="T23" s="592">
        <f t="shared" si="13"/>
        <v>0</v>
      </c>
      <c r="U23" s="592">
        <f t="shared" si="13"/>
        <v>0</v>
      </c>
      <c r="V23" s="592">
        <f t="shared" si="13"/>
        <v>0</v>
      </c>
      <c r="W23" s="592">
        <f t="shared" si="13"/>
        <v>0</v>
      </c>
      <c r="X23" s="592">
        <f t="shared" si="13"/>
        <v>0</v>
      </c>
      <c r="Y23" s="592">
        <f t="shared" si="13"/>
        <v>0</v>
      </c>
      <c r="Z23" s="592">
        <f t="shared" si="13"/>
        <v>0</v>
      </c>
      <c r="AA23" s="592">
        <f t="shared" si="13"/>
        <v>0</v>
      </c>
      <c r="AB23" s="592">
        <f t="shared" si="13"/>
        <v>0</v>
      </c>
      <c r="AC23" s="592">
        <f t="shared" si="13"/>
        <v>0</v>
      </c>
    </row>
    <row r="24" spans="1:32" s="586" customFormat="1" ht="17.25" customHeight="1">
      <c r="A24" s="590" t="s">
        <v>313</v>
      </c>
      <c r="B24" s="594" t="s">
        <v>641</v>
      </c>
      <c r="C24" s="592">
        <v>0</v>
      </c>
      <c r="D24" s="592">
        <v>0</v>
      </c>
      <c r="E24" s="592">
        <v>0</v>
      </c>
      <c r="F24" s="592">
        <v>0</v>
      </c>
      <c r="G24" s="592">
        <v>0</v>
      </c>
      <c r="H24" s="592">
        <v>0</v>
      </c>
      <c r="I24" s="592">
        <v>0</v>
      </c>
      <c r="J24" s="592">
        <v>0</v>
      </c>
      <c r="K24" s="592">
        <v>0</v>
      </c>
      <c r="L24" s="592">
        <v>0</v>
      </c>
      <c r="M24" s="592">
        <v>0</v>
      </c>
      <c r="N24" s="592">
        <v>0</v>
      </c>
      <c r="O24" s="592">
        <v>0</v>
      </c>
      <c r="P24" s="592">
        <v>0</v>
      </c>
      <c r="Q24" s="592">
        <v>0</v>
      </c>
      <c r="R24" s="592">
        <v>0</v>
      </c>
      <c r="S24" s="592">
        <v>0</v>
      </c>
      <c r="T24" s="592">
        <v>0</v>
      </c>
      <c r="U24" s="592">
        <v>0</v>
      </c>
      <c r="V24" s="592">
        <v>0</v>
      </c>
      <c r="W24" s="592">
        <v>0</v>
      </c>
      <c r="X24" s="592">
        <v>0</v>
      </c>
      <c r="Y24" s="592">
        <v>0</v>
      </c>
      <c r="Z24" s="592">
        <v>0</v>
      </c>
      <c r="AA24" s="592">
        <v>0</v>
      </c>
      <c r="AB24" s="592">
        <v>0</v>
      </c>
      <c r="AC24" s="592">
        <v>0</v>
      </c>
      <c r="AF24" s="593"/>
    </row>
    <row r="25" spans="1:37" s="586" customFormat="1" ht="55.5" customHeight="1">
      <c r="A25" s="590" t="s">
        <v>316</v>
      </c>
      <c r="B25" s="595" t="s">
        <v>645</v>
      </c>
      <c r="C25" s="592">
        <v>0</v>
      </c>
      <c r="D25" s="592">
        <v>0</v>
      </c>
      <c r="E25" s="592">
        <v>0</v>
      </c>
      <c r="F25" s="592">
        <v>0</v>
      </c>
      <c r="G25" s="592">
        <v>0</v>
      </c>
      <c r="H25" s="592">
        <v>0</v>
      </c>
      <c r="I25" s="592">
        <v>0</v>
      </c>
      <c r="J25" s="592">
        <v>0</v>
      </c>
      <c r="K25" s="592">
        <v>0</v>
      </c>
      <c r="L25" s="592">
        <v>0</v>
      </c>
      <c r="M25" s="592">
        <v>0</v>
      </c>
      <c r="N25" s="592">
        <v>0</v>
      </c>
      <c r="O25" s="592">
        <v>0</v>
      </c>
      <c r="P25" s="592">
        <v>0</v>
      </c>
      <c r="Q25" s="592">
        <v>0</v>
      </c>
      <c r="R25" s="592">
        <v>0</v>
      </c>
      <c r="S25" s="592">
        <v>0</v>
      </c>
      <c r="T25" s="592">
        <v>0</v>
      </c>
      <c r="U25" s="592">
        <v>0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2">
        <v>0</v>
      </c>
      <c r="AB25" s="592">
        <v>0</v>
      </c>
      <c r="AC25" s="592">
        <v>0</v>
      </c>
      <c r="AD25" s="596"/>
      <c r="AE25" s="596"/>
      <c r="AF25" s="597"/>
      <c r="AG25" s="596"/>
      <c r="AH25" s="596"/>
      <c r="AI25" s="596"/>
      <c r="AJ25" s="596"/>
      <c r="AK25" s="596"/>
    </row>
    <row r="26" spans="1:32" s="586" customFormat="1" ht="12.75" customHeight="1">
      <c r="A26" s="590" t="s">
        <v>318</v>
      </c>
      <c r="B26" s="595" t="s">
        <v>643</v>
      </c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F26" s="593"/>
    </row>
    <row r="27" spans="1:29" s="586" customFormat="1" ht="12.75">
      <c r="A27" s="590" t="s">
        <v>635</v>
      </c>
      <c r="B27" s="591" t="s">
        <v>646</v>
      </c>
      <c r="C27" s="592">
        <v>0</v>
      </c>
      <c r="D27" s="592">
        <v>0</v>
      </c>
      <c r="E27" s="592">
        <v>0</v>
      </c>
      <c r="F27" s="592">
        <v>0</v>
      </c>
      <c r="G27" s="592">
        <v>288888</v>
      </c>
      <c r="H27" s="592">
        <v>288888</v>
      </c>
      <c r="I27" s="592">
        <v>288888</v>
      </c>
      <c r="J27" s="592">
        <v>288888</v>
      </c>
      <c r="K27" s="592">
        <f>J27</f>
        <v>288888</v>
      </c>
      <c r="L27" s="592">
        <f>K27</f>
        <v>288888</v>
      </c>
      <c r="M27" s="592">
        <f>L27</f>
        <v>288888</v>
      </c>
      <c r="N27" s="592">
        <f>M27</f>
        <v>288888</v>
      </c>
      <c r="O27" s="592">
        <f>N27</f>
        <v>288888</v>
      </c>
      <c r="P27" s="592">
        <v>0</v>
      </c>
      <c r="Q27" s="592">
        <v>0</v>
      </c>
      <c r="R27" s="592">
        <v>0</v>
      </c>
      <c r="S27" s="592">
        <v>0</v>
      </c>
      <c r="T27" s="592">
        <v>0</v>
      </c>
      <c r="U27" s="592">
        <v>0</v>
      </c>
      <c r="V27" s="592">
        <v>0</v>
      </c>
      <c r="W27" s="592">
        <v>0</v>
      </c>
      <c r="X27" s="592">
        <v>0</v>
      </c>
      <c r="Y27" s="592">
        <v>0</v>
      </c>
      <c r="Z27" s="592">
        <v>0</v>
      </c>
      <c r="AA27" s="592">
        <v>0</v>
      </c>
      <c r="AB27" s="592">
        <v>0</v>
      </c>
      <c r="AC27" s="592">
        <v>0</v>
      </c>
    </row>
    <row r="28" spans="1:29" s="586" customFormat="1" ht="12.75" customHeight="1">
      <c r="A28" s="590" t="s">
        <v>647</v>
      </c>
      <c r="B28" s="594" t="s">
        <v>648</v>
      </c>
      <c r="C28" s="592">
        <v>3000000</v>
      </c>
      <c r="D28" s="592">
        <v>7000000</v>
      </c>
      <c r="E28" s="592">
        <v>0</v>
      </c>
      <c r="F28" s="592">
        <v>0</v>
      </c>
      <c r="G28" s="592">
        <v>0</v>
      </c>
      <c r="H28" s="592">
        <v>0</v>
      </c>
      <c r="I28" s="592">
        <v>0</v>
      </c>
      <c r="J28" s="592">
        <v>0</v>
      </c>
      <c r="K28" s="592">
        <v>0</v>
      </c>
      <c r="L28" s="592">
        <v>0</v>
      </c>
      <c r="M28" s="592">
        <v>0</v>
      </c>
      <c r="N28" s="592">
        <v>0</v>
      </c>
      <c r="O28" s="592">
        <v>0</v>
      </c>
      <c r="P28" s="592">
        <v>0</v>
      </c>
      <c r="Q28" s="592">
        <v>0</v>
      </c>
      <c r="R28" s="592">
        <v>0</v>
      </c>
      <c r="S28" s="592">
        <v>0</v>
      </c>
      <c r="T28" s="592">
        <v>0</v>
      </c>
      <c r="U28" s="592">
        <v>0</v>
      </c>
      <c r="V28" s="592">
        <v>0</v>
      </c>
      <c r="W28" s="592">
        <v>0</v>
      </c>
      <c r="X28" s="592">
        <v>0</v>
      </c>
      <c r="Y28" s="592">
        <v>0</v>
      </c>
      <c r="Z28" s="592">
        <v>0</v>
      </c>
      <c r="AA28" s="592">
        <v>0</v>
      </c>
      <c r="AB28" s="592">
        <v>0</v>
      </c>
      <c r="AC28" s="592">
        <v>0</v>
      </c>
    </row>
    <row r="29" spans="1:29" s="586" customFormat="1" ht="12.75" customHeight="1">
      <c r="A29" s="590" t="s">
        <v>820</v>
      </c>
      <c r="B29" s="594" t="s">
        <v>821</v>
      </c>
      <c r="C29" s="592"/>
      <c r="D29" s="592"/>
      <c r="E29" s="592">
        <v>0</v>
      </c>
      <c r="F29" s="592">
        <v>15000</v>
      </c>
      <c r="G29" s="592">
        <v>15000</v>
      </c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</row>
    <row r="30" spans="1:29" s="586" customFormat="1" ht="12.75">
      <c r="A30" s="587" t="s">
        <v>330</v>
      </c>
      <c r="B30" s="598" t="s">
        <v>649</v>
      </c>
      <c r="C30" s="589">
        <f aca="true" t="shared" si="14" ref="C30:AC30">C8-C15</f>
        <v>-155762</v>
      </c>
      <c r="D30" s="589">
        <f t="shared" si="14"/>
        <v>3614841</v>
      </c>
      <c r="E30" s="589">
        <f t="shared" si="14"/>
        <v>-1501983</v>
      </c>
      <c r="F30" s="589">
        <f t="shared" si="14"/>
        <v>-379049</v>
      </c>
      <c r="G30" s="589">
        <f t="shared" si="14"/>
        <v>1001352</v>
      </c>
      <c r="H30" s="589">
        <f t="shared" si="14"/>
        <v>723816.6750000045</v>
      </c>
      <c r="I30" s="589">
        <f t="shared" si="14"/>
        <v>1183820.8182750046</v>
      </c>
      <c r="J30" s="589">
        <f t="shared" si="14"/>
        <v>1492842.4524773806</v>
      </c>
      <c r="K30" s="589">
        <f t="shared" si="14"/>
        <v>1408561.814596787</v>
      </c>
      <c r="L30" s="589">
        <f t="shared" si="14"/>
        <v>1731114.6866681427</v>
      </c>
      <c r="M30" s="589">
        <f t="shared" si="14"/>
        <v>2060641.6128845066</v>
      </c>
      <c r="N30" s="589">
        <f t="shared" si="14"/>
        <v>2397284.912380524</v>
      </c>
      <c r="O30" s="589">
        <f t="shared" si="14"/>
        <v>2741190.6922454983</v>
      </c>
      <c r="P30" s="589">
        <f t="shared" si="14"/>
        <v>3092506.370575823</v>
      </c>
      <c r="Q30" s="589">
        <f t="shared" si="14"/>
        <v>3451386.6458352283</v>
      </c>
      <c r="R30" s="589">
        <f t="shared" si="14"/>
        <v>3463181.201016128</v>
      </c>
      <c r="S30" s="589">
        <f t="shared" si="14"/>
        <v>3834109.428676605</v>
      </c>
      <c r="T30" s="589">
        <f t="shared" si="14"/>
        <v>4213042.209321491</v>
      </c>
      <c r="U30" s="589">
        <f t="shared" si="14"/>
        <v>4553038.93339777</v>
      </c>
      <c r="V30" s="589">
        <f t="shared" si="14"/>
        <v>4948009.493390754</v>
      </c>
      <c r="W30" s="589">
        <f t="shared" si="14"/>
        <v>5351488.131492309</v>
      </c>
      <c r="X30" s="589">
        <f t="shared" si="14"/>
        <v>5763649.840941764</v>
      </c>
      <c r="Y30" s="589">
        <f t="shared" si="14"/>
        <v>6184677.143070117</v>
      </c>
      <c r="Z30" s="589">
        <f t="shared" si="14"/>
        <v>6614753.210866407</v>
      </c>
      <c r="AA30" s="589">
        <f t="shared" si="14"/>
        <v>7054065.445353486</v>
      </c>
      <c r="AB30" s="589">
        <f t="shared" si="14"/>
        <v>7502808.436565958</v>
      </c>
      <c r="AC30" s="589">
        <f t="shared" si="14"/>
        <v>7961179.280572653</v>
      </c>
    </row>
    <row r="31" spans="1:51" s="586" customFormat="1" ht="22.5">
      <c r="A31" s="587" t="s">
        <v>454</v>
      </c>
      <c r="B31" s="599" t="s">
        <v>650</v>
      </c>
      <c r="C31" s="589">
        <v>10955053</v>
      </c>
      <c r="D31" s="589">
        <v>10376246</v>
      </c>
      <c r="E31" s="589">
        <f>D31-E21-E20-E23+E37</f>
        <v>11190218</v>
      </c>
      <c r="F31" s="589">
        <f>E31-F21-F20-F23+F37</f>
        <v>11443563</v>
      </c>
      <c r="G31" s="589">
        <f aca="true" t="shared" si="15" ref="G31:P31">F31-G21-G20-G23</f>
        <v>10895716</v>
      </c>
      <c r="H31" s="589">
        <f t="shared" si="15"/>
        <v>10385424</v>
      </c>
      <c r="I31" s="589">
        <f t="shared" si="15"/>
        <v>9718432</v>
      </c>
      <c r="J31" s="589">
        <f t="shared" si="15"/>
        <v>9051440</v>
      </c>
      <c r="K31" s="589">
        <f t="shared" si="15"/>
        <v>8459220</v>
      </c>
      <c r="L31" s="589">
        <f t="shared" si="15"/>
        <v>7867000</v>
      </c>
      <c r="M31" s="589">
        <f t="shared" si="15"/>
        <v>7274780</v>
      </c>
      <c r="N31" s="589">
        <f t="shared" si="15"/>
        <v>6682560</v>
      </c>
      <c r="O31" s="589">
        <f t="shared" si="15"/>
        <v>6090340</v>
      </c>
      <c r="P31" s="589">
        <f t="shared" si="15"/>
        <v>5498120</v>
      </c>
      <c r="Q31" s="589">
        <f aca="true" t="shared" si="16" ref="Q31:AC31">P31-Q20-Q21-Q23</f>
        <v>4906200</v>
      </c>
      <c r="R31" s="589">
        <f t="shared" si="16"/>
        <v>4480680</v>
      </c>
      <c r="S31" s="589">
        <f t="shared" si="16"/>
        <v>4055160</v>
      </c>
      <c r="T31" s="589">
        <f t="shared" si="16"/>
        <v>3629640</v>
      </c>
      <c r="U31" s="589">
        <f t="shared" si="16"/>
        <v>3204120</v>
      </c>
      <c r="V31" s="589">
        <f t="shared" si="16"/>
        <v>2778600</v>
      </c>
      <c r="W31" s="589">
        <f t="shared" si="16"/>
        <v>2353080</v>
      </c>
      <c r="X31" s="589">
        <f t="shared" si="16"/>
        <v>1927560</v>
      </c>
      <c r="Y31" s="589">
        <f t="shared" si="16"/>
        <v>1502040</v>
      </c>
      <c r="Z31" s="589">
        <f t="shared" si="16"/>
        <v>1076520</v>
      </c>
      <c r="AA31" s="589">
        <f t="shared" si="16"/>
        <v>651000</v>
      </c>
      <c r="AB31" s="589">
        <f t="shared" si="16"/>
        <v>225480</v>
      </c>
      <c r="AC31" s="589">
        <f t="shared" si="16"/>
        <v>0</v>
      </c>
      <c r="AD31" s="596"/>
      <c r="AE31" s="596"/>
      <c r="AF31" s="597"/>
      <c r="AG31" s="596"/>
      <c r="AH31" s="597"/>
      <c r="AI31" s="596"/>
      <c r="AJ31" s="596"/>
      <c r="AK31" s="596"/>
      <c r="AL31" s="596"/>
      <c r="AM31" s="596"/>
      <c r="AN31" s="596"/>
      <c r="AO31" s="596"/>
      <c r="AP31" s="596"/>
      <c r="AQ31" s="596"/>
      <c r="AR31" s="596"/>
      <c r="AS31" s="596"/>
      <c r="AT31" s="596"/>
      <c r="AU31" s="596"/>
      <c r="AV31" s="596"/>
      <c r="AW31" s="596"/>
      <c r="AX31" s="596"/>
      <c r="AY31" s="596"/>
    </row>
    <row r="32" spans="1:29" s="586" customFormat="1" ht="45" customHeight="1">
      <c r="A32" s="590" t="s">
        <v>313</v>
      </c>
      <c r="B32" s="600" t="s">
        <v>651</v>
      </c>
      <c r="C32" s="592">
        <v>0</v>
      </c>
      <c r="D32" s="592">
        <v>0</v>
      </c>
      <c r="E32" s="592">
        <v>0</v>
      </c>
      <c r="F32" s="592">
        <v>0</v>
      </c>
      <c r="G32" s="592">
        <v>0</v>
      </c>
      <c r="H32" s="592">
        <v>0</v>
      </c>
      <c r="I32" s="592">
        <v>0</v>
      </c>
      <c r="J32" s="592">
        <v>0</v>
      </c>
      <c r="K32" s="592">
        <v>0</v>
      </c>
      <c r="L32" s="592">
        <v>0</v>
      </c>
      <c r="M32" s="592">
        <v>0</v>
      </c>
      <c r="N32" s="592">
        <v>0</v>
      </c>
      <c r="O32" s="592">
        <v>0</v>
      </c>
      <c r="P32" s="592">
        <v>0</v>
      </c>
      <c r="Q32" s="592">
        <v>0</v>
      </c>
      <c r="R32" s="592">
        <v>0</v>
      </c>
      <c r="S32" s="592">
        <v>0</v>
      </c>
      <c r="T32" s="592">
        <v>0</v>
      </c>
      <c r="U32" s="592">
        <v>0</v>
      </c>
      <c r="V32" s="592">
        <v>0</v>
      </c>
      <c r="W32" s="592">
        <v>0</v>
      </c>
      <c r="X32" s="592">
        <v>0</v>
      </c>
      <c r="Y32" s="592">
        <v>0</v>
      </c>
      <c r="Z32" s="592">
        <v>0</v>
      </c>
      <c r="AA32" s="592">
        <v>0</v>
      </c>
      <c r="AB32" s="592">
        <v>0</v>
      </c>
      <c r="AC32" s="592">
        <v>0</v>
      </c>
    </row>
    <row r="33" spans="1:29" s="586" customFormat="1" ht="21.75" customHeight="1">
      <c r="A33" s="587" t="s">
        <v>652</v>
      </c>
      <c r="B33" s="601" t="s">
        <v>770</v>
      </c>
      <c r="C33" s="602">
        <f aca="true" t="shared" si="17" ref="C33:AC33">C31/C8*100</f>
        <v>33.17855835363914</v>
      </c>
      <c r="D33" s="602">
        <f t="shared" si="17"/>
        <v>30.299211047806914</v>
      </c>
      <c r="E33" s="602">
        <f t="shared" si="17"/>
        <v>34.08919497146952</v>
      </c>
      <c r="F33" s="602">
        <f t="shared" si="17"/>
        <v>29.688794345568244</v>
      </c>
      <c r="G33" s="602">
        <f t="shared" si="17"/>
        <v>30.666735454712768</v>
      </c>
      <c r="H33" s="602">
        <f t="shared" si="17"/>
        <v>28.852091416720555</v>
      </c>
      <c r="I33" s="602">
        <f t="shared" si="17"/>
        <v>26.532971269294414</v>
      </c>
      <c r="J33" s="602">
        <f t="shared" si="17"/>
        <v>24.39083975741303</v>
      </c>
      <c r="K33" s="602">
        <f t="shared" si="17"/>
        <v>22.498043683967754</v>
      </c>
      <c r="L33" s="602">
        <f t="shared" si="17"/>
        <v>20.649751037161533</v>
      </c>
      <c r="M33" s="602">
        <f t="shared" si="17"/>
        <v>18.845276996833583</v>
      </c>
      <c r="N33" s="602">
        <f t="shared" si="17"/>
        <v>17.083945385462545</v>
      </c>
      <c r="O33" s="602">
        <f t="shared" si="17"/>
        <v>15.365087488108886</v>
      </c>
      <c r="P33" s="602">
        <f t="shared" si="17"/>
        <v>13.688042994733983</v>
      </c>
      <c r="Q33" s="602">
        <f t="shared" si="17"/>
        <v>12.052894737279688</v>
      </c>
      <c r="R33" s="602">
        <f t="shared" si="17"/>
        <v>10.955840100456417</v>
      </c>
      <c r="S33" s="602">
        <f t="shared" si="17"/>
        <v>9.783318273621068</v>
      </c>
      <c r="T33" s="602">
        <f t="shared" si="17"/>
        <v>8.639788407751121</v>
      </c>
      <c r="U33" s="602">
        <f t="shared" si="17"/>
        <v>7.533126117457227</v>
      </c>
      <c r="V33" s="602">
        <f t="shared" si="17"/>
        <v>6.444982050218638</v>
      </c>
      <c r="W33" s="602">
        <f t="shared" si="17"/>
        <v>5.384510051183171</v>
      </c>
      <c r="X33" s="602">
        <f t="shared" si="17"/>
        <v>4.351267061301107</v>
      </c>
      <c r="Y33" s="602">
        <f t="shared" si="17"/>
        <v>3.3448146641398586</v>
      </c>
      <c r="Z33" s="602">
        <f t="shared" si="17"/>
        <v>2.3647198192743972</v>
      </c>
      <c r="AA33" s="602">
        <f t="shared" si="17"/>
        <v>1.4105543189007814</v>
      </c>
      <c r="AB33" s="602">
        <f t="shared" si="17"/>
        <v>0.4818947328643629</v>
      </c>
      <c r="AC33" s="602">
        <f t="shared" si="17"/>
        <v>0</v>
      </c>
    </row>
    <row r="34" spans="1:29" s="586" customFormat="1" ht="36" customHeight="1">
      <c r="A34" s="587" t="s">
        <v>653</v>
      </c>
      <c r="B34" s="601" t="s">
        <v>767</v>
      </c>
      <c r="C34" s="602"/>
      <c r="D34" s="602"/>
      <c r="E34" s="602">
        <f>E18/E8*100</f>
        <v>3.1714336283509343</v>
      </c>
      <c r="F34" s="602">
        <f aca="true" t="shared" si="18" ref="F34:AC34">F18/F8*100</f>
        <v>3.34432756593595</v>
      </c>
      <c r="G34" s="602">
        <f t="shared" si="18"/>
        <v>4.534640846606345</v>
      </c>
      <c r="H34" s="602">
        <f t="shared" si="18"/>
        <v>4.288131968848905</v>
      </c>
      <c r="I34" s="602">
        <f t="shared" si="18"/>
        <v>4.571041687284693</v>
      </c>
      <c r="J34" s="602">
        <f t="shared" si="18"/>
        <v>4.441687187954786</v>
      </c>
      <c r="K34" s="602">
        <f t="shared" si="18"/>
        <v>4.1159205515812864</v>
      </c>
      <c r="L34" s="602">
        <f t="shared" si="18"/>
        <v>3.994029855556586</v>
      </c>
      <c r="M34" s="602">
        <f t="shared" si="18"/>
        <v>3.8744937032501494</v>
      </c>
      <c r="N34" s="602">
        <f t="shared" si="18"/>
        <v>3.749583646014894</v>
      </c>
      <c r="O34" s="602">
        <f t="shared" si="18"/>
        <v>3.64233411013095</v>
      </c>
      <c r="P34" s="602">
        <f t="shared" si="18"/>
        <v>2.8673035855623428</v>
      </c>
      <c r="Q34" s="602">
        <f t="shared" si="18"/>
        <v>2.5347132978527513</v>
      </c>
      <c r="R34" s="602">
        <f t="shared" si="18"/>
        <v>2.0001545514553496</v>
      </c>
      <c r="S34" s="602">
        <f t="shared" si="18"/>
        <v>1.8913855614996973</v>
      </c>
      <c r="T34" s="602">
        <f t="shared" si="18"/>
        <v>1.7850973407920183</v>
      </c>
      <c r="U34" s="602">
        <f t="shared" si="18"/>
        <v>1.6831138334325164</v>
      </c>
      <c r="V34" s="602">
        <f t="shared" si="18"/>
        <v>1.5815548956124519</v>
      </c>
      <c r="W34" s="602">
        <f t="shared" si="18"/>
        <v>1.4823672324089565</v>
      </c>
      <c r="X34" s="602">
        <f t="shared" si="18"/>
        <v>1.3855140797969248</v>
      </c>
      <c r="Y34" s="602">
        <f t="shared" si="18"/>
        <v>1.2909589706036768</v>
      </c>
      <c r="Z34" s="602">
        <f t="shared" si="18"/>
        <v>1.1986659589093325</v>
      </c>
      <c r="AA34" s="602">
        <f t="shared" si="18"/>
        <v>1.1085994909513148</v>
      </c>
      <c r="AB34" s="602">
        <f t="shared" si="18"/>
        <v>1.0207243410325517</v>
      </c>
      <c r="AC34" s="602">
        <f t="shared" si="18"/>
        <v>0.4943161861880701</v>
      </c>
    </row>
    <row r="35" spans="1:29" s="586" customFormat="1" ht="22.5">
      <c r="A35" s="587" t="s">
        <v>654</v>
      </c>
      <c r="B35" s="601" t="s">
        <v>768</v>
      </c>
      <c r="C35" s="602"/>
      <c r="D35" s="602"/>
      <c r="E35" s="602">
        <f aca="true" t="shared" si="19" ref="E35:AC35">E31/E8*100</f>
        <v>34.08919497146952</v>
      </c>
      <c r="F35" s="602">
        <f t="shared" si="19"/>
        <v>29.688794345568244</v>
      </c>
      <c r="G35" s="602">
        <f t="shared" si="19"/>
        <v>30.666735454712768</v>
      </c>
      <c r="H35" s="602">
        <f t="shared" si="19"/>
        <v>28.852091416720555</v>
      </c>
      <c r="I35" s="602">
        <f t="shared" si="19"/>
        <v>26.532971269294414</v>
      </c>
      <c r="J35" s="602">
        <f t="shared" si="19"/>
        <v>24.39083975741303</v>
      </c>
      <c r="K35" s="602">
        <f t="shared" si="19"/>
        <v>22.498043683967754</v>
      </c>
      <c r="L35" s="602">
        <f t="shared" si="19"/>
        <v>20.649751037161533</v>
      </c>
      <c r="M35" s="602">
        <f t="shared" si="19"/>
        <v>18.845276996833583</v>
      </c>
      <c r="N35" s="602">
        <f t="shared" si="19"/>
        <v>17.083945385462545</v>
      </c>
      <c r="O35" s="602">
        <f t="shared" si="19"/>
        <v>15.365087488108886</v>
      </c>
      <c r="P35" s="602">
        <f t="shared" si="19"/>
        <v>13.688042994733983</v>
      </c>
      <c r="Q35" s="602">
        <f t="shared" si="19"/>
        <v>12.052894737279688</v>
      </c>
      <c r="R35" s="602">
        <f t="shared" si="19"/>
        <v>10.955840100456417</v>
      </c>
      <c r="S35" s="602">
        <f t="shared" si="19"/>
        <v>9.783318273621068</v>
      </c>
      <c r="T35" s="602">
        <f t="shared" si="19"/>
        <v>8.639788407751121</v>
      </c>
      <c r="U35" s="602">
        <f t="shared" si="19"/>
        <v>7.533126117457227</v>
      </c>
      <c r="V35" s="602">
        <f t="shared" si="19"/>
        <v>6.444982050218638</v>
      </c>
      <c r="W35" s="602">
        <f t="shared" si="19"/>
        <v>5.384510051183171</v>
      </c>
      <c r="X35" s="602">
        <f t="shared" si="19"/>
        <v>4.351267061301107</v>
      </c>
      <c r="Y35" s="602">
        <f t="shared" si="19"/>
        <v>3.3448146641398586</v>
      </c>
      <c r="Z35" s="602">
        <f t="shared" si="19"/>
        <v>2.3647198192743972</v>
      </c>
      <c r="AA35" s="602">
        <f t="shared" si="19"/>
        <v>1.4105543189007814</v>
      </c>
      <c r="AB35" s="602">
        <f t="shared" si="19"/>
        <v>0.4818947328643629</v>
      </c>
      <c r="AC35" s="602">
        <f t="shared" si="19"/>
        <v>0</v>
      </c>
    </row>
    <row r="36" spans="1:29" s="586" customFormat="1" ht="45" customHeight="1">
      <c r="A36" s="587" t="s">
        <v>655</v>
      </c>
      <c r="B36" s="601" t="s">
        <v>769</v>
      </c>
      <c r="C36" s="602"/>
      <c r="D36" s="602"/>
      <c r="E36" s="602">
        <f>E18/E8*100</f>
        <v>3.1714336283509343</v>
      </c>
      <c r="F36" s="602">
        <f aca="true" t="shared" si="20" ref="F36:AC36">F18/F8*100</f>
        <v>3.34432756593595</v>
      </c>
      <c r="G36" s="602">
        <f t="shared" si="20"/>
        <v>4.534640846606345</v>
      </c>
      <c r="H36" s="602">
        <f t="shared" si="20"/>
        <v>4.288131968848905</v>
      </c>
      <c r="I36" s="602">
        <f t="shared" si="20"/>
        <v>4.571041687284693</v>
      </c>
      <c r="J36" s="602">
        <f t="shared" si="20"/>
        <v>4.441687187954786</v>
      </c>
      <c r="K36" s="602">
        <f t="shared" si="20"/>
        <v>4.1159205515812864</v>
      </c>
      <c r="L36" s="602">
        <f t="shared" si="20"/>
        <v>3.994029855556586</v>
      </c>
      <c r="M36" s="602">
        <f t="shared" si="20"/>
        <v>3.8744937032501494</v>
      </c>
      <c r="N36" s="602">
        <f t="shared" si="20"/>
        <v>3.749583646014894</v>
      </c>
      <c r="O36" s="602">
        <f t="shared" si="20"/>
        <v>3.64233411013095</v>
      </c>
      <c r="P36" s="602">
        <f t="shared" si="20"/>
        <v>2.8673035855623428</v>
      </c>
      <c r="Q36" s="602">
        <f t="shared" si="20"/>
        <v>2.5347132978527513</v>
      </c>
      <c r="R36" s="602">
        <f t="shared" si="20"/>
        <v>2.0001545514553496</v>
      </c>
      <c r="S36" s="602">
        <f t="shared" si="20"/>
        <v>1.8913855614996973</v>
      </c>
      <c r="T36" s="602">
        <f t="shared" si="20"/>
        <v>1.7850973407920183</v>
      </c>
      <c r="U36" s="602">
        <f t="shared" si="20"/>
        <v>1.6831138334325164</v>
      </c>
      <c r="V36" s="602">
        <f t="shared" si="20"/>
        <v>1.5815548956124519</v>
      </c>
      <c r="W36" s="602">
        <f t="shared" si="20"/>
        <v>1.4823672324089565</v>
      </c>
      <c r="X36" s="602">
        <f t="shared" si="20"/>
        <v>1.3855140797969248</v>
      </c>
      <c r="Y36" s="602">
        <f t="shared" si="20"/>
        <v>1.2909589706036768</v>
      </c>
      <c r="Z36" s="602">
        <f t="shared" si="20"/>
        <v>1.1986659589093325</v>
      </c>
      <c r="AA36" s="602">
        <f t="shared" si="20"/>
        <v>1.1085994909513148</v>
      </c>
      <c r="AB36" s="602">
        <f t="shared" si="20"/>
        <v>1.0207243410325517</v>
      </c>
      <c r="AC36" s="602">
        <f t="shared" si="20"/>
        <v>0.4943161861880701</v>
      </c>
    </row>
    <row r="37" spans="1:29" s="586" customFormat="1" ht="12.75">
      <c r="A37" s="587" t="s">
        <v>656</v>
      </c>
      <c r="B37" s="588" t="s">
        <v>360</v>
      </c>
      <c r="C37" s="603">
        <f>SUM(C38:C39)</f>
        <v>2178567</v>
      </c>
      <c r="D37" s="603">
        <f>SUM(D38:D39)</f>
        <v>13050000</v>
      </c>
      <c r="E37" s="589">
        <f aca="true" t="shared" si="21" ref="E37:AC37">SUM(E38:E39)</f>
        <v>1033987</v>
      </c>
      <c r="F37" s="589">
        <f t="shared" si="21"/>
        <v>927418</v>
      </c>
      <c r="G37" s="589">
        <f t="shared" si="21"/>
        <v>0</v>
      </c>
      <c r="H37" s="589">
        <f t="shared" si="21"/>
        <v>0</v>
      </c>
      <c r="I37" s="589">
        <f t="shared" si="21"/>
        <v>0</v>
      </c>
      <c r="J37" s="589">
        <f t="shared" si="21"/>
        <v>0</v>
      </c>
      <c r="K37" s="589">
        <f t="shared" si="21"/>
        <v>0</v>
      </c>
      <c r="L37" s="589">
        <f t="shared" si="21"/>
        <v>0</v>
      </c>
      <c r="M37" s="589">
        <f t="shared" si="21"/>
        <v>0</v>
      </c>
      <c r="N37" s="589">
        <f t="shared" si="21"/>
        <v>0</v>
      </c>
      <c r="O37" s="589">
        <f t="shared" si="21"/>
        <v>0</v>
      </c>
      <c r="P37" s="589">
        <f t="shared" si="21"/>
        <v>0</v>
      </c>
      <c r="Q37" s="589">
        <f t="shared" si="21"/>
        <v>0</v>
      </c>
      <c r="R37" s="589">
        <f t="shared" si="21"/>
        <v>0</v>
      </c>
      <c r="S37" s="589">
        <f t="shared" si="21"/>
        <v>0</v>
      </c>
      <c r="T37" s="589">
        <f t="shared" si="21"/>
        <v>0</v>
      </c>
      <c r="U37" s="589">
        <f t="shared" si="21"/>
        <v>0</v>
      </c>
      <c r="V37" s="589">
        <f t="shared" si="21"/>
        <v>0</v>
      </c>
      <c r="W37" s="589">
        <f t="shared" si="21"/>
        <v>0</v>
      </c>
      <c r="X37" s="589">
        <f t="shared" si="21"/>
        <v>0</v>
      </c>
      <c r="Y37" s="589">
        <f t="shared" si="21"/>
        <v>0</v>
      </c>
      <c r="Z37" s="589">
        <f t="shared" si="21"/>
        <v>0</v>
      </c>
      <c r="AA37" s="589">
        <f t="shared" si="21"/>
        <v>0</v>
      </c>
      <c r="AB37" s="589">
        <f t="shared" si="21"/>
        <v>0</v>
      </c>
      <c r="AC37" s="589">
        <f t="shared" si="21"/>
        <v>0</v>
      </c>
    </row>
    <row r="38" spans="1:29" s="586" customFormat="1" ht="12.75">
      <c r="A38" s="590" t="s">
        <v>628</v>
      </c>
      <c r="B38" s="591" t="s">
        <v>317</v>
      </c>
      <c r="C38" s="604">
        <v>178567</v>
      </c>
      <c r="D38" s="604">
        <v>50000</v>
      </c>
      <c r="E38" s="592">
        <v>0</v>
      </c>
      <c r="F38" s="592">
        <v>0</v>
      </c>
      <c r="G38" s="592">
        <v>0</v>
      </c>
      <c r="H38" s="592">
        <v>0</v>
      </c>
      <c r="I38" s="592">
        <v>0</v>
      </c>
      <c r="J38" s="592">
        <v>0</v>
      </c>
      <c r="K38" s="592">
        <v>0</v>
      </c>
      <c r="L38" s="592">
        <v>0</v>
      </c>
      <c r="M38" s="592">
        <v>0</v>
      </c>
      <c r="N38" s="592">
        <v>0</v>
      </c>
      <c r="O38" s="592">
        <v>0</v>
      </c>
      <c r="P38" s="592">
        <v>0</v>
      </c>
      <c r="Q38" s="592">
        <v>0</v>
      </c>
      <c r="R38" s="592">
        <v>0</v>
      </c>
      <c r="S38" s="592">
        <v>0</v>
      </c>
      <c r="T38" s="592">
        <v>0</v>
      </c>
      <c r="U38" s="592">
        <v>0</v>
      </c>
      <c r="V38" s="592">
        <v>0</v>
      </c>
      <c r="W38" s="592">
        <v>0</v>
      </c>
      <c r="X38" s="592">
        <v>0</v>
      </c>
      <c r="Y38" s="592">
        <v>0</v>
      </c>
      <c r="Z38" s="592">
        <v>0</v>
      </c>
      <c r="AA38" s="592">
        <v>0</v>
      </c>
      <c r="AB38" s="592">
        <v>0</v>
      </c>
      <c r="AC38" s="592">
        <v>0</v>
      </c>
    </row>
    <row r="39" spans="1:29" s="586" customFormat="1" ht="12.75">
      <c r="A39" s="590" t="s">
        <v>633</v>
      </c>
      <c r="B39" s="591" t="s">
        <v>348</v>
      </c>
      <c r="C39" s="604">
        <v>2000000</v>
      </c>
      <c r="D39" s="604">
        <v>13000000</v>
      </c>
      <c r="E39" s="592">
        <v>1033987</v>
      </c>
      <c r="F39" s="592">
        <v>927418</v>
      </c>
      <c r="G39" s="592">
        <v>0</v>
      </c>
      <c r="H39" s="592">
        <v>0</v>
      </c>
      <c r="I39" s="592">
        <v>0</v>
      </c>
      <c r="J39" s="592">
        <v>0</v>
      </c>
      <c r="K39" s="592">
        <v>0</v>
      </c>
      <c r="L39" s="592">
        <v>0</v>
      </c>
      <c r="M39" s="592">
        <v>0</v>
      </c>
      <c r="N39" s="592">
        <v>0</v>
      </c>
      <c r="O39" s="592">
        <v>0</v>
      </c>
      <c r="P39" s="592">
        <v>0</v>
      </c>
      <c r="Q39" s="592">
        <v>0</v>
      </c>
      <c r="R39" s="592">
        <v>0</v>
      </c>
      <c r="S39" s="592">
        <v>0</v>
      </c>
      <c r="T39" s="592">
        <v>0</v>
      </c>
      <c r="U39" s="592">
        <v>0</v>
      </c>
      <c r="V39" s="592">
        <v>0</v>
      </c>
      <c r="W39" s="592">
        <v>0</v>
      </c>
      <c r="X39" s="592">
        <v>0</v>
      </c>
      <c r="Y39" s="592">
        <v>0</v>
      </c>
      <c r="Z39" s="592">
        <v>0</v>
      </c>
      <c r="AA39" s="592">
        <v>0</v>
      </c>
      <c r="AB39" s="592">
        <v>0</v>
      </c>
      <c r="AC39" s="592">
        <v>0</v>
      </c>
    </row>
    <row r="40" spans="3:29" ht="12.75">
      <c r="C40" s="166"/>
      <c r="D40" s="166"/>
      <c r="E40" s="166"/>
      <c r="F40" s="760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3:29" ht="12.75">
      <c r="C41" s="166"/>
      <c r="D41" s="166"/>
      <c r="E41" s="166"/>
      <c r="F41" s="760"/>
      <c r="G41" s="166"/>
      <c r="H41" s="166"/>
      <c r="I41" s="166"/>
      <c r="J41" s="166"/>
      <c r="K41" s="166"/>
      <c r="L41" s="166"/>
      <c r="M41" s="166"/>
      <c r="N41" s="166"/>
      <c r="O41" s="605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3:29" ht="12.75">
      <c r="C42" s="166"/>
      <c r="D42" s="166"/>
      <c r="E42" s="166"/>
      <c r="F42" s="760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3:29" ht="12.75">
      <c r="C43" s="166"/>
      <c r="D43" s="166"/>
      <c r="E43" s="166"/>
      <c r="F43" s="760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3:29" ht="12.75">
      <c r="C44" s="166"/>
      <c r="D44" s="166"/>
      <c r="E44" s="166"/>
      <c r="F44" s="760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3:29" ht="12.75">
      <c r="C45" s="166"/>
      <c r="D45" s="166"/>
      <c r="E45" s="166"/>
      <c r="F45" s="760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3:29" ht="12.75">
      <c r="C46" s="166"/>
      <c r="D46" s="166"/>
      <c r="E46" s="166"/>
      <c r="F46" s="760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3:29" ht="12.75">
      <c r="C47" s="166"/>
      <c r="D47" s="166"/>
      <c r="E47" s="166"/>
      <c r="F47" s="760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3:29" ht="12.75">
      <c r="C48" s="166"/>
      <c r="D48" s="166"/>
      <c r="E48" s="166"/>
      <c r="F48" s="760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3:29" ht="12.75">
      <c r="C49" s="166"/>
      <c r="D49" s="166"/>
      <c r="E49" s="166"/>
      <c r="F49" s="760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3:29" ht="12.75">
      <c r="C50" s="166"/>
      <c r="D50" s="166"/>
      <c r="E50" s="166"/>
      <c r="F50" s="760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3:29" ht="12.75">
      <c r="C51" s="166"/>
      <c r="D51" s="166"/>
      <c r="E51" s="166"/>
      <c r="F51" s="760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3:29" ht="12.75">
      <c r="C52" s="166"/>
      <c r="D52" s="166"/>
      <c r="E52" s="166"/>
      <c r="F52" s="760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3:29" ht="12.75">
      <c r="C53" s="166"/>
      <c r="D53" s="166"/>
      <c r="E53" s="166"/>
      <c r="F53" s="760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3:29" ht="12.75">
      <c r="C54" s="166"/>
      <c r="D54" s="166"/>
      <c r="E54" s="166"/>
      <c r="F54" s="760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3:29" ht="12.75">
      <c r="C55" s="166"/>
      <c r="D55" s="166"/>
      <c r="E55" s="166"/>
      <c r="F55" s="760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3:29" ht="12.75">
      <c r="C56" s="166"/>
      <c r="D56" s="166"/>
      <c r="E56" s="166"/>
      <c r="F56" s="760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3:29" ht="12.75">
      <c r="C57" s="166"/>
      <c r="D57" s="166"/>
      <c r="E57" s="166"/>
      <c r="F57" s="760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3:29" ht="12.75">
      <c r="C58" s="166"/>
      <c r="D58" s="166"/>
      <c r="E58" s="166"/>
      <c r="F58" s="760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3:29" ht="12.75">
      <c r="C59" s="166"/>
      <c r="D59" s="166"/>
      <c r="E59" s="166"/>
      <c r="F59" s="760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3:29" ht="12.75">
      <c r="C60" s="166"/>
      <c r="D60" s="166"/>
      <c r="E60" s="166"/>
      <c r="F60" s="760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3:29" ht="12.75">
      <c r="C61" s="166"/>
      <c r="D61" s="166"/>
      <c r="E61" s="166"/>
      <c r="F61" s="760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3:29" ht="12.75">
      <c r="C62" s="166"/>
      <c r="D62" s="166"/>
      <c r="E62" s="166"/>
      <c r="F62" s="760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3:29" ht="12.75">
      <c r="C63" s="166"/>
      <c r="D63" s="166"/>
      <c r="E63" s="166"/>
      <c r="F63" s="760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3:29" ht="12.75">
      <c r="C64" s="166"/>
      <c r="D64" s="166"/>
      <c r="E64" s="166"/>
      <c r="F64" s="760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3:29" ht="12.75">
      <c r="C65" s="166"/>
      <c r="D65" s="166"/>
      <c r="E65" s="166"/>
      <c r="F65" s="760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3:29" ht="12.75">
      <c r="C66" s="166"/>
      <c r="D66" s="166"/>
      <c r="E66" s="166"/>
      <c r="F66" s="760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3:29" ht="12.75">
      <c r="C67" s="166"/>
      <c r="D67" s="166"/>
      <c r="E67" s="166"/>
      <c r="F67" s="760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3:29" ht="12.75">
      <c r="C68" s="166"/>
      <c r="D68" s="166"/>
      <c r="E68" s="166"/>
      <c r="F68" s="760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3:29" ht="12.75">
      <c r="C69" s="166"/>
      <c r="D69" s="166"/>
      <c r="E69" s="166"/>
      <c r="F69" s="760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3:29" ht="12.75">
      <c r="C70" s="166"/>
      <c r="D70" s="166"/>
      <c r="E70" s="166"/>
      <c r="F70" s="760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3:29" ht="12.75">
      <c r="C71" s="166"/>
      <c r="D71" s="166"/>
      <c r="E71" s="166"/>
      <c r="F71" s="760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3:29" ht="12.75">
      <c r="C72" s="166"/>
      <c r="D72" s="166"/>
      <c r="E72" s="166"/>
      <c r="F72" s="760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3:29" ht="12.75">
      <c r="C73" s="166"/>
      <c r="D73" s="166"/>
      <c r="E73" s="166"/>
      <c r="F73" s="760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3:29" ht="12.75">
      <c r="C74" s="166"/>
      <c r="D74" s="166"/>
      <c r="E74" s="166"/>
      <c r="F74" s="760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3:29" ht="12.75">
      <c r="C75" s="166"/>
      <c r="D75" s="166"/>
      <c r="E75" s="166"/>
      <c r="F75" s="760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3:29" ht="12.75">
      <c r="C76" s="166"/>
      <c r="D76" s="166"/>
      <c r="E76" s="166"/>
      <c r="F76" s="760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3:29" ht="12.75">
      <c r="C77" s="166"/>
      <c r="D77" s="166"/>
      <c r="E77" s="166"/>
      <c r="F77" s="760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3:29" ht="12.75">
      <c r="C78" s="166"/>
      <c r="D78" s="166"/>
      <c r="E78" s="166"/>
      <c r="F78" s="760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3:29" ht="12.75">
      <c r="C79" s="166"/>
      <c r="D79" s="166"/>
      <c r="E79" s="166"/>
      <c r="F79" s="760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3:29" ht="12.75">
      <c r="C80" s="166"/>
      <c r="D80" s="166"/>
      <c r="E80" s="166"/>
      <c r="F80" s="760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3:29" ht="12.75">
      <c r="C81" s="166"/>
      <c r="D81" s="166"/>
      <c r="E81" s="166"/>
      <c r="F81" s="760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3:29" ht="12.75">
      <c r="C82" s="166"/>
      <c r="D82" s="166"/>
      <c r="E82" s="166"/>
      <c r="F82" s="760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3:29" ht="12.75">
      <c r="C83" s="166"/>
      <c r="D83" s="166"/>
      <c r="E83" s="166"/>
      <c r="F83" s="760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3:29" ht="12.75">
      <c r="C84" s="166"/>
      <c r="D84" s="166"/>
      <c r="E84" s="166"/>
      <c r="F84" s="760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3:29" ht="12.75">
      <c r="C85" s="166"/>
      <c r="D85" s="166"/>
      <c r="E85" s="166"/>
      <c r="F85" s="760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3:29" ht="12.75">
      <c r="C86" s="166"/>
      <c r="D86" s="166"/>
      <c r="E86" s="166"/>
      <c r="F86" s="760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3:29" ht="12.75">
      <c r="C87" s="166"/>
      <c r="D87" s="166"/>
      <c r="E87" s="166"/>
      <c r="F87" s="760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3:29" ht="12.75">
      <c r="C88" s="166"/>
      <c r="D88" s="166"/>
      <c r="E88" s="166"/>
      <c r="F88" s="760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3:29" ht="12.75">
      <c r="C89" s="166"/>
      <c r="D89" s="166"/>
      <c r="E89" s="166"/>
      <c r="F89" s="760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3:29" ht="12.75">
      <c r="C90" s="166"/>
      <c r="D90" s="166"/>
      <c r="E90" s="166"/>
      <c r="F90" s="760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3:29" ht="12.75">
      <c r="C91" s="166"/>
      <c r="D91" s="166"/>
      <c r="E91" s="166"/>
      <c r="F91" s="760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3:29" ht="12.75">
      <c r="C92" s="166"/>
      <c r="D92" s="166"/>
      <c r="E92" s="166"/>
      <c r="F92" s="760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3:29" ht="12.75">
      <c r="C93" s="166"/>
      <c r="D93" s="166"/>
      <c r="E93" s="166"/>
      <c r="F93" s="760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3:29" ht="12.75">
      <c r="C94" s="166"/>
      <c r="D94" s="166"/>
      <c r="E94" s="166"/>
      <c r="F94" s="760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3:29" ht="12.75">
      <c r="C95" s="166"/>
      <c r="D95" s="166"/>
      <c r="E95" s="166"/>
      <c r="F95" s="760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3:29" ht="12.75">
      <c r="C96" s="166"/>
      <c r="D96" s="166"/>
      <c r="E96" s="166"/>
      <c r="F96" s="760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3:29" ht="12.75">
      <c r="C97" s="166"/>
      <c r="D97" s="166"/>
      <c r="E97" s="166"/>
      <c r="F97" s="760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3:29" ht="12.75">
      <c r="C98" s="166"/>
      <c r="D98" s="166"/>
      <c r="E98" s="166"/>
      <c r="F98" s="760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3:29" ht="12.75">
      <c r="C99" s="166"/>
      <c r="D99" s="166"/>
      <c r="E99" s="166"/>
      <c r="F99" s="760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3:29" ht="12.75">
      <c r="C100" s="166"/>
      <c r="D100" s="166"/>
      <c r="E100" s="166"/>
      <c r="F100" s="760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3:29" ht="12.75">
      <c r="C101" s="166"/>
      <c r="D101" s="166"/>
      <c r="E101" s="166"/>
      <c r="F101" s="760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3:29" ht="12.75">
      <c r="C102" s="166"/>
      <c r="D102" s="166"/>
      <c r="E102" s="166"/>
      <c r="F102" s="760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3:29" ht="12.75">
      <c r="C103" s="166"/>
      <c r="D103" s="166"/>
      <c r="E103" s="166"/>
      <c r="F103" s="760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3:29" ht="12.75">
      <c r="C104" s="166"/>
      <c r="D104" s="166"/>
      <c r="E104" s="166"/>
      <c r="F104" s="760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3:29" ht="12.75">
      <c r="C105" s="166"/>
      <c r="D105" s="166"/>
      <c r="E105" s="166"/>
      <c r="F105" s="760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3:29" ht="12.75">
      <c r="C106" s="166"/>
      <c r="D106" s="166"/>
      <c r="E106" s="166"/>
      <c r="F106" s="760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3:29" ht="12.75">
      <c r="C107" s="166"/>
      <c r="D107" s="166"/>
      <c r="E107" s="166"/>
      <c r="F107" s="760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3:29" ht="12.75">
      <c r="C108" s="166"/>
      <c r="D108" s="166"/>
      <c r="E108" s="166"/>
      <c r="F108" s="760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3:29" ht="12.75">
      <c r="C109" s="166"/>
      <c r="D109" s="166"/>
      <c r="E109" s="166"/>
      <c r="F109" s="760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3:29" ht="12.75">
      <c r="C110" s="166"/>
      <c r="D110" s="166"/>
      <c r="E110" s="166"/>
      <c r="F110" s="760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3:29" ht="12.75">
      <c r="C111" s="166"/>
      <c r="D111" s="166"/>
      <c r="E111" s="166"/>
      <c r="F111" s="760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3:29" ht="12.75">
      <c r="C112" s="166"/>
      <c r="D112" s="166"/>
      <c r="E112" s="166"/>
      <c r="F112" s="760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3:29" ht="12.75">
      <c r="C113" s="166"/>
      <c r="D113" s="166"/>
      <c r="E113" s="166"/>
      <c r="F113" s="760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3:29" ht="12.75">
      <c r="C114" s="166"/>
      <c r="D114" s="166"/>
      <c r="E114" s="166"/>
      <c r="F114" s="760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3:29" ht="12.75">
      <c r="C115" s="166"/>
      <c r="D115" s="166"/>
      <c r="E115" s="166"/>
      <c r="F115" s="760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3:29" ht="12.75">
      <c r="C116" s="166"/>
      <c r="D116" s="166"/>
      <c r="E116" s="166"/>
      <c r="F116" s="760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3:29" ht="12.75">
      <c r="C117" s="166"/>
      <c r="D117" s="166"/>
      <c r="E117" s="166"/>
      <c r="F117" s="760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3:29" ht="12.75">
      <c r="C118" s="166"/>
      <c r="D118" s="166"/>
      <c r="E118" s="166"/>
      <c r="F118" s="760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3:29" ht="12.75">
      <c r="C119" s="166"/>
      <c r="D119" s="166"/>
      <c r="E119" s="166"/>
      <c r="F119" s="760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3:29" ht="12.75">
      <c r="C120" s="166"/>
      <c r="D120" s="166"/>
      <c r="E120" s="166"/>
      <c r="F120" s="760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3:29" ht="12.75">
      <c r="C121" s="166"/>
      <c r="D121" s="166"/>
      <c r="E121" s="166"/>
      <c r="F121" s="760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3:29" ht="12.75">
      <c r="C122" s="166"/>
      <c r="D122" s="166"/>
      <c r="E122" s="166"/>
      <c r="F122" s="760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3:29" ht="12.75">
      <c r="C123" s="166"/>
      <c r="D123" s="166"/>
      <c r="E123" s="166"/>
      <c r="F123" s="760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</sheetData>
  <mergeCells count="2">
    <mergeCell ref="E5:P5"/>
    <mergeCell ref="R5:AC5"/>
  </mergeCells>
  <printOptions horizontalCentered="1"/>
  <pageMargins left="0.5118110236220472" right="0.5118110236220472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3"/>
  <sheetViews>
    <sheetView view="pageBreakPreview" zoomScaleSheetLayoutView="100" workbookViewId="0" topLeftCell="A21">
      <selection activeCell="F30" sqref="F30"/>
    </sheetView>
  </sheetViews>
  <sheetFormatPr defaultColWidth="9.00390625" defaultRowHeight="12.75"/>
  <cols>
    <col min="1" max="1" width="4.125" style="326" bestFit="1" customWidth="1"/>
    <col min="2" max="2" width="6.25390625" style="384" bestFit="1" customWidth="1"/>
    <col min="3" max="3" width="5.125" style="432" bestFit="1" customWidth="1"/>
    <col min="4" max="4" width="51.125" style="384" customWidth="1"/>
    <col min="5" max="5" width="10.875" style="384" customWidth="1"/>
    <col min="6" max="6" width="10.25390625" style="384" bestFit="1" customWidth="1"/>
    <col min="7" max="7" width="10.625" style="384" customWidth="1"/>
    <col min="8" max="16384" width="9.125" style="384" customWidth="1"/>
  </cols>
  <sheetData>
    <row r="1" spans="1:6" ht="12.75">
      <c r="A1" s="238"/>
      <c r="B1" s="382"/>
      <c r="C1" s="383"/>
      <c r="D1" s="575"/>
      <c r="F1" s="575" t="s">
        <v>47</v>
      </c>
    </row>
    <row r="2" spans="1:6" ht="12.75">
      <c r="A2" s="238"/>
      <c r="B2" s="382"/>
      <c r="C2" s="383"/>
      <c r="F2" s="575" t="s">
        <v>596</v>
      </c>
    </row>
    <row r="3" spans="1:6" ht="12.75">
      <c r="A3" s="238"/>
      <c r="B3" s="382"/>
      <c r="C3" s="383"/>
      <c r="F3" s="575" t="s">
        <v>180</v>
      </c>
    </row>
    <row r="4" spans="1:6" ht="12.75">
      <c r="A4" s="238"/>
      <c r="B4" s="382"/>
      <c r="C4" s="383"/>
      <c r="F4" s="575" t="s">
        <v>597</v>
      </c>
    </row>
    <row r="5" spans="1:4" ht="18" customHeight="1">
      <c r="A5" s="238"/>
      <c r="B5" s="382"/>
      <c r="C5" s="383"/>
      <c r="D5" s="382"/>
    </row>
    <row r="6" spans="1:7" ht="13.5" customHeight="1">
      <c r="A6" s="919" t="s">
        <v>549</v>
      </c>
      <c r="B6" s="919"/>
      <c r="C6" s="919"/>
      <c r="D6" s="919"/>
      <c r="E6" s="919"/>
      <c r="F6" s="919"/>
      <c r="G6" s="919"/>
    </row>
    <row r="7" spans="1:7" ht="13.5" customHeight="1" thickBot="1">
      <c r="A7" s="923" t="s">
        <v>75</v>
      </c>
      <c r="B7" s="923"/>
      <c r="C7" s="923"/>
      <c r="D7" s="923"/>
      <c r="E7" s="923"/>
      <c r="F7" s="923"/>
      <c r="G7" s="923"/>
    </row>
    <row r="8" spans="1:7" ht="14.25" customHeight="1">
      <c r="A8" s="927" t="s">
        <v>58</v>
      </c>
      <c r="B8" s="930" t="s">
        <v>46</v>
      </c>
      <c r="C8" s="930" t="s">
        <v>0</v>
      </c>
      <c r="D8" s="930" t="s">
        <v>59</v>
      </c>
      <c r="E8" s="920" t="s">
        <v>703</v>
      </c>
      <c r="F8" s="862" t="s">
        <v>594</v>
      </c>
      <c r="G8" s="865" t="s">
        <v>659</v>
      </c>
    </row>
    <row r="9" spans="1:7" s="385" customFormat="1" ht="12.75" customHeight="1">
      <c r="A9" s="928"/>
      <c r="B9" s="931"/>
      <c r="C9" s="931"/>
      <c r="D9" s="931"/>
      <c r="E9" s="921"/>
      <c r="F9" s="863"/>
      <c r="G9" s="866"/>
    </row>
    <row r="10" spans="1:7" s="385" customFormat="1" ht="12.75" customHeight="1" thickBot="1">
      <c r="A10" s="929"/>
      <c r="B10" s="932"/>
      <c r="C10" s="932"/>
      <c r="D10" s="932"/>
      <c r="E10" s="922"/>
      <c r="F10" s="864"/>
      <c r="G10" s="867"/>
    </row>
    <row r="11" spans="1:7" ht="9" customHeight="1" thickBot="1">
      <c r="A11" s="386">
        <v>1</v>
      </c>
      <c r="B11" s="387">
        <v>2</v>
      </c>
      <c r="C11" s="387">
        <v>3</v>
      </c>
      <c r="D11" s="387">
        <v>4</v>
      </c>
      <c r="E11" s="607">
        <v>5</v>
      </c>
      <c r="F11" s="626">
        <v>6</v>
      </c>
      <c r="G11" s="620">
        <v>7</v>
      </c>
    </row>
    <row r="12" spans="1:7" s="391" customFormat="1" ht="24" customHeight="1" thickBot="1">
      <c r="A12" s="388" t="s">
        <v>1</v>
      </c>
      <c r="B12" s="389"/>
      <c r="C12" s="389"/>
      <c r="D12" s="390" t="s">
        <v>2</v>
      </c>
      <c r="E12" s="608">
        <f>E13+E17</f>
        <v>60646</v>
      </c>
      <c r="F12" s="608">
        <f>F13+F17</f>
        <v>0</v>
      </c>
      <c r="G12" s="774">
        <f>G13+G17</f>
        <v>60646</v>
      </c>
    </row>
    <row r="13" spans="1:7" ht="13.5" thickBot="1">
      <c r="A13" s="392"/>
      <c r="B13" s="393" t="s">
        <v>3</v>
      </c>
      <c r="C13" s="394"/>
      <c r="D13" s="395" t="s">
        <v>63</v>
      </c>
      <c r="E13" s="609">
        <f>E14</f>
        <v>44000</v>
      </c>
      <c r="F13" s="628">
        <f>F14</f>
        <v>0</v>
      </c>
      <c r="G13" s="621">
        <f>G14</f>
        <v>44000</v>
      </c>
    </row>
    <row r="14" spans="1:7" ht="13.5" customHeight="1">
      <c r="A14" s="392"/>
      <c r="B14" s="264"/>
      <c r="C14" s="396" t="s">
        <v>77</v>
      </c>
      <c r="D14" s="301" t="s">
        <v>686</v>
      </c>
      <c r="E14" s="291">
        <v>44000</v>
      </c>
      <c r="F14" s="289"/>
      <c r="G14" s="446">
        <f>F14+E14</f>
        <v>44000</v>
      </c>
    </row>
    <row r="15" spans="1:7" ht="13.5" customHeight="1">
      <c r="A15" s="392"/>
      <c r="B15" s="264"/>
      <c r="C15" s="396"/>
      <c r="D15" s="204" t="s">
        <v>687</v>
      </c>
      <c r="E15" s="291"/>
      <c r="F15" s="289"/>
      <c r="G15" s="446"/>
    </row>
    <row r="16" spans="1:7" ht="13.5" customHeight="1">
      <c r="A16" s="392"/>
      <c r="B16" s="264"/>
      <c r="C16" s="396"/>
      <c r="D16" s="301"/>
      <c r="E16" s="291"/>
      <c r="F16" s="289"/>
      <c r="G16" s="446"/>
    </row>
    <row r="17" spans="1:7" ht="13.5" customHeight="1">
      <c r="A17" s="392"/>
      <c r="B17" s="704" t="s">
        <v>788</v>
      </c>
      <c r="C17" s="715"/>
      <c r="D17" s="450" t="s">
        <v>25</v>
      </c>
      <c r="E17" s="542">
        <f>E18</f>
        <v>16646</v>
      </c>
      <c r="F17" s="564">
        <f>F18</f>
        <v>0</v>
      </c>
      <c r="G17" s="451">
        <f>G18</f>
        <v>16646</v>
      </c>
    </row>
    <row r="18" spans="1:7" ht="13.5" customHeight="1">
      <c r="A18" s="392"/>
      <c r="B18" s="264"/>
      <c r="C18" s="396" t="s">
        <v>81</v>
      </c>
      <c r="D18" s="301" t="s">
        <v>691</v>
      </c>
      <c r="E18" s="291">
        <v>16646</v>
      </c>
      <c r="F18" s="289"/>
      <c r="G18" s="446">
        <f>E18+F18</f>
        <v>16646</v>
      </c>
    </row>
    <row r="19" spans="1:7" ht="13.5" customHeight="1">
      <c r="A19" s="392"/>
      <c r="B19" s="264"/>
      <c r="C19" s="396"/>
      <c r="D19" s="301" t="s">
        <v>692</v>
      </c>
      <c r="E19" s="291"/>
      <c r="F19" s="289"/>
      <c r="G19" s="446"/>
    </row>
    <row r="20" spans="1:7" ht="12" customHeight="1">
      <c r="A20" s="392"/>
      <c r="B20" s="400"/>
      <c r="C20" s="400"/>
      <c r="D20" s="264"/>
      <c r="E20" s="291"/>
      <c r="F20" s="289"/>
      <c r="G20" s="446"/>
    </row>
    <row r="21" spans="1:7" s="391" customFormat="1" ht="13.5" thickBot="1">
      <c r="A21" s="388" t="s">
        <v>21</v>
      </c>
      <c r="B21" s="389"/>
      <c r="C21" s="389"/>
      <c r="D21" s="401" t="s">
        <v>22</v>
      </c>
      <c r="E21" s="608">
        <f>E22</f>
        <v>188635</v>
      </c>
      <c r="F21" s="627">
        <f>F22</f>
        <v>3962</v>
      </c>
      <c r="G21" s="443">
        <f>G22</f>
        <v>192597</v>
      </c>
    </row>
    <row r="22" spans="1:7" ht="13.5" thickBot="1">
      <c r="A22" s="402"/>
      <c r="B22" s="393" t="s">
        <v>43</v>
      </c>
      <c r="C22" s="403"/>
      <c r="D22" s="404" t="s">
        <v>97</v>
      </c>
      <c r="E22" s="609">
        <f>SUM(E23)</f>
        <v>188635</v>
      </c>
      <c r="F22" s="628">
        <f>SUM(F23)</f>
        <v>3962</v>
      </c>
      <c r="G22" s="621">
        <f>SUM(G23)</f>
        <v>192597</v>
      </c>
    </row>
    <row r="23" spans="1:7" ht="12.75" customHeight="1">
      <c r="A23" s="402"/>
      <c r="B23" s="405"/>
      <c r="C23" s="264">
        <v>2460</v>
      </c>
      <c r="D23" s="406" t="s">
        <v>693</v>
      </c>
      <c r="E23" s="291">
        <v>188635</v>
      </c>
      <c r="F23" s="289">
        <v>3962</v>
      </c>
      <c r="G23" s="446">
        <f>F23+E23</f>
        <v>192597</v>
      </c>
    </row>
    <row r="24" spans="1:7" ht="12.75" customHeight="1">
      <c r="A24" s="402"/>
      <c r="B24" s="407"/>
      <c r="C24" s="264"/>
      <c r="D24" s="397"/>
      <c r="E24" s="291"/>
      <c r="F24" s="289"/>
      <c r="G24" s="446"/>
    </row>
    <row r="25" spans="1:7" s="391" customFormat="1" ht="13.5" thickBot="1">
      <c r="A25" s="408">
        <v>600</v>
      </c>
      <c r="B25" s="389"/>
      <c r="C25" s="409"/>
      <c r="D25" s="401" t="s">
        <v>32</v>
      </c>
      <c r="E25" s="608">
        <f>SUM(E26)+E36+E42</f>
        <v>567382</v>
      </c>
      <c r="F25" s="608">
        <f>SUM(F26)+F36+F42</f>
        <v>-49830</v>
      </c>
      <c r="G25" s="739">
        <f>SUM(G26)+G36+G42</f>
        <v>517552</v>
      </c>
    </row>
    <row r="26" spans="1:7" ht="13.5" thickBot="1">
      <c r="A26" s="410"/>
      <c r="B26" s="411">
        <v>60014</v>
      </c>
      <c r="C26" s="412"/>
      <c r="D26" s="404" t="s">
        <v>33</v>
      </c>
      <c r="E26" s="609">
        <f>SUM(E27:E33)</f>
        <v>391127</v>
      </c>
      <c r="F26" s="609">
        <f>SUM(F27:F33)</f>
        <v>-43575</v>
      </c>
      <c r="G26" s="754">
        <f>SUM(G27:G33)</f>
        <v>347552</v>
      </c>
    </row>
    <row r="27" spans="1:7" ht="12.75">
      <c r="A27" s="410"/>
      <c r="B27" s="264"/>
      <c r="C27" s="396" t="s">
        <v>80</v>
      </c>
      <c r="D27" s="301" t="s">
        <v>41</v>
      </c>
      <c r="E27" s="291">
        <v>160000</v>
      </c>
      <c r="F27" s="289">
        <v>58854</v>
      </c>
      <c r="G27" s="446">
        <f>F27+E27</f>
        <v>218854</v>
      </c>
    </row>
    <row r="28" spans="1:7" ht="12.75" customHeight="1">
      <c r="A28" s="410"/>
      <c r="B28" s="400"/>
      <c r="C28" s="396" t="s">
        <v>81</v>
      </c>
      <c r="D28" s="301" t="s">
        <v>691</v>
      </c>
      <c r="E28" s="291">
        <v>36000</v>
      </c>
      <c r="F28" s="289">
        <v>8305</v>
      </c>
      <c r="G28" s="446">
        <f>F28+E28</f>
        <v>44305</v>
      </c>
    </row>
    <row r="29" spans="1:7" ht="12.75" customHeight="1">
      <c r="A29" s="410"/>
      <c r="B29" s="400"/>
      <c r="C29" s="396"/>
      <c r="D29" s="301" t="s">
        <v>692</v>
      </c>
      <c r="E29" s="291"/>
      <c r="F29" s="289"/>
      <c r="G29" s="446"/>
    </row>
    <row r="30" spans="1:7" ht="12.75" customHeight="1">
      <c r="A30" s="410"/>
      <c r="B30" s="400"/>
      <c r="C30" s="396" t="s">
        <v>78</v>
      </c>
      <c r="D30" s="238" t="s">
        <v>44</v>
      </c>
      <c r="E30" s="291">
        <v>170127</v>
      </c>
      <c r="F30" s="289">
        <f>-60904-49830</f>
        <v>-110734</v>
      </c>
      <c r="G30" s="446">
        <f>F30+E30</f>
        <v>59393</v>
      </c>
    </row>
    <row r="31" spans="1:7" ht="12.75" customHeight="1">
      <c r="A31" s="410"/>
      <c r="B31" s="400"/>
      <c r="C31" s="396" t="s">
        <v>423</v>
      </c>
      <c r="D31" s="238" t="s">
        <v>815</v>
      </c>
      <c r="E31" s="291"/>
      <c r="F31" s="289"/>
      <c r="G31" s="446"/>
    </row>
    <row r="32" spans="1:7" ht="12.75" customHeight="1">
      <c r="A32" s="410"/>
      <c r="B32" s="400"/>
      <c r="C32" s="396"/>
      <c r="D32" s="238" t="s">
        <v>816</v>
      </c>
      <c r="E32" s="291">
        <v>25000</v>
      </c>
      <c r="F32" s="289"/>
      <c r="G32" s="446">
        <f>E32+F32</f>
        <v>25000</v>
      </c>
    </row>
    <row r="33" spans="1:7" ht="12.75" customHeight="1">
      <c r="A33" s="410"/>
      <c r="B33" s="400"/>
      <c r="C33" s="396" t="s">
        <v>708</v>
      </c>
      <c r="D33" s="238" t="s">
        <v>747</v>
      </c>
      <c r="E33" s="291">
        <v>0</v>
      </c>
      <c r="F33" s="289"/>
      <c r="G33" s="446">
        <f>F33+E33</f>
        <v>0</v>
      </c>
    </row>
    <row r="34" spans="1:7" ht="12.75" customHeight="1">
      <c r="A34" s="410"/>
      <c r="B34" s="400"/>
      <c r="C34" s="396"/>
      <c r="D34" s="238" t="s">
        <v>746</v>
      </c>
      <c r="E34" s="291"/>
      <c r="F34" s="289"/>
      <c r="G34" s="446"/>
    </row>
    <row r="35" spans="1:7" ht="12.75" customHeight="1">
      <c r="A35" s="410"/>
      <c r="B35" s="400"/>
      <c r="C35" s="396"/>
      <c r="D35" s="238"/>
      <c r="E35" s="291"/>
      <c r="F35" s="289"/>
      <c r="G35" s="446"/>
    </row>
    <row r="36" spans="1:7" ht="12.75" customHeight="1" thickBot="1">
      <c r="A36" s="410"/>
      <c r="B36" s="298">
        <v>60078</v>
      </c>
      <c r="C36" s="399"/>
      <c r="D36" s="770" t="s">
        <v>776</v>
      </c>
      <c r="E36" s="611">
        <f>SUM(E37:E39)</f>
        <v>170000</v>
      </c>
      <c r="F36" s="629">
        <f>SUM(F37:F39)</f>
        <v>0</v>
      </c>
      <c r="G36" s="622">
        <f>SUM(G37:G39)</f>
        <v>170000</v>
      </c>
    </row>
    <row r="37" spans="1:7" ht="12.75" customHeight="1">
      <c r="A37" s="410"/>
      <c r="B37" s="264"/>
      <c r="C37" s="396" t="s">
        <v>708</v>
      </c>
      <c r="D37" s="238" t="s">
        <v>747</v>
      </c>
      <c r="E37" s="291">
        <v>20000</v>
      </c>
      <c r="F37" s="289"/>
      <c r="G37" s="446">
        <f>E37+F37</f>
        <v>20000</v>
      </c>
    </row>
    <row r="38" spans="1:7" ht="12.75" customHeight="1">
      <c r="A38" s="410"/>
      <c r="B38" s="264"/>
      <c r="C38" s="396"/>
      <c r="D38" s="238" t="s">
        <v>746</v>
      </c>
      <c r="E38" s="291"/>
      <c r="F38" s="289"/>
      <c r="G38" s="446"/>
    </row>
    <row r="39" spans="1:7" ht="12.75" customHeight="1">
      <c r="A39" s="410"/>
      <c r="B39" s="400"/>
      <c r="C39" s="396" t="s">
        <v>773</v>
      </c>
      <c r="D39" s="238" t="s">
        <v>774</v>
      </c>
      <c r="E39" s="291">
        <v>150000</v>
      </c>
      <c r="F39" s="289"/>
      <c r="G39" s="446">
        <f>E39+F39</f>
        <v>150000</v>
      </c>
    </row>
    <row r="40" spans="1:7" ht="12.75" customHeight="1">
      <c r="A40" s="410"/>
      <c r="B40" s="400"/>
      <c r="C40" s="396"/>
      <c r="D40" s="238" t="s">
        <v>775</v>
      </c>
      <c r="E40" s="291"/>
      <c r="F40" s="289"/>
      <c r="G40" s="446"/>
    </row>
    <row r="41" spans="1:7" ht="12.75" customHeight="1">
      <c r="A41" s="410"/>
      <c r="B41" s="400"/>
      <c r="C41" s="396"/>
      <c r="D41" s="238"/>
      <c r="E41" s="291"/>
      <c r="F41" s="289"/>
      <c r="G41" s="446"/>
    </row>
    <row r="42" spans="1:7" ht="12.75" customHeight="1" thickBot="1">
      <c r="A42" s="410"/>
      <c r="B42" s="298">
        <v>60095</v>
      </c>
      <c r="C42" s="399"/>
      <c r="D42" s="770" t="s">
        <v>25</v>
      </c>
      <c r="E42" s="611">
        <f>E43</f>
        <v>6255</v>
      </c>
      <c r="F42" s="611">
        <f>F43</f>
        <v>-6255</v>
      </c>
      <c r="G42" s="744">
        <f>G43</f>
        <v>0</v>
      </c>
    </row>
    <row r="43" spans="1:7" ht="12.75" customHeight="1">
      <c r="A43" s="410"/>
      <c r="B43" s="264"/>
      <c r="C43" s="396" t="s">
        <v>78</v>
      </c>
      <c r="D43" s="238" t="s">
        <v>44</v>
      </c>
      <c r="E43" s="291">
        <v>6255</v>
      </c>
      <c r="F43" s="289">
        <v>-6255</v>
      </c>
      <c r="G43" s="446">
        <f>E43+F43</f>
        <v>0</v>
      </c>
    </row>
    <row r="44" spans="1:7" ht="12.75">
      <c r="A44" s="410"/>
      <c r="B44" s="400"/>
      <c r="C44" s="396"/>
      <c r="D44" s="301"/>
      <c r="E44" s="291"/>
      <c r="F44" s="289"/>
      <c r="G44" s="446"/>
    </row>
    <row r="45" spans="1:7" s="391" customFormat="1" ht="13.5" thickBot="1">
      <c r="A45" s="408">
        <v>700</v>
      </c>
      <c r="B45" s="389"/>
      <c r="C45" s="389"/>
      <c r="D45" s="401" t="s">
        <v>5</v>
      </c>
      <c r="E45" s="608">
        <f>E46</f>
        <v>1605753</v>
      </c>
      <c r="F45" s="627">
        <f>F46</f>
        <v>-174077</v>
      </c>
      <c r="G45" s="443">
        <f>G46</f>
        <v>1431676</v>
      </c>
    </row>
    <row r="46" spans="1:7" ht="13.5" thickBot="1">
      <c r="A46" s="410"/>
      <c r="B46" s="411">
        <v>70005</v>
      </c>
      <c r="C46" s="394"/>
      <c r="D46" s="404" t="s">
        <v>7</v>
      </c>
      <c r="E46" s="609">
        <f>SUM(E47:E63)</f>
        <v>1605753</v>
      </c>
      <c r="F46" s="628">
        <f>SUM(F47:F63)</f>
        <v>-174077</v>
      </c>
      <c r="G46" s="621">
        <f>SUM(G47:G63)</f>
        <v>1431676</v>
      </c>
    </row>
    <row r="47" spans="1:7" ht="12.75">
      <c r="A47" s="410"/>
      <c r="B47" s="264"/>
      <c r="C47" s="396" t="s">
        <v>79</v>
      </c>
      <c r="D47" s="301" t="s">
        <v>502</v>
      </c>
      <c r="E47" s="291">
        <v>3000</v>
      </c>
      <c r="F47" s="289"/>
      <c r="G47" s="446">
        <f>F47+E47</f>
        <v>3000</v>
      </c>
    </row>
    <row r="48" spans="1:7" ht="12.75">
      <c r="A48" s="410"/>
      <c r="B48" s="264"/>
      <c r="C48" s="396"/>
      <c r="D48" s="301" t="s">
        <v>65</v>
      </c>
      <c r="E48" s="610"/>
      <c r="F48" s="204"/>
      <c r="G48" s="453"/>
    </row>
    <row r="49" spans="1:7" ht="12.75">
      <c r="A49" s="410"/>
      <c r="B49" s="264"/>
      <c r="C49" s="396" t="s">
        <v>80</v>
      </c>
      <c r="D49" s="301" t="s">
        <v>41</v>
      </c>
      <c r="E49" s="610">
        <v>488</v>
      </c>
      <c r="F49" s="204"/>
      <c r="G49" s="446">
        <f>F49+E49</f>
        <v>488</v>
      </c>
    </row>
    <row r="50" spans="1:7" ht="12.75">
      <c r="A50" s="410"/>
      <c r="B50" s="264"/>
      <c r="C50" s="396" t="s">
        <v>81</v>
      </c>
      <c r="D50" s="301" t="s">
        <v>691</v>
      </c>
      <c r="E50" s="291">
        <v>105825</v>
      </c>
      <c r="F50" s="289">
        <f>6800-643+4641</f>
        <v>10798</v>
      </c>
      <c r="G50" s="446">
        <f>F50+E50</f>
        <v>116623</v>
      </c>
    </row>
    <row r="51" spans="1:7" ht="12.75">
      <c r="A51" s="410"/>
      <c r="B51" s="264"/>
      <c r="C51" s="264"/>
      <c r="D51" s="301" t="s">
        <v>692</v>
      </c>
      <c r="E51" s="291"/>
      <c r="F51" s="289"/>
      <c r="G51" s="446"/>
    </row>
    <row r="52" spans="1:7" ht="12.75">
      <c r="A52" s="410"/>
      <c r="B52" s="264"/>
      <c r="C52" s="396" t="s">
        <v>82</v>
      </c>
      <c r="D52" s="301" t="s">
        <v>694</v>
      </c>
      <c r="E52" s="291">
        <v>1388300</v>
      </c>
      <c r="F52" s="289">
        <f>-200000</f>
        <v>-200000</v>
      </c>
      <c r="G52" s="446">
        <f>F52+E52</f>
        <v>1188300</v>
      </c>
    </row>
    <row r="53" spans="1:7" ht="12.75">
      <c r="A53" s="410"/>
      <c r="B53" s="264"/>
      <c r="C53" s="396" t="s">
        <v>748</v>
      </c>
      <c r="D53" s="301" t="s">
        <v>749</v>
      </c>
      <c r="E53" s="291">
        <v>5000</v>
      </c>
      <c r="F53" s="289"/>
      <c r="G53" s="446">
        <f>F53+E53</f>
        <v>5000</v>
      </c>
    </row>
    <row r="54" spans="1:7" ht="12.75">
      <c r="A54" s="410"/>
      <c r="B54" s="264"/>
      <c r="C54" s="396" t="s">
        <v>78</v>
      </c>
      <c r="D54" s="301" t="s">
        <v>44</v>
      </c>
      <c r="E54" s="291">
        <v>0</v>
      </c>
      <c r="F54" s="289">
        <v>15000</v>
      </c>
      <c r="G54" s="446">
        <f>F54+E54</f>
        <v>15000</v>
      </c>
    </row>
    <row r="55" spans="1:7" ht="12.75">
      <c r="A55" s="410"/>
      <c r="B55" s="264"/>
      <c r="C55" s="396" t="s">
        <v>77</v>
      </c>
      <c r="D55" s="301" t="s">
        <v>686</v>
      </c>
      <c r="E55" s="291">
        <v>41000</v>
      </c>
      <c r="F55" s="289"/>
      <c r="G55" s="446">
        <f>F55+E55</f>
        <v>41000</v>
      </c>
    </row>
    <row r="56" spans="1:7" ht="12.75">
      <c r="A56" s="410"/>
      <c r="B56" s="264"/>
      <c r="C56" s="396"/>
      <c r="D56" s="204" t="s">
        <v>687</v>
      </c>
      <c r="E56" s="291"/>
      <c r="F56" s="289"/>
      <c r="G56" s="446"/>
    </row>
    <row r="57" spans="1:7" ht="12.75">
      <c r="A57" s="410"/>
      <c r="B57" s="264"/>
      <c r="C57" s="396" t="s">
        <v>240</v>
      </c>
      <c r="D57" s="301" t="s">
        <v>696</v>
      </c>
      <c r="E57" s="291">
        <v>59000</v>
      </c>
      <c r="F57" s="289"/>
      <c r="G57" s="446">
        <f>F57+E57</f>
        <v>59000</v>
      </c>
    </row>
    <row r="58" spans="1:7" ht="12.75">
      <c r="A58" s="410"/>
      <c r="B58" s="264"/>
      <c r="C58" s="396"/>
      <c r="D58" s="301" t="s">
        <v>695</v>
      </c>
      <c r="E58" s="610"/>
      <c r="F58" s="204"/>
      <c r="G58" s="453"/>
    </row>
    <row r="59" spans="1:7" ht="12.75">
      <c r="A59" s="410"/>
      <c r="B59" s="264"/>
      <c r="C59" s="396" t="s">
        <v>740</v>
      </c>
      <c r="D59" s="301" t="s">
        <v>742</v>
      </c>
      <c r="E59" s="610">
        <v>1491</v>
      </c>
      <c r="F59" s="204"/>
      <c r="G59" s="453">
        <f>E59+F59</f>
        <v>1491</v>
      </c>
    </row>
    <row r="60" spans="1:7" ht="12.75">
      <c r="A60" s="410"/>
      <c r="B60" s="264"/>
      <c r="C60" s="396"/>
      <c r="D60" s="301" t="s">
        <v>743</v>
      </c>
      <c r="E60" s="610"/>
      <c r="F60" s="204"/>
      <c r="G60" s="453"/>
    </row>
    <row r="61" spans="1:7" ht="12.75">
      <c r="A61" s="410"/>
      <c r="B61" s="264"/>
      <c r="C61" s="396" t="s">
        <v>741</v>
      </c>
      <c r="D61" s="301" t="s">
        <v>742</v>
      </c>
      <c r="E61" s="610">
        <v>649</v>
      </c>
      <c r="F61" s="204"/>
      <c r="G61" s="453">
        <f>E61+F61</f>
        <v>649</v>
      </c>
    </row>
    <row r="62" spans="1:7" ht="12.75">
      <c r="A62" s="410"/>
      <c r="B62" s="264"/>
      <c r="C62" s="396"/>
      <c r="D62" s="301" t="s">
        <v>743</v>
      </c>
      <c r="E62" s="610"/>
      <c r="F62" s="204"/>
      <c r="G62" s="453"/>
    </row>
    <row r="63" spans="1:7" ht="12.75">
      <c r="A63" s="410"/>
      <c r="B63" s="264"/>
      <c r="C63" s="396" t="s">
        <v>500</v>
      </c>
      <c r="D63" s="301" t="s">
        <v>501</v>
      </c>
      <c r="E63" s="291">
        <v>1000</v>
      </c>
      <c r="F63" s="289">
        <v>125</v>
      </c>
      <c r="G63" s="446">
        <f>F63+E63</f>
        <v>1125</v>
      </c>
    </row>
    <row r="64" spans="1:7" ht="12.75">
      <c r="A64" s="410"/>
      <c r="B64" s="264"/>
      <c r="C64" s="396"/>
      <c r="D64" s="301"/>
      <c r="E64" s="291"/>
      <c r="F64" s="289"/>
      <c r="G64" s="446"/>
    </row>
    <row r="65" spans="1:7" s="391" customFormat="1" ht="13.5" thickBot="1">
      <c r="A65" s="408">
        <v>710</v>
      </c>
      <c r="B65" s="389"/>
      <c r="C65" s="409"/>
      <c r="D65" s="401" t="s">
        <v>9</v>
      </c>
      <c r="E65" s="608">
        <f>E66+E70+E74</f>
        <v>277553</v>
      </c>
      <c r="F65" s="627">
        <f>F66+F70+F74</f>
        <v>0</v>
      </c>
      <c r="G65" s="443">
        <f>G66+G70+G74</f>
        <v>277553</v>
      </c>
    </row>
    <row r="66" spans="1:7" ht="13.5" thickBot="1">
      <c r="A66" s="410"/>
      <c r="B66" s="411">
        <v>71013</v>
      </c>
      <c r="C66" s="412"/>
      <c r="D66" s="404" t="s">
        <v>66</v>
      </c>
      <c r="E66" s="609">
        <f>E67</f>
        <v>40000</v>
      </c>
      <c r="F66" s="628">
        <f>F67</f>
        <v>0</v>
      </c>
      <c r="G66" s="621">
        <f>G67</f>
        <v>40000</v>
      </c>
    </row>
    <row r="67" spans="1:7" ht="12.75">
      <c r="A67" s="410"/>
      <c r="B67" s="264"/>
      <c r="C67" s="396" t="s">
        <v>77</v>
      </c>
      <c r="D67" s="301" t="s">
        <v>686</v>
      </c>
      <c r="E67" s="291">
        <v>40000</v>
      </c>
      <c r="F67" s="289"/>
      <c r="G67" s="446">
        <f>F67+E67</f>
        <v>40000</v>
      </c>
    </row>
    <row r="68" spans="1:7" ht="12.75">
      <c r="A68" s="410"/>
      <c r="B68" s="264"/>
      <c r="C68" s="396"/>
      <c r="D68" s="204" t="s">
        <v>687</v>
      </c>
      <c r="E68" s="291"/>
      <c r="F68" s="289"/>
      <c r="G68" s="446"/>
    </row>
    <row r="69" spans="1:7" ht="12.75">
      <c r="A69" s="410"/>
      <c r="B69" s="264"/>
      <c r="C69" s="396"/>
      <c r="D69" s="301"/>
      <c r="E69" s="291"/>
      <c r="F69" s="289"/>
      <c r="G69" s="446"/>
    </row>
    <row r="70" spans="1:7" ht="13.5" thickBot="1">
      <c r="A70" s="410"/>
      <c r="B70" s="298">
        <v>71014</v>
      </c>
      <c r="C70" s="399"/>
      <c r="D70" s="300" t="s">
        <v>12</v>
      </c>
      <c r="E70" s="611">
        <f>E71</f>
        <v>22000</v>
      </c>
      <c r="F70" s="629">
        <f>F71</f>
        <v>0</v>
      </c>
      <c r="G70" s="622">
        <f>G71</f>
        <v>22000</v>
      </c>
    </row>
    <row r="71" spans="1:7" ht="12.75">
      <c r="A71" s="410"/>
      <c r="B71" s="264"/>
      <c r="C71" s="396" t="s">
        <v>77</v>
      </c>
      <c r="D71" s="301" t="s">
        <v>686</v>
      </c>
      <c r="E71" s="291">
        <v>22000</v>
      </c>
      <c r="F71" s="289"/>
      <c r="G71" s="446">
        <f>F71+E71</f>
        <v>22000</v>
      </c>
    </row>
    <row r="72" spans="1:7" ht="12.75">
      <c r="A72" s="410"/>
      <c r="B72" s="264"/>
      <c r="C72" s="396"/>
      <c r="D72" s="204" t="s">
        <v>687</v>
      </c>
      <c r="E72" s="291"/>
      <c r="F72" s="289"/>
      <c r="G72" s="446"/>
    </row>
    <row r="73" spans="1:7" ht="12.75">
      <c r="A73" s="410"/>
      <c r="B73" s="264"/>
      <c r="C73" s="396"/>
      <c r="D73" s="301"/>
      <c r="E73" s="291"/>
      <c r="F73" s="289"/>
      <c r="G73" s="446"/>
    </row>
    <row r="74" spans="1:7" ht="13.5" thickBot="1">
      <c r="A74" s="410"/>
      <c r="B74" s="298">
        <v>71015</v>
      </c>
      <c r="C74" s="299"/>
      <c r="D74" s="300" t="s">
        <v>14</v>
      </c>
      <c r="E74" s="611">
        <f>SUM(E75:E76)</f>
        <v>215553</v>
      </c>
      <c r="F74" s="629">
        <f>SUM(F75:F76)</f>
        <v>0</v>
      </c>
      <c r="G74" s="622">
        <f>SUM(G75:G76)</f>
        <v>215553</v>
      </c>
    </row>
    <row r="75" spans="1:7" ht="12.75">
      <c r="A75" s="410"/>
      <c r="B75" s="264"/>
      <c r="C75" s="264">
        <v>2110</v>
      </c>
      <c r="D75" s="301" t="s">
        <v>686</v>
      </c>
      <c r="E75" s="291">
        <v>215553</v>
      </c>
      <c r="F75" s="289"/>
      <c r="G75" s="446">
        <f>F75+E75</f>
        <v>215553</v>
      </c>
    </row>
    <row r="76" spans="1:7" ht="12.75">
      <c r="A76" s="410"/>
      <c r="B76" s="264"/>
      <c r="C76" s="264"/>
      <c r="D76" s="204" t="s">
        <v>687</v>
      </c>
      <c r="E76" s="291"/>
      <c r="F76" s="289"/>
      <c r="G76" s="446"/>
    </row>
    <row r="77" spans="1:7" ht="12.75">
      <c r="A77" s="410"/>
      <c r="B77" s="264"/>
      <c r="C77" s="396"/>
      <c r="D77" s="301"/>
      <c r="E77" s="291"/>
      <c r="F77" s="289"/>
      <c r="G77" s="446"/>
    </row>
    <row r="78" spans="1:7" s="391" customFormat="1" ht="13.5" thickBot="1">
      <c r="A78" s="408">
        <v>750</v>
      </c>
      <c r="B78" s="389"/>
      <c r="C78" s="389"/>
      <c r="D78" s="401" t="s">
        <v>15</v>
      </c>
      <c r="E78" s="608">
        <f>E79+E83+E92+E96</f>
        <v>1622451</v>
      </c>
      <c r="F78" s="608">
        <f>F79+F83+F92+F96</f>
        <v>-21550</v>
      </c>
      <c r="G78" s="739">
        <f>G79+G83+G92+G96</f>
        <v>1600901</v>
      </c>
    </row>
    <row r="79" spans="1:7" ht="13.5" thickBot="1">
      <c r="A79" s="410"/>
      <c r="B79" s="411">
        <v>75011</v>
      </c>
      <c r="C79" s="394"/>
      <c r="D79" s="404" t="s">
        <v>16</v>
      </c>
      <c r="E79" s="609">
        <f>E80</f>
        <v>154421</v>
      </c>
      <c r="F79" s="628">
        <f>F80</f>
        <v>0</v>
      </c>
      <c r="G79" s="621">
        <f>G80</f>
        <v>154421</v>
      </c>
    </row>
    <row r="80" spans="1:7" ht="12.75">
      <c r="A80" s="410"/>
      <c r="B80" s="264"/>
      <c r="C80" s="264">
        <v>2110</v>
      </c>
      <c r="D80" s="301" t="s">
        <v>686</v>
      </c>
      <c r="E80" s="291">
        <v>154421</v>
      </c>
      <c r="F80" s="289"/>
      <c r="G80" s="446">
        <f>F80+E80</f>
        <v>154421</v>
      </c>
    </row>
    <row r="81" spans="1:7" ht="12.75">
      <c r="A81" s="410"/>
      <c r="B81" s="264"/>
      <c r="C81" s="264"/>
      <c r="D81" s="204" t="s">
        <v>687</v>
      </c>
      <c r="E81" s="291"/>
      <c r="F81" s="289"/>
      <c r="G81" s="446"/>
    </row>
    <row r="82" spans="1:7" ht="12.75">
      <c r="A82" s="410"/>
      <c r="B82" s="264"/>
      <c r="C82" s="264"/>
      <c r="D82" s="301"/>
      <c r="E82" s="291"/>
      <c r="F82" s="289"/>
      <c r="G82" s="446"/>
    </row>
    <row r="83" spans="1:7" ht="13.5" thickBot="1">
      <c r="A83" s="410"/>
      <c r="B83" s="298">
        <v>75020</v>
      </c>
      <c r="C83" s="299"/>
      <c r="D83" s="300" t="s">
        <v>31</v>
      </c>
      <c r="E83" s="611">
        <f>SUM(E84:E90)</f>
        <v>1422031</v>
      </c>
      <c r="F83" s="629">
        <f>SUM(F84:F90)</f>
        <v>-21550</v>
      </c>
      <c r="G83" s="622">
        <f>SUM(G84:G90)</f>
        <v>1400481</v>
      </c>
    </row>
    <row r="84" spans="1:7" ht="12.75">
      <c r="A84" s="410"/>
      <c r="B84" s="264"/>
      <c r="C84" s="396" t="s">
        <v>237</v>
      </c>
      <c r="D84" s="301" t="s">
        <v>67</v>
      </c>
      <c r="E84" s="291">
        <v>1250000</v>
      </c>
      <c r="F84" s="289"/>
      <c r="G84" s="446">
        <f aca="true" t="shared" si="0" ref="G84:G90">F84+E84</f>
        <v>1250000</v>
      </c>
    </row>
    <row r="85" spans="1:7" ht="12.75">
      <c r="A85" s="410"/>
      <c r="B85" s="264"/>
      <c r="C85" s="396" t="s">
        <v>80</v>
      </c>
      <c r="D85" s="301" t="s">
        <v>41</v>
      </c>
      <c r="E85" s="291">
        <v>2215</v>
      </c>
      <c r="F85" s="289"/>
      <c r="G85" s="446">
        <f t="shared" si="0"/>
        <v>2215</v>
      </c>
    </row>
    <row r="86" spans="1:7" ht="12.75">
      <c r="A86" s="410"/>
      <c r="B86" s="264"/>
      <c r="C86" s="396" t="s">
        <v>233</v>
      </c>
      <c r="D86" s="301" t="s">
        <v>40</v>
      </c>
      <c r="E86" s="291">
        <v>15000</v>
      </c>
      <c r="F86" s="289"/>
      <c r="G86" s="446">
        <f t="shared" si="0"/>
        <v>15000</v>
      </c>
    </row>
    <row r="87" spans="1:7" ht="12.75">
      <c r="A87" s="410"/>
      <c r="B87" s="264"/>
      <c r="C87" s="396" t="s">
        <v>238</v>
      </c>
      <c r="D87" s="301" t="s">
        <v>503</v>
      </c>
      <c r="E87" s="291">
        <v>4000</v>
      </c>
      <c r="F87" s="289"/>
      <c r="G87" s="446">
        <f t="shared" si="0"/>
        <v>4000</v>
      </c>
    </row>
    <row r="88" spans="1:7" ht="12.75">
      <c r="A88" s="410"/>
      <c r="B88" s="264"/>
      <c r="C88" s="396" t="s">
        <v>748</v>
      </c>
      <c r="D88" s="301" t="s">
        <v>749</v>
      </c>
      <c r="E88" s="291">
        <v>166</v>
      </c>
      <c r="F88" s="289"/>
      <c r="G88" s="446">
        <f t="shared" si="0"/>
        <v>166</v>
      </c>
    </row>
    <row r="89" spans="1:7" ht="12.75">
      <c r="A89" s="410"/>
      <c r="B89" s="264"/>
      <c r="C89" s="396" t="s">
        <v>239</v>
      </c>
      <c r="D89" s="301" t="s">
        <v>487</v>
      </c>
      <c r="E89" s="291">
        <v>650</v>
      </c>
      <c r="F89" s="289"/>
      <c r="G89" s="446">
        <f t="shared" si="0"/>
        <v>650</v>
      </c>
    </row>
    <row r="90" spans="1:7" ht="12.75">
      <c r="A90" s="410"/>
      <c r="B90" s="264"/>
      <c r="C90" s="396" t="s">
        <v>78</v>
      </c>
      <c r="D90" s="301" t="s">
        <v>44</v>
      </c>
      <c r="E90" s="291">
        <v>150000</v>
      </c>
      <c r="F90" s="289">
        <v>-21550</v>
      </c>
      <c r="G90" s="446">
        <f t="shared" si="0"/>
        <v>128450</v>
      </c>
    </row>
    <row r="91" spans="1:7" ht="12.75">
      <c r="A91" s="410"/>
      <c r="B91" s="264"/>
      <c r="C91" s="264"/>
      <c r="D91" s="264"/>
      <c r="E91" s="291"/>
      <c r="F91" s="289"/>
      <c r="G91" s="446"/>
    </row>
    <row r="92" spans="1:7" ht="13.5" thickBot="1">
      <c r="A92" s="410"/>
      <c r="B92" s="298">
        <v>75045</v>
      </c>
      <c r="C92" s="299"/>
      <c r="D92" s="300" t="s">
        <v>17</v>
      </c>
      <c r="E92" s="611">
        <f>E93</f>
        <v>15999</v>
      </c>
      <c r="F92" s="629">
        <f>F93</f>
        <v>0</v>
      </c>
      <c r="G92" s="622">
        <f>G93</f>
        <v>15999</v>
      </c>
    </row>
    <row r="93" spans="1:7" ht="12.75">
      <c r="A93" s="410"/>
      <c r="B93" s="264"/>
      <c r="C93" s="264">
        <v>2110</v>
      </c>
      <c r="D93" s="301" t="s">
        <v>686</v>
      </c>
      <c r="E93" s="291">
        <v>15999</v>
      </c>
      <c r="F93" s="289"/>
      <c r="G93" s="446">
        <f>F93+E93</f>
        <v>15999</v>
      </c>
    </row>
    <row r="94" spans="1:7" ht="12.75">
      <c r="A94" s="410"/>
      <c r="B94" s="264"/>
      <c r="C94" s="264"/>
      <c r="D94" s="204" t="s">
        <v>687</v>
      </c>
      <c r="E94" s="291"/>
      <c r="F94" s="289"/>
      <c r="G94" s="446"/>
    </row>
    <row r="95" spans="1:7" ht="12.75">
      <c r="A95" s="410"/>
      <c r="B95" s="264"/>
      <c r="C95" s="264"/>
      <c r="D95" s="301"/>
      <c r="E95" s="291"/>
      <c r="F95" s="289"/>
      <c r="G95" s="446"/>
    </row>
    <row r="96" spans="1:7" ht="13.5" thickBot="1">
      <c r="A96" s="410"/>
      <c r="B96" s="298">
        <v>75095</v>
      </c>
      <c r="C96" s="299"/>
      <c r="D96" s="300" t="s">
        <v>25</v>
      </c>
      <c r="E96" s="611">
        <f>E97</f>
        <v>30000</v>
      </c>
      <c r="F96" s="629">
        <f>F97</f>
        <v>0</v>
      </c>
      <c r="G96" s="622">
        <f>G97</f>
        <v>30000</v>
      </c>
    </row>
    <row r="97" spans="1:7" ht="12.75">
      <c r="A97" s="410"/>
      <c r="B97" s="264"/>
      <c r="C97" s="396" t="s">
        <v>78</v>
      </c>
      <c r="D97" s="301" t="s">
        <v>44</v>
      </c>
      <c r="E97" s="291">
        <v>30000</v>
      </c>
      <c r="F97" s="289"/>
      <c r="G97" s="446">
        <f>E97+F97</f>
        <v>30000</v>
      </c>
    </row>
    <row r="98" spans="1:7" ht="12.75">
      <c r="A98" s="410"/>
      <c r="B98" s="264"/>
      <c r="C98" s="396"/>
      <c r="D98" s="301"/>
      <c r="E98" s="291"/>
      <c r="F98" s="289"/>
      <c r="G98" s="446"/>
    </row>
    <row r="99" spans="1:7" ht="12.75">
      <c r="A99" s="410"/>
      <c r="B99" s="264"/>
      <c r="C99" s="396"/>
      <c r="D99" s="413" t="s">
        <v>798</v>
      </c>
      <c r="E99" s="291"/>
      <c r="F99" s="289"/>
      <c r="G99" s="446"/>
    </row>
    <row r="100" spans="1:7" ht="13.5" thickBot="1">
      <c r="A100" s="408">
        <v>751</v>
      </c>
      <c r="B100" s="389"/>
      <c r="C100" s="409"/>
      <c r="D100" s="401" t="s">
        <v>799</v>
      </c>
      <c r="E100" s="608">
        <f>E103</f>
        <v>18109</v>
      </c>
      <c r="F100" s="608">
        <f>F103</f>
        <v>0</v>
      </c>
      <c r="G100" s="739">
        <f>G103</f>
        <v>18109</v>
      </c>
    </row>
    <row r="101" spans="1:7" ht="12.75">
      <c r="A101" s="410"/>
      <c r="B101" s="264">
        <v>75109</v>
      </c>
      <c r="C101" s="396"/>
      <c r="D101" s="301" t="s">
        <v>800</v>
      </c>
      <c r="E101" s="291"/>
      <c r="F101" s="289"/>
      <c r="G101" s="446"/>
    </row>
    <row r="102" spans="1:7" ht="12.75">
      <c r="A102" s="410"/>
      <c r="B102" s="264"/>
      <c r="C102" s="396"/>
      <c r="D102" s="301" t="s">
        <v>801</v>
      </c>
      <c r="E102" s="291"/>
      <c r="F102" s="289"/>
      <c r="G102" s="446"/>
    </row>
    <row r="103" spans="1:7" ht="13.5" thickBot="1">
      <c r="A103" s="410"/>
      <c r="B103" s="298"/>
      <c r="C103" s="399"/>
      <c r="D103" s="300" t="s">
        <v>802</v>
      </c>
      <c r="E103" s="611">
        <f>E104</f>
        <v>18109</v>
      </c>
      <c r="F103" s="629">
        <f>F104</f>
        <v>0</v>
      </c>
      <c r="G103" s="622">
        <f>E103+F103</f>
        <v>18109</v>
      </c>
    </row>
    <row r="104" spans="1:7" ht="12.75">
      <c r="A104" s="410"/>
      <c r="B104" s="264"/>
      <c r="C104" s="396" t="s">
        <v>77</v>
      </c>
      <c r="D104" s="301" t="s">
        <v>686</v>
      </c>
      <c r="E104" s="291">
        <v>18109</v>
      </c>
      <c r="F104" s="289"/>
      <c r="G104" s="446">
        <f>E104+F104</f>
        <v>18109</v>
      </c>
    </row>
    <row r="105" spans="1:7" ht="12.75">
      <c r="A105" s="410"/>
      <c r="B105" s="264"/>
      <c r="C105" s="396"/>
      <c r="D105" s="204" t="s">
        <v>687</v>
      </c>
      <c r="E105" s="291"/>
      <c r="F105" s="289"/>
      <c r="G105" s="446"/>
    </row>
    <row r="106" spans="1:7" ht="12" customHeight="1">
      <c r="A106" s="410"/>
      <c r="B106" s="264"/>
      <c r="C106" s="396"/>
      <c r="D106" s="301"/>
      <c r="E106" s="291"/>
      <c r="F106" s="289"/>
      <c r="G106" s="446"/>
    </row>
    <row r="107" spans="1:7" ht="12.75">
      <c r="A107" s="392">
        <v>756</v>
      </c>
      <c r="B107" s="264"/>
      <c r="C107" s="396"/>
      <c r="D107" s="413" t="s">
        <v>697</v>
      </c>
      <c r="E107" s="291"/>
      <c r="F107" s="289"/>
      <c r="G107" s="446"/>
    </row>
    <row r="108" spans="1:7" s="391" customFormat="1" ht="13.5" thickBot="1">
      <c r="A108" s="408"/>
      <c r="B108" s="389"/>
      <c r="C108" s="389"/>
      <c r="D108" s="401" t="s">
        <v>698</v>
      </c>
      <c r="E108" s="608">
        <f>E109</f>
        <v>3005856</v>
      </c>
      <c r="F108" s="627">
        <f>F109</f>
        <v>-41037</v>
      </c>
      <c r="G108" s="443">
        <f>G109</f>
        <v>2964819</v>
      </c>
    </row>
    <row r="109" spans="1:7" ht="13.5" thickBot="1">
      <c r="A109" s="410"/>
      <c r="B109" s="411">
        <v>75622</v>
      </c>
      <c r="C109" s="394"/>
      <c r="D109" s="404" t="s">
        <v>699</v>
      </c>
      <c r="E109" s="609">
        <f>SUM(E110:E111)</f>
        <v>3005856</v>
      </c>
      <c r="F109" s="628">
        <f>SUM(F110:F111)</f>
        <v>-41037</v>
      </c>
      <c r="G109" s="621">
        <f>SUM(G110:G111)</f>
        <v>2964819</v>
      </c>
    </row>
    <row r="110" spans="1:7" ht="12.75">
      <c r="A110" s="410"/>
      <c r="B110" s="264"/>
      <c r="C110" s="396" t="s">
        <v>236</v>
      </c>
      <c r="D110" s="301" t="s">
        <v>416</v>
      </c>
      <c r="E110" s="291">
        <v>2855856</v>
      </c>
      <c r="F110" s="289"/>
      <c r="G110" s="446">
        <f>F110+E110</f>
        <v>2855856</v>
      </c>
    </row>
    <row r="111" spans="1:7" ht="12.75">
      <c r="A111" s="410"/>
      <c r="B111" s="264"/>
      <c r="C111" s="396" t="s">
        <v>754</v>
      </c>
      <c r="D111" s="301" t="s">
        <v>755</v>
      </c>
      <c r="E111" s="291">
        <v>150000</v>
      </c>
      <c r="F111" s="289">
        <f>-41500+463</f>
        <v>-41037</v>
      </c>
      <c r="G111" s="446">
        <f>F111+E111</f>
        <v>108963</v>
      </c>
    </row>
    <row r="112" spans="1:7" ht="12" customHeight="1">
      <c r="A112" s="410"/>
      <c r="B112" s="264"/>
      <c r="C112" s="396"/>
      <c r="D112" s="301"/>
      <c r="E112" s="291"/>
      <c r="F112" s="289"/>
      <c r="G112" s="446"/>
    </row>
    <row r="113" spans="1:7" s="391" customFormat="1" ht="13.5" thickBot="1">
      <c r="A113" s="408">
        <v>758</v>
      </c>
      <c r="B113" s="389"/>
      <c r="C113" s="389"/>
      <c r="D113" s="401" t="s">
        <v>34</v>
      </c>
      <c r="E113" s="608">
        <f>E114+E121+E124+E127+E117</f>
        <v>16718881</v>
      </c>
      <c r="F113" s="608">
        <f>F114+F121+F124+F127+F117</f>
        <v>49855</v>
      </c>
      <c r="G113" s="739">
        <f>G114+G121+G124+G127+G117</f>
        <v>16768736</v>
      </c>
    </row>
    <row r="114" spans="1:7" ht="13.5" thickBot="1">
      <c r="A114" s="410"/>
      <c r="B114" s="411">
        <v>75801</v>
      </c>
      <c r="C114" s="394"/>
      <c r="D114" s="404" t="s">
        <v>68</v>
      </c>
      <c r="E114" s="609">
        <f>E115</f>
        <v>10711689</v>
      </c>
      <c r="F114" s="628">
        <f>F115</f>
        <v>0</v>
      </c>
      <c r="G114" s="621">
        <f>G115</f>
        <v>10711689</v>
      </c>
    </row>
    <row r="115" spans="1:7" ht="12.75">
      <c r="A115" s="410"/>
      <c r="B115" s="264"/>
      <c r="C115" s="264">
        <v>2920</v>
      </c>
      <c r="D115" s="301" t="s">
        <v>30</v>
      </c>
      <c r="E115" s="291">
        <v>10711689</v>
      </c>
      <c r="F115" s="289"/>
      <c r="G115" s="745">
        <f>F115+E115</f>
        <v>10711689</v>
      </c>
    </row>
    <row r="116" spans="1:7" ht="12.75">
      <c r="A116" s="410"/>
      <c r="B116" s="264"/>
      <c r="C116" s="264"/>
      <c r="D116" s="397"/>
      <c r="E116" s="291"/>
      <c r="F116" s="289"/>
      <c r="G116" s="566"/>
    </row>
    <row r="117" spans="1:7" ht="12.75">
      <c r="A117" s="410"/>
      <c r="B117" s="449">
        <v>75802</v>
      </c>
      <c r="C117" s="454"/>
      <c r="D117" s="450" t="s">
        <v>744</v>
      </c>
      <c r="E117" s="542">
        <f>E119+E118</f>
        <v>552117</v>
      </c>
      <c r="F117" s="542">
        <f>F119+F118</f>
        <v>49830</v>
      </c>
      <c r="G117" s="567">
        <f>G119+G118</f>
        <v>601947</v>
      </c>
    </row>
    <row r="118" spans="1:7" ht="12.75">
      <c r="A118" s="410"/>
      <c r="B118" s="264"/>
      <c r="C118" s="264">
        <v>2760</v>
      </c>
      <c r="D118" s="301" t="s">
        <v>824</v>
      </c>
      <c r="E118" s="291">
        <v>402117</v>
      </c>
      <c r="F118" s="289">
        <v>49830</v>
      </c>
      <c r="G118" s="566">
        <f>E118+F118</f>
        <v>451947</v>
      </c>
    </row>
    <row r="119" spans="1:7" ht="12.75">
      <c r="A119" s="410"/>
      <c r="B119" s="264"/>
      <c r="C119" s="264">
        <v>2780</v>
      </c>
      <c r="D119" s="301" t="s">
        <v>745</v>
      </c>
      <c r="E119" s="291">
        <v>150000</v>
      </c>
      <c r="F119" s="289"/>
      <c r="G119" s="446">
        <f>E119+F119</f>
        <v>150000</v>
      </c>
    </row>
    <row r="120" spans="1:7" ht="12.75">
      <c r="A120" s="410"/>
      <c r="B120" s="264"/>
      <c r="C120" s="264"/>
      <c r="D120" s="397"/>
      <c r="E120" s="291"/>
      <c r="F120" s="289"/>
      <c r="G120" s="446"/>
    </row>
    <row r="121" spans="1:7" ht="13.5" thickBot="1">
      <c r="A121" s="410"/>
      <c r="B121" s="298">
        <v>75803</v>
      </c>
      <c r="C121" s="299"/>
      <c r="D121" s="300" t="s">
        <v>69</v>
      </c>
      <c r="E121" s="611">
        <f>E122</f>
        <v>3563513</v>
      </c>
      <c r="F121" s="629">
        <f>F122</f>
        <v>0</v>
      </c>
      <c r="G121" s="622">
        <f>G122</f>
        <v>3563513</v>
      </c>
    </row>
    <row r="122" spans="1:7" ht="12.75">
      <c r="A122" s="410"/>
      <c r="B122" s="264"/>
      <c r="C122" s="264">
        <v>2920</v>
      </c>
      <c r="D122" s="301" t="s">
        <v>30</v>
      </c>
      <c r="E122" s="291">
        <v>3563513</v>
      </c>
      <c r="F122" s="289"/>
      <c r="G122" s="446">
        <f>F122+E122</f>
        <v>3563513</v>
      </c>
    </row>
    <row r="123" spans="1:7" ht="12.75">
      <c r="A123" s="410"/>
      <c r="B123" s="264"/>
      <c r="C123" s="264"/>
      <c r="D123" s="397"/>
      <c r="E123" s="291"/>
      <c r="F123" s="289"/>
      <c r="G123" s="446"/>
    </row>
    <row r="124" spans="1:7" ht="13.5" thickBot="1">
      <c r="A124" s="410"/>
      <c r="B124" s="298">
        <v>75814</v>
      </c>
      <c r="C124" s="399"/>
      <c r="D124" s="300" t="s">
        <v>35</v>
      </c>
      <c r="E124" s="611">
        <f>E125</f>
        <v>42324</v>
      </c>
      <c r="F124" s="611">
        <f>F125</f>
        <v>25</v>
      </c>
      <c r="G124" s="744">
        <f>G125</f>
        <v>42349</v>
      </c>
    </row>
    <row r="125" spans="1:7" ht="12.75">
      <c r="A125" s="410"/>
      <c r="B125" s="264"/>
      <c r="C125" s="396" t="s">
        <v>235</v>
      </c>
      <c r="D125" s="301" t="s">
        <v>70</v>
      </c>
      <c r="E125" s="291">
        <v>42324</v>
      </c>
      <c r="F125" s="289">
        <f>-175+180+20</f>
        <v>25</v>
      </c>
      <c r="G125" s="446">
        <f>F125+E125</f>
        <v>42349</v>
      </c>
    </row>
    <row r="126" spans="1:7" ht="12.75">
      <c r="A126" s="410"/>
      <c r="B126" s="264"/>
      <c r="C126" s="396"/>
      <c r="D126" s="397"/>
      <c r="E126" s="291"/>
      <c r="F126" s="289"/>
      <c r="G126" s="446"/>
    </row>
    <row r="127" spans="1:7" ht="13.5" thickBot="1">
      <c r="A127" s="410"/>
      <c r="B127" s="298">
        <v>75832</v>
      </c>
      <c r="C127" s="399"/>
      <c r="D127" s="300" t="s">
        <v>421</v>
      </c>
      <c r="E127" s="611">
        <f>E128</f>
        <v>1849238</v>
      </c>
      <c r="F127" s="629">
        <f>F128</f>
        <v>0</v>
      </c>
      <c r="G127" s="622">
        <f>G128</f>
        <v>1849238</v>
      </c>
    </row>
    <row r="128" spans="1:7" ht="12.75">
      <c r="A128" s="410"/>
      <c r="B128" s="264"/>
      <c r="C128" s="396" t="s">
        <v>420</v>
      </c>
      <c r="D128" s="406" t="s">
        <v>30</v>
      </c>
      <c r="E128" s="291">
        <v>1849238</v>
      </c>
      <c r="F128" s="289"/>
      <c r="G128" s="745">
        <f>F128+E128</f>
        <v>1849238</v>
      </c>
    </row>
    <row r="129" spans="1:7" ht="12.75" customHeight="1">
      <c r="A129" s="410"/>
      <c r="B129" s="264"/>
      <c r="C129" s="396"/>
      <c r="D129" s="397"/>
      <c r="E129" s="291"/>
      <c r="F129" s="289"/>
      <c r="G129" s="566"/>
    </row>
    <row r="130" spans="1:7" s="391" customFormat="1" ht="13.5" thickBot="1">
      <c r="A130" s="408">
        <v>801</v>
      </c>
      <c r="B130" s="415"/>
      <c r="C130" s="415"/>
      <c r="D130" s="416" t="s">
        <v>24</v>
      </c>
      <c r="E130" s="613">
        <f>E131+E139+E159+E149+E152</f>
        <v>857596</v>
      </c>
      <c r="F130" s="613">
        <f>F131+F139+F159+F149+F152</f>
        <v>6660</v>
      </c>
      <c r="G130" s="743">
        <f>G131+G139+G159+G149+G152</f>
        <v>864256</v>
      </c>
    </row>
    <row r="131" spans="1:7" ht="13.5" thickBot="1">
      <c r="A131" s="392"/>
      <c r="B131" s="298">
        <v>80120</v>
      </c>
      <c r="C131" s="298"/>
      <c r="D131" s="414" t="s">
        <v>36</v>
      </c>
      <c r="E131" s="611">
        <f>SUM(E132:E136)</f>
        <v>702922</v>
      </c>
      <c r="F131" s="611">
        <f>SUM(F132:F136)</f>
        <v>2874</v>
      </c>
      <c r="G131" s="744">
        <f>SUM(G132:G136)</f>
        <v>705796</v>
      </c>
    </row>
    <row r="132" spans="1:7" ht="12.75">
      <c r="A132" s="392"/>
      <c r="B132" s="417"/>
      <c r="C132" s="418" t="s">
        <v>233</v>
      </c>
      <c r="D132" s="204" t="s">
        <v>40</v>
      </c>
      <c r="E132" s="291">
        <v>1600</v>
      </c>
      <c r="F132" s="289">
        <v>329</v>
      </c>
      <c r="G132" s="446">
        <f>F132+E132</f>
        <v>1929</v>
      </c>
    </row>
    <row r="133" spans="1:7" ht="12.75">
      <c r="A133" s="392"/>
      <c r="B133" s="417"/>
      <c r="C133" s="418" t="s">
        <v>78</v>
      </c>
      <c r="D133" s="204" t="s">
        <v>44</v>
      </c>
      <c r="E133" s="291">
        <v>674422</v>
      </c>
      <c r="F133" s="289">
        <v>2545</v>
      </c>
      <c r="G133" s="446">
        <f>F133+E133</f>
        <v>676967</v>
      </c>
    </row>
    <row r="134" spans="1:7" ht="12.75">
      <c r="A134" s="392"/>
      <c r="B134" s="417"/>
      <c r="C134" s="418" t="s">
        <v>750</v>
      </c>
      <c r="D134" s="204" t="s">
        <v>751</v>
      </c>
      <c r="E134" s="291">
        <v>1900</v>
      </c>
      <c r="F134" s="289"/>
      <c r="G134" s="446">
        <f>F134+E134</f>
        <v>1900</v>
      </c>
    </row>
    <row r="135" spans="1:7" ht="12.75">
      <c r="A135" s="392"/>
      <c r="B135" s="417"/>
      <c r="C135" s="418"/>
      <c r="D135" s="204" t="s">
        <v>752</v>
      </c>
      <c r="E135" s="291"/>
      <c r="F135" s="289"/>
      <c r="G135" s="446"/>
    </row>
    <row r="136" spans="1:7" ht="12.75">
      <c r="A136" s="392"/>
      <c r="B136" s="417"/>
      <c r="C136" s="418" t="s">
        <v>708</v>
      </c>
      <c r="D136" s="204" t="s">
        <v>709</v>
      </c>
      <c r="E136" s="291">
        <v>25000</v>
      </c>
      <c r="F136" s="289"/>
      <c r="G136" s="446">
        <f>F136+E136</f>
        <v>25000</v>
      </c>
    </row>
    <row r="137" spans="1:7" ht="12.75">
      <c r="A137" s="392"/>
      <c r="B137" s="417"/>
      <c r="C137" s="418"/>
      <c r="D137" s="204" t="s">
        <v>496</v>
      </c>
      <c r="E137" s="291"/>
      <c r="F137" s="289"/>
      <c r="G137" s="446"/>
    </row>
    <row r="138" spans="1:7" ht="12.75" customHeight="1">
      <c r="A138" s="392"/>
      <c r="B138" s="417"/>
      <c r="C138" s="407"/>
      <c r="D138" s="419"/>
      <c r="E138" s="291"/>
      <c r="F138" s="289"/>
      <c r="G138" s="446"/>
    </row>
    <row r="139" spans="1:7" ht="13.5" thickBot="1">
      <c r="A139" s="392"/>
      <c r="B139" s="298">
        <v>80130</v>
      </c>
      <c r="C139" s="415"/>
      <c r="D139" s="414" t="s">
        <v>37</v>
      </c>
      <c r="E139" s="611">
        <f>SUM(E140:E146)</f>
        <v>55409</v>
      </c>
      <c r="F139" s="629">
        <f>SUM(F140:F146)</f>
        <v>-381</v>
      </c>
      <c r="G139" s="622">
        <f>E139+F139</f>
        <v>55028</v>
      </c>
    </row>
    <row r="140" spans="1:7" ht="12.75">
      <c r="A140" s="392"/>
      <c r="B140" s="417"/>
      <c r="C140" s="396" t="s">
        <v>81</v>
      </c>
      <c r="D140" s="301" t="s">
        <v>691</v>
      </c>
      <c r="E140" s="291">
        <v>3500</v>
      </c>
      <c r="F140" s="289">
        <f>-410</f>
        <v>-410</v>
      </c>
      <c r="G140" s="446">
        <f>F140+E140</f>
        <v>3090</v>
      </c>
    </row>
    <row r="141" spans="1:7" ht="12.75">
      <c r="A141" s="392"/>
      <c r="B141" s="417"/>
      <c r="C141" s="264"/>
      <c r="D141" s="301" t="s">
        <v>692</v>
      </c>
      <c r="E141" s="291"/>
      <c r="F141" s="289" t="s">
        <v>372</v>
      </c>
      <c r="G141" s="446"/>
    </row>
    <row r="142" spans="1:7" ht="12.75">
      <c r="A142" s="392"/>
      <c r="B142" s="407"/>
      <c r="C142" s="418" t="s">
        <v>233</v>
      </c>
      <c r="D142" s="204" t="s">
        <v>40</v>
      </c>
      <c r="E142" s="291">
        <v>23755</v>
      </c>
      <c r="F142" s="289">
        <v>29</v>
      </c>
      <c r="G142" s="446">
        <f>F142+E142</f>
        <v>23784</v>
      </c>
    </row>
    <row r="143" spans="1:7" ht="12.75">
      <c r="A143" s="392"/>
      <c r="B143" s="400"/>
      <c r="C143" s="396" t="s">
        <v>238</v>
      </c>
      <c r="D143" s="301" t="s">
        <v>753</v>
      </c>
      <c r="E143" s="291">
        <v>9250</v>
      </c>
      <c r="F143" s="289"/>
      <c r="G143" s="446">
        <f>F143+E143</f>
        <v>9250</v>
      </c>
    </row>
    <row r="144" spans="1:7" ht="12.75">
      <c r="A144" s="392"/>
      <c r="B144" s="400"/>
      <c r="C144" s="396" t="s">
        <v>239</v>
      </c>
      <c r="D144" s="301" t="s">
        <v>487</v>
      </c>
      <c r="E144" s="291">
        <v>1500</v>
      </c>
      <c r="F144" s="289"/>
      <c r="G144" s="446">
        <f>F144+E144</f>
        <v>1500</v>
      </c>
    </row>
    <row r="145" spans="1:7" ht="12.75">
      <c r="A145" s="392"/>
      <c r="B145" s="400"/>
      <c r="C145" s="396" t="s">
        <v>78</v>
      </c>
      <c r="D145" s="301" t="s">
        <v>44</v>
      </c>
      <c r="E145" s="291">
        <v>7404</v>
      </c>
      <c r="F145" s="289"/>
      <c r="G145" s="446">
        <f>F145+E145</f>
        <v>7404</v>
      </c>
    </row>
    <row r="146" spans="1:7" ht="12.75">
      <c r="A146" s="392"/>
      <c r="B146" s="400"/>
      <c r="C146" s="418" t="s">
        <v>708</v>
      </c>
      <c r="D146" s="204" t="s">
        <v>709</v>
      </c>
      <c r="E146" s="291">
        <v>10000</v>
      </c>
      <c r="F146" s="289"/>
      <c r="G146" s="446">
        <f>F146+E146</f>
        <v>10000</v>
      </c>
    </row>
    <row r="147" spans="1:7" ht="12.75">
      <c r="A147" s="392"/>
      <c r="B147" s="400"/>
      <c r="C147" s="396"/>
      <c r="D147" s="204" t="s">
        <v>496</v>
      </c>
      <c r="E147" s="291"/>
      <c r="F147" s="289"/>
      <c r="G147" s="446"/>
    </row>
    <row r="148" spans="1:7" ht="13.5" customHeight="1">
      <c r="A148" s="410"/>
      <c r="B148" s="396"/>
      <c r="C148" s="264"/>
      <c r="D148" s="301"/>
      <c r="E148" s="291"/>
      <c r="F148" s="289"/>
      <c r="G148" s="446"/>
    </row>
    <row r="149" spans="1:7" ht="13.5" customHeight="1" thickBot="1">
      <c r="A149" s="410"/>
      <c r="B149" s="398" t="s">
        <v>498</v>
      </c>
      <c r="C149" s="299"/>
      <c r="D149" s="300" t="s">
        <v>499</v>
      </c>
      <c r="E149" s="611">
        <f>E150</f>
        <v>3967</v>
      </c>
      <c r="F149" s="629">
        <f>F150</f>
        <v>0</v>
      </c>
      <c r="G149" s="622">
        <f>G150</f>
        <v>3967</v>
      </c>
    </row>
    <row r="150" spans="1:7" ht="13.5" customHeight="1">
      <c r="A150" s="410"/>
      <c r="B150" s="396"/>
      <c r="C150" s="396" t="s">
        <v>80</v>
      </c>
      <c r="D150" s="301" t="s">
        <v>41</v>
      </c>
      <c r="E150" s="291">
        <v>3967</v>
      </c>
      <c r="F150" s="289"/>
      <c r="G150" s="446">
        <f>F150+E150</f>
        <v>3967</v>
      </c>
    </row>
    <row r="151" spans="1:7" ht="13.5" customHeight="1">
      <c r="A151" s="410"/>
      <c r="B151" s="396"/>
      <c r="C151" s="264"/>
      <c r="D151" s="301"/>
      <c r="E151" s="291"/>
      <c r="F151" s="289"/>
      <c r="G151" s="446"/>
    </row>
    <row r="152" spans="1:7" ht="13.5" customHeight="1" thickBot="1">
      <c r="A152" s="410"/>
      <c r="B152" s="398" t="s">
        <v>724</v>
      </c>
      <c r="C152" s="299"/>
      <c r="D152" s="300" t="s">
        <v>25</v>
      </c>
      <c r="E152" s="611">
        <f>SUM(E153:E156)</f>
        <v>73984</v>
      </c>
      <c r="F152" s="611">
        <f>SUM(F153:F156)</f>
        <v>-7033</v>
      </c>
      <c r="G152" s="744">
        <f>SUM(G153:G156)</f>
        <v>66951</v>
      </c>
    </row>
    <row r="153" spans="1:7" ht="13.5" customHeight="1">
      <c r="A153" s="410"/>
      <c r="B153" s="396"/>
      <c r="C153" s="396" t="s">
        <v>78</v>
      </c>
      <c r="D153" s="301" t="s">
        <v>725</v>
      </c>
      <c r="E153" s="291">
        <v>12074</v>
      </c>
      <c r="F153" s="289">
        <v>4249</v>
      </c>
      <c r="G153" s="446">
        <f>E153+F153</f>
        <v>16323</v>
      </c>
    </row>
    <row r="154" spans="1:7" ht="13.5" customHeight="1">
      <c r="A154" s="410"/>
      <c r="B154" s="396"/>
      <c r="C154" s="396" t="s">
        <v>730</v>
      </c>
      <c r="D154" s="238" t="s">
        <v>732</v>
      </c>
      <c r="E154" s="291">
        <v>0</v>
      </c>
      <c r="F154" s="289">
        <v>1100</v>
      </c>
      <c r="G154" s="446">
        <f>E154+F154</f>
        <v>1100</v>
      </c>
    </row>
    <row r="155" spans="1:7" ht="13.5" customHeight="1">
      <c r="A155" s="410"/>
      <c r="B155" s="396"/>
      <c r="C155" s="396"/>
      <c r="D155" s="238" t="s">
        <v>731</v>
      </c>
      <c r="E155" s="291"/>
      <c r="F155" s="289"/>
      <c r="G155" s="446"/>
    </row>
    <row r="156" spans="1:7" ht="13.5" customHeight="1">
      <c r="A156" s="410"/>
      <c r="B156" s="396"/>
      <c r="C156" s="396" t="s">
        <v>740</v>
      </c>
      <c r="D156" s="301" t="s">
        <v>813</v>
      </c>
      <c r="E156" s="291">
        <v>61910</v>
      </c>
      <c r="F156" s="289">
        <v>-12382</v>
      </c>
      <c r="G156" s="446">
        <f>E156+F156</f>
        <v>49528</v>
      </c>
    </row>
    <row r="157" spans="1:7" ht="13.5" customHeight="1">
      <c r="A157" s="410"/>
      <c r="B157" s="396"/>
      <c r="C157" s="396"/>
      <c r="D157" s="301" t="s">
        <v>814</v>
      </c>
      <c r="E157" s="291"/>
      <c r="F157" s="289"/>
      <c r="G157" s="446"/>
    </row>
    <row r="158" spans="1:7" ht="13.5" customHeight="1">
      <c r="A158" s="410"/>
      <c r="B158" s="396"/>
      <c r="C158" s="264"/>
      <c r="D158" s="301"/>
      <c r="E158" s="291"/>
      <c r="F158" s="289"/>
      <c r="G158" s="446"/>
    </row>
    <row r="159" spans="1:7" ht="13.5" thickBot="1">
      <c r="A159" s="410"/>
      <c r="B159" s="399" t="s">
        <v>71</v>
      </c>
      <c r="C159" s="420"/>
      <c r="D159" s="300" t="s">
        <v>38</v>
      </c>
      <c r="E159" s="611">
        <f>E160</f>
        <v>21314</v>
      </c>
      <c r="F159" s="629">
        <f>F160</f>
        <v>11200</v>
      </c>
      <c r="G159" s="622">
        <f>G160</f>
        <v>32514</v>
      </c>
    </row>
    <row r="160" spans="1:7" ht="12.75">
      <c r="A160" s="410"/>
      <c r="B160" s="396"/>
      <c r="C160" s="396" t="s">
        <v>234</v>
      </c>
      <c r="D160" s="301" t="s">
        <v>690</v>
      </c>
      <c r="E160" s="291">
        <v>21314</v>
      </c>
      <c r="F160" s="289">
        <v>11200</v>
      </c>
      <c r="G160" s="446">
        <f>F160+E160</f>
        <v>32514</v>
      </c>
    </row>
    <row r="161" spans="1:7" ht="12.75">
      <c r="A161" s="410"/>
      <c r="B161" s="396"/>
      <c r="C161" s="396"/>
      <c r="D161" s="301"/>
      <c r="E161" s="291"/>
      <c r="F161" s="289"/>
      <c r="G161" s="446"/>
    </row>
    <row r="162" spans="1:7" s="391" customFormat="1" ht="13.5" thickBot="1">
      <c r="A162" s="408">
        <v>803</v>
      </c>
      <c r="B162" s="409"/>
      <c r="C162" s="409"/>
      <c r="D162" s="401" t="s">
        <v>481</v>
      </c>
      <c r="E162" s="608">
        <f>E163</f>
        <v>364093</v>
      </c>
      <c r="F162" s="627">
        <f>F163</f>
        <v>9049</v>
      </c>
      <c r="G162" s="443">
        <f>G163</f>
        <v>373142</v>
      </c>
    </row>
    <row r="163" spans="1:7" ht="13.5" thickBot="1">
      <c r="A163" s="410"/>
      <c r="B163" s="393" t="s">
        <v>480</v>
      </c>
      <c r="C163" s="412"/>
      <c r="D163" s="404" t="s">
        <v>482</v>
      </c>
      <c r="E163" s="609">
        <f>SUM(E164:E167)</f>
        <v>364093</v>
      </c>
      <c r="F163" s="628">
        <f>SUM(F164:F167)</f>
        <v>9049</v>
      </c>
      <c r="G163" s="621">
        <f>SUM(G164:G167)</f>
        <v>373142</v>
      </c>
    </row>
    <row r="164" spans="1:7" ht="12.75">
      <c r="A164" s="410"/>
      <c r="B164" s="396"/>
      <c r="C164" s="396" t="s">
        <v>493</v>
      </c>
      <c r="D164" s="301" t="s">
        <v>495</v>
      </c>
      <c r="E164" s="291">
        <v>273070</v>
      </c>
      <c r="F164" s="289">
        <v>6787</v>
      </c>
      <c r="G164" s="446">
        <f>F164+E164</f>
        <v>279857</v>
      </c>
    </row>
    <row r="165" spans="1:7" ht="12.75">
      <c r="A165" s="410"/>
      <c r="B165" s="396"/>
      <c r="C165" s="396"/>
      <c r="D165" s="301" t="s">
        <v>496</v>
      </c>
      <c r="E165" s="291"/>
      <c r="F165" s="289"/>
      <c r="G165" s="446"/>
    </row>
    <row r="166" spans="1:7" ht="12.75">
      <c r="A166" s="410"/>
      <c r="B166" s="396"/>
      <c r="C166" s="396" t="s">
        <v>494</v>
      </c>
      <c r="D166" s="301" t="s">
        <v>495</v>
      </c>
      <c r="E166" s="291">
        <v>91023</v>
      </c>
      <c r="F166" s="289">
        <v>2262</v>
      </c>
      <c r="G166" s="446">
        <f>F166+E166</f>
        <v>93285</v>
      </c>
    </row>
    <row r="167" spans="1:7" ht="12.75">
      <c r="A167" s="410"/>
      <c r="B167" s="396"/>
      <c r="C167" s="396"/>
      <c r="D167" s="301" t="s">
        <v>496</v>
      </c>
      <c r="E167" s="291"/>
      <c r="F167" s="289"/>
      <c r="G167" s="446"/>
    </row>
    <row r="168" spans="1:7" ht="12.75">
      <c r="A168" s="410"/>
      <c r="B168" s="396"/>
      <c r="C168" s="396"/>
      <c r="D168" s="301"/>
      <c r="E168" s="291"/>
      <c r="F168" s="289"/>
      <c r="G168" s="446"/>
    </row>
    <row r="169" spans="1:7" s="391" customFormat="1" ht="13.5" thickBot="1">
      <c r="A169" s="408">
        <v>851</v>
      </c>
      <c r="B169" s="389"/>
      <c r="C169" s="389"/>
      <c r="D169" s="401" t="s">
        <v>18</v>
      </c>
      <c r="E169" s="608">
        <f>E178+E174+E170</f>
        <v>2680798</v>
      </c>
      <c r="F169" s="608">
        <f>F178+F174+F170</f>
        <v>0</v>
      </c>
      <c r="G169" s="739">
        <f>G178+G174+G170</f>
        <v>2680798</v>
      </c>
    </row>
    <row r="170" spans="1:7" s="391" customFormat="1" ht="12.75">
      <c r="A170" s="392"/>
      <c r="B170" s="444">
        <v>85111</v>
      </c>
      <c r="C170" s="434"/>
      <c r="D170" s="447" t="s">
        <v>504</v>
      </c>
      <c r="E170" s="718">
        <f>E171</f>
        <v>58681</v>
      </c>
      <c r="F170" s="719">
        <f>F171</f>
        <v>0</v>
      </c>
      <c r="G170" s="445">
        <f>G171</f>
        <v>58681</v>
      </c>
    </row>
    <row r="171" spans="1:7" s="391" customFormat="1" ht="12.75">
      <c r="A171" s="392"/>
      <c r="B171" s="777"/>
      <c r="C171" s="778">
        <v>6439</v>
      </c>
      <c r="D171" s="793" t="s">
        <v>766</v>
      </c>
      <c r="E171" s="722">
        <v>58681</v>
      </c>
      <c r="F171" s="716"/>
      <c r="G171" s="794">
        <f>E171+F171</f>
        <v>58681</v>
      </c>
    </row>
    <row r="172" spans="1:7" s="391" customFormat="1" ht="12.75">
      <c r="A172" s="392"/>
      <c r="B172" s="417"/>
      <c r="C172" s="264"/>
      <c r="D172" s="301" t="s">
        <v>775</v>
      </c>
      <c r="E172" s="291"/>
      <c r="F172" s="289"/>
      <c r="G172" s="446"/>
    </row>
    <row r="173" spans="1:7" s="391" customFormat="1" ht="12.75">
      <c r="A173" s="392"/>
      <c r="B173" s="449"/>
      <c r="C173" s="454"/>
      <c r="D173" s="450"/>
      <c r="E173" s="542"/>
      <c r="F173" s="564"/>
      <c r="G173" s="451"/>
    </row>
    <row r="174" spans="1:7" ht="13.5" thickBot="1">
      <c r="A174" s="392"/>
      <c r="B174" s="298">
        <v>85154</v>
      </c>
      <c r="C174" s="389"/>
      <c r="D174" s="300" t="s">
        <v>39</v>
      </c>
      <c r="E174" s="611">
        <f>E175</f>
        <v>15425</v>
      </c>
      <c r="F174" s="629">
        <f>F175</f>
        <v>0</v>
      </c>
      <c r="G174" s="622">
        <f>G175</f>
        <v>15425</v>
      </c>
    </row>
    <row r="175" spans="1:7" ht="12.75">
      <c r="A175" s="392"/>
      <c r="B175" s="400"/>
      <c r="C175" s="264">
        <v>2330</v>
      </c>
      <c r="D175" s="301" t="s">
        <v>688</v>
      </c>
      <c r="E175" s="291">
        <v>15425</v>
      </c>
      <c r="F175" s="289"/>
      <c r="G175" s="446">
        <f>F175+E175</f>
        <v>15425</v>
      </c>
    </row>
    <row r="176" spans="1:7" ht="12.75">
      <c r="A176" s="392"/>
      <c r="B176" s="407"/>
      <c r="C176" s="264"/>
      <c r="D176" s="301" t="s">
        <v>689</v>
      </c>
      <c r="E176" s="614"/>
      <c r="F176" s="631"/>
      <c r="G176" s="460"/>
    </row>
    <row r="177" spans="1:7" ht="16.5" customHeight="1">
      <c r="A177" s="392"/>
      <c r="B177" s="400"/>
      <c r="C177" s="264"/>
      <c r="D177" s="397"/>
      <c r="E177" s="614"/>
      <c r="F177" s="631"/>
      <c r="G177" s="460"/>
    </row>
    <row r="178" spans="1:7" ht="12.75">
      <c r="A178" s="392"/>
      <c r="B178" s="264">
        <v>85156</v>
      </c>
      <c r="C178" s="421"/>
      <c r="D178" s="204" t="s">
        <v>72</v>
      </c>
      <c r="E178" s="446">
        <f>E180</f>
        <v>2606692</v>
      </c>
      <c r="F178" s="446">
        <f>F180</f>
        <v>0</v>
      </c>
      <c r="G178" s="446">
        <f>G180</f>
        <v>2606692</v>
      </c>
    </row>
    <row r="179" spans="1:7" ht="12.75" customHeight="1" thickBot="1">
      <c r="A179" s="392"/>
      <c r="B179" s="298"/>
      <c r="C179" s="422"/>
      <c r="D179" s="300" t="s">
        <v>86</v>
      </c>
      <c r="E179" s="611"/>
      <c r="F179" s="629"/>
      <c r="G179" s="622"/>
    </row>
    <row r="180" spans="1:7" ht="12.75">
      <c r="A180" s="392"/>
      <c r="B180" s="400"/>
      <c r="C180" s="264">
        <v>2110</v>
      </c>
      <c r="D180" s="301" t="s">
        <v>686</v>
      </c>
      <c r="E180" s="291">
        <v>2606692</v>
      </c>
      <c r="F180" s="289"/>
      <c r="G180" s="446">
        <f>F180+E180</f>
        <v>2606692</v>
      </c>
    </row>
    <row r="181" spans="1:7" ht="12.75">
      <c r="A181" s="392"/>
      <c r="B181" s="400"/>
      <c r="C181" s="264"/>
      <c r="D181" s="204" t="s">
        <v>687</v>
      </c>
      <c r="E181" s="614"/>
      <c r="F181" s="631"/>
      <c r="G181" s="460"/>
    </row>
    <row r="182" spans="1:7" ht="12.75">
      <c r="A182" s="392"/>
      <c r="B182" s="400"/>
      <c r="C182" s="264"/>
      <c r="D182" s="301"/>
      <c r="E182" s="291"/>
      <c r="F182" s="289"/>
      <c r="G182" s="446"/>
    </row>
    <row r="183" spans="1:7" s="391" customFormat="1" ht="13.5" thickBot="1">
      <c r="A183" s="408">
        <v>852</v>
      </c>
      <c r="B183" s="389"/>
      <c r="C183" s="389"/>
      <c r="D183" s="416" t="s">
        <v>245</v>
      </c>
      <c r="E183" s="608">
        <f>E184+E195+E207+E212+E221+E201+E227</f>
        <v>5655100</v>
      </c>
      <c r="F183" s="608">
        <f>F184+F195+F207+F212+F221+F201+F227</f>
        <v>27990</v>
      </c>
      <c r="G183" s="739">
        <f>G184+G195+G207+G212+G221+G201+G227</f>
        <v>5683090</v>
      </c>
    </row>
    <row r="184" spans="1:7" ht="13.5" thickBot="1">
      <c r="A184" s="410"/>
      <c r="B184" s="411">
        <v>85201</v>
      </c>
      <c r="C184" s="411"/>
      <c r="D184" s="300" t="s">
        <v>26</v>
      </c>
      <c r="E184" s="609">
        <f>SUM(E185:E192)</f>
        <v>512080</v>
      </c>
      <c r="F184" s="609">
        <f>SUM(F185:F192)</f>
        <v>36900</v>
      </c>
      <c r="G184" s="621">
        <f>SUM(G185:G192)</f>
        <v>548980</v>
      </c>
    </row>
    <row r="185" spans="1:7" ht="12.75">
      <c r="A185" s="410"/>
      <c r="B185" s="264"/>
      <c r="C185" s="396" t="s">
        <v>785</v>
      </c>
      <c r="D185" s="301" t="s">
        <v>786</v>
      </c>
      <c r="E185" s="291">
        <v>622</v>
      </c>
      <c r="F185" s="289"/>
      <c r="G185" s="446">
        <f>F185+E185</f>
        <v>622</v>
      </c>
    </row>
    <row r="186" spans="1:7" ht="12.75">
      <c r="A186" s="410"/>
      <c r="B186" s="264"/>
      <c r="C186" s="396" t="s">
        <v>239</v>
      </c>
      <c r="D186" s="301" t="s">
        <v>487</v>
      </c>
      <c r="E186" s="291">
        <v>20615</v>
      </c>
      <c r="F186" s="289">
        <v>1900</v>
      </c>
      <c r="G186" s="446">
        <f>F186+E186</f>
        <v>22515</v>
      </c>
    </row>
    <row r="187" spans="1:7" ht="12.75">
      <c r="A187" s="410"/>
      <c r="B187" s="264"/>
      <c r="C187" s="396" t="s">
        <v>78</v>
      </c>
      <c r="D187" s="238" t="s">
        <v>44</v>
      </c>
      <c r="E187" s="291">
        <v>1883</v>
      </c>
      <c r="F187" s="289"/>
      <c r="G187" s="446">
        <f>F187+E187</f>
        <v>1883</v>
      </c>
    </row>
    <row r="188" spans="1:7" ht="12.75">
      <c r="A188" s="410"/>
      <c r="B188" s="264"/>
      <c r="C188" s="396" t="s">
        <v>730</v>
      </c>
      <c r="D188" s="238" t="s">
        <v>732</v>
      </c>
      <c r="E188" s="291"/>
      <c r="F188" s="289"/>
      <c r="G188" s="446"/>
    </row>
    <row r="189" spans="1:7" ht="12.75">
      <c r="A189" s="410"/>
      <c r="B189" s="264"/>
      <c r="C189" s="396"/>
      <c r="D189" s="238" t="s">
        <v>731</v>
      </c>
      <c r="E189" s="291">
        <v>33000</v>
      </c>
      <c r="F189" s="289">
        <v>35000</v>
      </c>
      <c r="G189" s="446">
        <f>F189+E189</f>
        <v>68000</v>
      </c>
    </row>
    <row r="190" spans="1:7" ht="12.75">
      <c r="A190" s="410"/>
      <c r="B190" s="264"/>
      <c r="C190" s="396" t="s">
        <v>423</v>
      </c>
      <c r="D190" s="238" t="s">
        <v>424</v>
      </c>
      <c r="E190" s="291"/>
      <c r="F190" s="289"/>
      <c r="G190" s="446"/>
    </row>
    <row r="191" spans="1:7" ht="12.75">
      <c r="A191" s="410"/>
      <c r="B191" s="264"/>
      <c r="C191" s="396"/>
      <c r="D191" s="204" t="s">
        <v>425</v>
      </c>
      <c r="E191" s="291">
        <v>435960</v>
      </c>
      <c r="F191" s="289"/>
      <c r="G191" s="446">
        <f>F191+E191</f>
        <v>435960</v>
      </c>
    </row>
    <row r="192" spans="1:7" ht="12.75">
      <c r="A192" s="410"/>
      <c r="B192" s="264"/>
      <c r="C192" s="396" t="s">
        <v>773</v>
      </c>
      <c r="D192" s="301" t="s">
        <v>732</v>
      </c>
      <c r="E192" s="291">
        <v>20000</v>
      </c>
      <c r="F192" s="289"/>
      <c r="G192" s="446">
        <f>F192+E192</f>
        <v>20000</v>
      </c>
    </row>
    <row r="193" spans="1:7" ht="12.75">
      <c r="A193" s="410"/>
      <c r="B193" s="264"/>
      <c r="C193" s="396"/>
      <c r="D193" s="301" t="s">
        <v>775</v>
      </c>
      <c r="E193" s="291"/>
      <c r="F193" s="289"/>
      <c r="G193" s="446"/>
    </row>
    <row r="194" spans="1:7" ht="12" customHeight="1">
      <c r="A194" s="410"/>
      <c r="B194" s="264"/>
      <c r="C194" s="264"/>
      <c r="D194" s="397"/>
      <c r="E194" s="291"/>
      <c r="F194" s="289"/>
      <c r="G194" s="446"/>
    </row>
    <row r="195" spans="1:7" ht="13.5" customHeight="1" thickBot="1">
      <c r="A195" s="410"/>
      <c r="B195" s="298">
        <v>85202</v>
      </c>
      <c r="C195" s="299"/>
      <c r="D195" s="300" t="s">
        <v>27</v>
      </c>
      <c r="E195" s="611">
        <f>SUM(E196:E198)</f>
        <v>4414860</v>
      </c>
      <c r="F195" s="629">
        <f>SUM(F196:F198)</f>
        <v>13660</v>
      </c>
      <c r="G195" s="622">
        <f>SUM(G196:G198)</f>
        <v>4428520</v>
      </c>
    </row>
    <row r="196" spans="1:7" ht="13.5" customHeight="1">
      <c r="A196" s="410"/>
      <c r="B196" s="264"/>
      <c r="C196" s="396" t="s">
        <v>233</v>
      </c>
      <c r="D196" s="301" t="s">
        <v>40</v>
      </c>
      <c r="E196" s="291">
        <v>1703508</v>
      </c>
      <c r="F196" s="289">
        <f>1500+10000</f>
        <v>11500</v>
      </c>
      <c r="G196" s="446">
        <f>F196+E196</f>
        <v>1715008</v>
      </c>
    </row>
    <row r="197" spans="1:7" ht="13.5" customHeight="1">
      <c r="A197" s="410"/>
      <c r="B197" s="264"/>
      <c r="C197" s="396" t="s">
        <v>78</v>
      </c>
      <c r="D197" s="301" t="s">
        <v>44</v>
      </c>
      <c r="E197" s="291">
        <v>22737</v>
      </c>
      <c r="F197" s="289">
        <f>1160+1000</f>
        <v>2160</v>
      </c>
      <c r="G197" s="446">
        <f>F197+E197</f>
        <v>24897</v>
      </c>
    </row>
    <row r="198" spans="1:7" ht="13.5" customHeight="1">
      <c r="A198" s="410"/>
      <c r="B198" s="264"/>
      <c r="C198" s="264">
        <v>2130</v>
      </c>
      <c r="D198" s="301" t="s">
        <v>60</v>
      </c>
      <c r="E198" s="291">
        <v>2688615</v>
      </c>
      <c r="F198" s="289"/>
      <c r="G198" s="446">
        <f>F198+E198</f>
        <v>2688615</v>
      </c>
    </row>
    <row r="199" spans="1:7" ht="13.5" customHeight="1">
      <c r="A199" s="410"/>
      <c r="B199" s="264"/>
      <c r="C199" s="264"/>
      <c r="D199" s="301" t="s">
        <v>61</v>
      </c>
      <c r="E199" s="610"/>
      <c r="F199" s="204"/>
      <c r="G199" s="453"/>
    </row>
    <row r="200" spans="1:7" ht="13.5" customHeight="1">
      <c r="A200" s="410"/>
      <c r="B200" s="264"/>
      <c r="C200" s="264"/>
      <c r="D200" s="397"/>
      <c r="E200" s="610"/>
      <c r="F200" s="204"/>
      <c r="G200" s="453"/>
    </row>
    <row r="201" spans="1:7" ht="13.5" customHeight="1" thickBot="1">
      <c r="A201" s="410"/>
      <c r="B201" s="298">
        <v>85203</v>
      </c>
      <c r="C201" s="299"/>
      <c r="D201" s="300" t="s">
        <v>422</v>
      </c>
      <c r="E201" s="615">
        <f>SUM(E202:E204)</f>
        <v>250844</v>
      </c>
      <c r="F201" s="632">
        <f>SUM(F202:F204)</f>
        <v>0</v>
      </c>
      <c r="G201" s="624">
        <f>SUM(G202:G204)</f>
        <v>250844</v>
      </c>
    </row>
    <row r="202" spans="1:7" ht="13.5" customHeight="1">
      <c r="A202" s="410"/>
      <c r="B202" s="264"/>
      <c r="C202" s="396" t="s">
        <v>233</v>
      </c>
      <c r="D202" s="301" t="s">
        <v>40</v>
      </c>
      <c r="E202" s="616">
        <v>8704</v>
      </c>
      <c r="F202" s="294"/>
      <c r="G202" s="476">
        <f>F202+E202</f>
        <v>8704</v>
      </c>
    </row>
    <row r="203" spans="1:7" ht="13.5" customHeight="1">
      <c r="A203" s="410"/>
      <c r="B203" s="264"/>
      <c r="C203" s="396" t="s">
        <v>78</v>
      </c>
      <c r="D203" s="301" t="s">
        <v>44</v>
      </c>
      <c r="E203" s="616">
        <v>2890</v>
      </c>
      <c r="F203" s="294"/>
      <c r="G203" s="476">
        <f>F203+E203</f>
        <v>2890</v>
      </c>
    </row>
    <row r="204" spans="1:7" ht="13.5" customHeight="1">
      <c r="A204" s="410"/>
      <c r="B204" s="264"/>
      <c r="C204" s="264">
        <v>2110</v>
      </c>
      <c r="D204" s="301" t="s">
        <v>686</v>
      </c>
      <c r="E204" s="291">
        <v>239250</v>
      </c>
      <c r="F204" s="289"/>
      <c r="G204" s="446">
        <f>F204+E204</f>
        <v>239250</v>
      </c>
    </row>
    <row r="205" spans="1:7" ht="13.5" customHeight="1">
      <c r="A205" s="410"/>
      <c r="B205" s="264"/>
      <c r="C205" s="264"/>
      <c r="D205" s="204" t="s">
        <v>687</v>
      </c>
      <c r="E205" s="291"/>
      <c r="F205" s="289"/>
      <c r="G205" s="446"/>
    </row>
    <row r="206" spans="1:7" ht="13.5" customHeight="1">
      <c r="A206" s="410"/>
      <c r="B206" s="264"/>
      <c r="C206" s="264"/>
      <c r="D206" s="301"/>
      <c r="E206" s="291"/>
      <c r="F206" s="289"/>
      <c r="G206" s="446"/>
    </row>
    <row r="207" spans="1:7" ht="13.5" customHeight="1" thickBot="1">
      <c r="A207" s="410"/>
      <c r="B207" s="298">
        <v>85204</v>
      </c>
      <c r="C207" s="299"/>
      <c r="D207" s="300" t="s">
        <v>28</v>
      </c>
      <c r="E207" s="611">
        <f>SUM(E208:E209)</f>
        <v>57100</v>
      </c>
      <c r="F207" s="629">
        <f>SUM(F208:F209)</f>
        <v>-500</v>
      </c>
      <c r="G207" s="622">
        <f>SUM(G208:G209)</f>
        <v>56600</v>
      </c>
    </row>
    <row r="208" spans="1:7" ht="13.5" customHeight="1">
      <c r="A208" s="410"/>
      <c r="B208" s="264"/>
      <c r="C208" s="396" t="s">
        <v>233</v>
      </c>
      <c r="D208" s="301" t="s">
        <v>40</v>
      </c>
      <c r="E208" s="291">
        <v>500</v>
      </c>
      <c r="F208" s="289">
        <v>-500</v>
      </c>
      <c r="G208" s="446">
        <f>F208+E208</f>
        <v>0</v>
      </c>
    </row>
    <row r="209" spans="1:7" ht="13.5" customHeight="1">
      <c r="A209" s="410"/>
      <c r="B209" s="264"/>
      <c r="C209" s="396" t="s">
        <v>423</v>
      </c>
      <c r="D209" s="238" t="s">
        <v>424</v>
      </c>
      <c r="E209" s="291">
        <v>56600</v>
      </c>
      <c r="F209" s="289"/>
      <c r="G209" s="446">
        <f>F209+E209</f>
        <v>56600</v>
      </c>
    </row>
    <row r="210" spans="1:7" ht="13.5" customHeight="1">
      <c r="A210" s="410"/>
      <c r="B210" s="264"/>
      <c r="C210" s="396"/>
      <c r="D210" s="204" t="s">
        <v>425</v>
      </c>
      <c r="E210" s="291"/>
      <c r="F210" s="289"/>
      <c r="G210" s="446"/>
    </row>
    <row r="211" spans="1:7" ht="13.5" customHeight="1">
      <c r="A211" s="410"/>
      <c r="B211" s="264"/>
      <c r="C211" s="396"/>
      <c r="D211" s="301"/>
      <c r="E211" s="291"/>
      <c r="F211" s="289"/>
      <c r="G211" s="446"/>
    </row>
    <row r="212" spans="1:7" ht="13.5" customHeight="1" thickBot="1">
      <c r="A212" s="410"/>
      <c r="B212" s="298">
        <v>85218</v>
      </c>
      <c r="C212" s="299"/>
      <c r="D212" s="300" t="s">
        <v>19</v>
      </c>
      <c r="E212" s="611">
        <f>SUM(E213:E217)</f>
        <v>56000</v>
      </c>
      <c r="F212" s="611">
        <f>SUM(F213:F217)</f>
        <v>1000</v>
      </c>
      <c r="G212" s="744">
        <f>SUM(G213:G217)</f>
        <v>57000</v>
      </c>
    </row>
    <row r="213" spans="1:7" ht="13.5" customHeight="1">
      <c r="A213" s="410"/>
      <c r="B213" s="264"/>
      <c r="C213" s="396" t="s">
        <v>78</v>
      </c>
      <c r="D213" s="301" t="s">
        <v>44</v>
      </c>
      <c r="E213" s="291">
        <v>10000</v>
      </c>
      <c r="F213" s="289">
        <v>1000</v>
      </c>
      <c r="G213" s="446">
        <f>F213+E213</f>
        <v>11000</v>
      </c>
    </row>
    <row r="214" spans="1:7" ht="13.5" customHeight="1">
      <c r="A214" s="410"/>
      <c r="B214" s="264"/>
      <c r="C214" s="396" t="s">
        <v>794</v>
      </c>
      <c r="D214" s="301" t="s">
        <v>791</v>
      </c>
      <c r="E214" s="291">
        <v>40000</v>
      </c>
      <c r="F214" s="289"/>
      <c r="G214" s="446">
        <f>F214+E214</f>
        <v>40000</v>
      </c>
    </row>
    <row r="215" spans="1:7" ht="13.5" customHeight="1">
      <c r="A215" s="410"/>
      <c r="B215" s="264"/>
      <c r="C215" s="396"/>
      <c r="D215" s="301" t="s">
        <v>792</v>
      </c>
      <c r="E215" s="291"/>
      <c r="F215" s="289"/>
      <c r="G215" s="446"/>
    </row>
    <row r="216" spans="1:7" ht="13.5" customHeight="1">
      <c r="A216" s="410"/>
      <c r="B216" s="264"/>
      <c r="C216" s="396"/>
      <c r="D216" s="301" t="s">
        <v>793</v>
      </c>
      <c r="E216" s="291"/>
      <c r="F216" s="289"/>
      <c r="G216" s="446"/>
    </row>
    <row r="217" spans="1:7" ht="13.5" customHeight="1">
      <c r="A217" s="410"/>
      <c r="B217" s="264"/>
      <c r="C217" s="264">
        <v>2130</v>
      </c>
      <c r="D217" s="301" t="s">
        <v>60</v>
      </c>
      <c r="E217" s="291">
        <v>6000</v>
      </c>
      <c r="F217" s="289"/>
      <c r="G217" s="446">
        <f>F217+E217</f>
        <v>6000</v>
      </c>
    </row>
    <row r="218" spans="1:7" ht="13.5" customHeight="1">
      <c r="A218" s="410"/>
      <c r="B218" s="264"/>
      <c r="C218" s="264"/>
      <c r="D218" s="301" t="s">
        <v>61</v>
      </c>
      <c r="E218" s="291"/>
      <c r="F218" s="289"/>
      <c r="G218" s="446"/>
    </row>
    <row r="219" spans="1:7" ht="13.5" customHeight="1">
      <c r="A219" s="410"/>
      <c r="B219" s="264"/>
      <c r="C219" s="264"/>
      <c r="D219" s="301"/>
      <c r="E219" s="291"/>
      <c r="F219" s="289"/>
      <c r="G219" s="446"/>
    </row>
    <row r="220" spans="1:7" ht="13.5" customHeight="1">
      <c r="A220" s="410"/>
      <c r="B220" s="264"/>
      <c r="C220" s="264"/>
      <c r="D220" s="397"/>
      <c r="E220" s="291"/>
      <c r="F220" s="289"/>
      <c r="G220" s="446"/>
    </row>
    <row r="221" spans="1:7" ht="13.5" customHeight="1" thickBot="1">
      <c r="A221" s="410"/>
      <c r="B221" s="298">
        <v>85220</v>
      </c>
      <c r="C221" s="299"/>
      <c r="D221" s="300" t="s">
        <v>242</v>
      </c>
      <c r="E221" s="611">
        <f>SUM(E222:E225)</f>
        <v>134216</v>
      </c>
      <c r="F221" s="629">
        <f>SUM(F222:F225)</f>
        <v>-23550</v>
      </c>
      <c r="G221" s="622">
        <f>F221+E221</f>
        <v>110666</v>
      </c>
    </row>
    <row r="222" spans="1:7" ht="13.5" customHeight="1">
      <c r="A222" s="410"/>
      <c r="B222" s="264"/>
      <c r="C222" s="264">
        <v>2120</v>
      </c>
      <c r="D222" s="301" t="s">
        <v>791</v>
      </c>
      <c r="E222" s="291">
        <v>100000</v>
      </c>
      <c r="F222" s="289"/>
      <c r="G222" s="446">
        <f>E222+F222</f>
        <v>100000</v>
      </c>
    </row>
    <row r="223" spans="1:7" ht="13.5" customHeight="1">
      <c r="A223" s="410"/>
      <c r="B223" s="264"/>
      <c r="C223" s="264"/>
      <c r="D223" s="301" t="s">
        <v>792</v>
      </c>
      <c r="E223" s="291"/>
      <c r="F223" s="289"/>
      <c r="G223" s="446"/>
    </row>
    <row r="224" spans="1:7" ht="13.5" customHeight="1">
      <c r="A224" s="410"/>
      <c r="B224" s="264"/>
      <c r="C224" s="264"/>
      <c r="D224" s="301" t="s">
        <v>793</v>
      </c>
      <c r="E224" s="291"/>
      <c r="F224" s="289"/>
      <c r="G224" s="446"/>
    </row>
    <row r="225" spans="1:7" ht="13.5" customHeight="1">
      <c r="A225" s="410"/>
      <c r="B225" s="264"/>
      <c r="C225" s="396" t="s">
        <v>233</v>
      </c>
      <c r="D225" s="301" t="s">
        <v>40</v>
      </c>
      <c r="E225" s="291">
        <v>34216</v>
      </c>
      <c r="F225" s="289">
        <v>-23550</v>
      </c>
      <c r="G225" s="446">
        <f>F225+E225</f>
        <v>10666</v>
      </c>
    </row>
    <row r="226" spans="1:7" ht="13.5" customHeight="1">
      <c r="A226" s="410"/>
      <c r="B226" s="264"/>
      <c r="C226" s="264"/>
      <c r="D226" s="397"/>
      <c r="E226" s="291"/>
      <c r="F226" s="289"/>
      <c r="G226" s="446"/>
    </row>
    <row r="227" spans="1:7" ht="13.5" customHeight="1">
      <c r="A227" s="410"/>
      <c r="B227" s="449">
        <v>85295</v>
      </c>
      <c r="C227" s="454"/>
      <c r="D227" s="450" t="s">
        <v>25</v>
      </c>
      <c r="E227" s="542">
        <f>E231+E228+E233</f>
        <v>230000</v>
      </c>
      <c r="F227" s="542">
        <f>F231+F228+F233</f>
        <v>480</v>
      </c>
      <c r="G227" s="567">
        <f>G231+G228+G233</f>
        <v>230480</v>
      </c>
    </row>
    <row r="228" spans="1:7" ht="13.5" customHeight="1">
      <c r="A228" s="410"/>
      <c r="B228" s="264"/>
      <c r="C228" s="264">
        <v>2120</v>
      </c>
      <c r="D228" s="238" t="s">
        <v>791</v>
      </c>
      <c r="E228" s="291">
        <v>160000</v>
      </c>
      <c r="F228" s="716"/>
      <c r="G228" s="446">
        <f>E228+F228</f>
        <v>160000</v>
      </c>
    </row>
    <row r="229" spans="1:7" ht="13.5" customHeight="1">
      <c r="A229" s="410"/>
      <c r="B229" s="264"/>
      <c r="C229" s="264"/>
      <c r="D229" s="238" t="s">
        <v>792</v>
      </c>
      <c r="E229" s="291"/>
      <c r="F229" s="289"/>
      <c r="G229" s="446"/>
    </row>
    <row r="230" spans="1:7" ht="13.5" customHeight="1">
      <c r="A230" s="410"/>
      <c r="B230" s="264"/>
      <c r="C230" s="264"/>
      <c r="D230" s="238" t="s">
        <v>793</v>
      </c>
      <c r="E230" s="291"/>
      <c r="F230" s="289"/>
      <c r="G230" s="446"/>
    </row>
    <row r="231" spans="1:7" ht="13.5" customHeight="1">
      <c r="A231" s="410"/>
      <c r="B231" s="264"/>
      <c r="C231" s="264">
        <v>2310</v>
      </c>
      <c r="D231" s="238" t="s">
        <v>424</v>
      </c>
      <c r="E231" s="291">
        <v>70000</v>
      </c>
      <c r="F231" s="289"/>
      <c r="G231" s="446">
        <f>E231+F231</f>
        <v>70000</v>
      </c>
    </row>
    <row r="232" spans="1:7" ht="13.5" customHeight="1">
      <c r="A232" s="410"/>
      <c r="B232" s="264"/>
      <c r="C232" s="264"/>
      <c r="D232" s="204" t="s">
        <v>425</v>
      </c>
      <c r="E232" s="291"/>
      <c r="F232" s="289"/>
      <c r="G232" s="446"/>
    </row>
    <row r="233" spans="1:7" ht="13.5" customHeight="1">
      <c r="A233" s="410"/>
      <c r="B233" s="264"/>
      <c r="C233" s="264">
        <v>2330</v>
      </c>
      <c r="D233" s="238" t="s">
        <v>833</v>
      </c>
      <c r="E233" s="291">
        <v>0</v>
      </c>
      <c r="F233" s="289">
        <v>480</v>
      </c>
      <c r="G233" s="446">
        <f>E233+F233</f>
        <v>480</v>
      </c>
    </row>
    <row r="234" spans="1:7" ht="13.5" customHeight="1">
      <c r="A234" s="410"/>
      <c r="B234" s="264"/>
      <c r="C234" s="264"/>
      <c r="D234" s="204" t="s">
        <v>425</v>
      </c>
      <c r="E234" s="291"/>
      <c r="F234" s="289"/>
      <c r="G234" s="446"/>
    </row>
    <row r="235" spans="1:7" ht="13.5" customHeight="1">
      <c r="A235" s="410"/>
      <c r="B235" s="264"/>
      <c r="C235" s="264"/>
      <c r="D235" s="397"/>
      <c r="E235" s="291"/>
      <c r="F235" s="289"/>
      <c r="G235" s="446"/>
    </row>
    <row r="236" spans="1:7" s="391" customFormat="1" ht="13.5" customHeight="1" thickBot="1">
      <c r="A236" s="408">
        <v>853</v>
      </c>
      <c r="B236" s="389"/>
      <c r="C236" s="389"/>
      <c r="D236" s="401" t="s">
        <v>241</v>
      </c>
      <c r="E236" s="613">
        <f>E237+E241+E244+E252+E256</f>
        <v>3873247</v>
      </c>
      <c r="F236" s="613">
        <f>F237+F241+F244+F252+F256</f>
        <v>101040</v>
      </c>
      <c r="G236" s="743">
        <f>G237+G241+G244+G252+G256</f>
        <v>3974287</v>
      </c>
    </row>
    <row r="237" spans="1:7" ht="13.5" customHeight="1" thickBot="1">
      <c r="A237" s="410"/>
      <c r="B237" s="299">
        <v>85321</v>
      </c>
      <c r="C237" s="299"/>
      <c r="D237" s="300" t="s">
        <v>519</v>
      </c>
      <c r="E237" s="611">
        <f>E238</f>
        <v>283125</v>
      </c>
      <c r="F237" s="629">
        <f>F238</f>
        <v>0</v>
      </c>
      <c r="G237" s="622">
        <f>F237+E237</f>
        <v>283125</v>
      </c>
    </row>
    <row r="238" spans="1:7" ht="13.5" customHeight="1">
      <c r="A238" s="410"/>
      <c r="B238" s="264"/>
      <c r="C238" s="264">
        <v>2110</v>
      </c>
      <c r="D238" s="301" t="s">
        <v>686</v>
      </c>
      <c r="E238" s="291">
        <v>283125</v>
      </c>
      <c r="F238" s="289"/>
      <c r="G238" s="446">
        <f>F238+E238</f>
        <v>283125</v>
      </c>
    </row>
    <row r="239" spans="1:7" ht="13.5" customHeight="1">
      <c r="A239" s="410"/>
      <c r="B239" s="264"/>
      <c r="C239" s="264"/>
      <c r="D239" s="204" t="s">
        <v>687</v>
      </c>
      <c r="E239" s="291"/>
      <c r="F239" s="289"/>
      <c r="G239" s="446"/>
    </row>
    <row r="240" spans="1:7" ht="13.5" customHeight="1">
      <c r="A240" s="410"/>
      <c r="B240" s="264"/>
      <c r="C240" s="264"/>
      <c r="D240" s="397"/>
      <c r="E240" s="291"/>
      <c r="F240" s="289"/>
      <c r="G240" s="446"/>
    </row>
    <row r="241" spans="1:7" ht="13.5" customHeight="1" thickBot="1">
      <c r="A241" s="410"/>
      <c r="B241" s="299">
        <v>85324</v>
      </c>
      <c r="C241" s="299"/>
      <c r="D241" s="300" t="s">
        <v>87</v>
      </c>
      <c r="E241" s="611">
        <f>SUM(E242:E242)</f>
        <v>51225</v>
      </c>
      <c r="F241" s="629">
        <f>SUM(F242:F242)</f>
        <v>8381</v>
      </c>
      <c r="G241" s="622">
        <f>SUM(G242:G242)</f>
        <v>59606</v>
      </c>
    </row>
    <row r="242" spans="1:7" ht="13.5" customHeight="1">
      <c r="A242" s="410"/>
      <c r="B242" s="264"/>
      <c r="C242" s="396" t="s">
        <v>78</v>
      </c>
      <c r="D242" s="301" t="s">
        <v>44</v>
      </c>
      <c r="E242" s="291">
        <v>51225</v>
      </c>
      <c r="F242" s="289">
        <f>3908+4473</f>
        <v>8381</v>
      </c>
      <c r="G242" s="446">
        <f>F242+E242</f>
        <v>59606</v>
      </c>
    </row>
    <row r="243" spans="1:7" ht="13.5" customHeight="1">
      <c r="A243" s="410"/>
      <c r="B243" s="264"/>
      <c r="C243" s="396"/>
      <c r="D243" s="397"/>
      <c r="E243" s="291"/>
      <c r="F243" s="289"/>
      <c r="G243" s="446"/>
    </row>
    <row r="244" spans="1:7" ht="13.5" customHeight="1" thickBot="1">
      <c r="A244" s="410"/>
      <c r="B244" s="299">
        <v>85333</v>
      </c>
      <c r="C244" s="299"/>
      <c r="D244" s="300" t="s">
        <v>20</v>
      </c>
      <c r="E244" s="611">
        <f>SUM(E245:E249)</f>
        <v>2288300</v>
      </c>
      <c r="F244" s="629">
        <f>SUM(F245:F249)</f>
        <v>74915</v>
      </c>
      <c r="G244" s="622">
        <f>F244+E244</f>
        <v>2363215</v>
      </c>
    </row>
    <row r="245" spans="1:7" ht="13.5" customHeight="1">
      <c r="A245" s="410"/>
      <c r="B245" s="264"/>
      <c r="C245" s="396" t="s">
        <v>233</v>
      </c>
      <c r="D245" s="301" t="s">
        <v>40</v>
      </c>
      <c r="E245" s="291">
        <v>60000</v>
      </c>
      <c r="F245" s="289"/>
      <c r="G245" s="446">
        <f>F245+E245</f>
        <v>60000</v>
      </c>
    </row>
    <row r="246" spans="1:7" ht="13.5" customHeight="1">
      <c r="A246" s="410"/>
      <c r="B246" s="264"/>
      <c r="C246" s="396" t="s">
        <v>78</v>
      </c>
      <c r="D246" s="204" t="s">
        <v>44</v>
      </c>
      <c r="E246" s="291">
        <v>154036</v>
      </c>
      <c r="F246" s="289">
        <f>59961+14954</f>
        <v>74915</v>
      </c>
      <c r="G246" s="446">
        <f>F246+E246</f>
        <v>228951</v>
      </c>
    </row>
    <row r="247" spans="1:7" ht="13.5" customHeight="1">
      <c r="A247" s="410"/>
      <c r="B247" s="264"/>
      <c r="C247" s="396" t="s">
        <v>423</v>
      </c>
      <c r="D247" s="238" t="s">
        <v>424</v>
      </c>
      <c r="E247" s="291">
        <v>1402362</v>
      </c>
      <c r="F247" s="289"/>
      <c r="G247" s="446">
        <f>F247+E247</f>
        <v>1402362</v>
      </c>
    </row>
    <row r="248" spans="1:7" ht="13.5" customHeight="1">
      <c r="A248" s="410"/>
      <c r="B248" s="264"/>
      <c r="C248" s="396"/>
      <c r="D248" s="204" t="s">
        <v>425</v>
      </c>
      <c r="E248" s="291"/>
      <c r="F248" s="289"/>
      <c r="G248" s="446"/>
    </row>
    <row r="249" spans="1:7" ht="13.5" customHeight="1">
      <c r="A249" s="410"/>
      <c r="B249" s="264"/>
      <c r="C249" s="396" t="s">
        <v>680</v>
      </c>
      <c r="D249" s="204" t="s">
        <v>681</v>
      </c>
      <c r="E249" s="291">
        <v>671902</v>
      </c>
      <c r="F249" s="289">
        <v>0</v>
      </c>
      <c r="G249" s="446">
        <f>F249+E249</f>
        <v>671902</v>
      </c>
    </row>
    <row r="250" spans="1:7" ht="13.5" customHeight="1">
      <c r="A250" s="410"/>
      <c r="B250" s="264"/>
      <c r="C250" s="396"/>
      <c r="D250" s="204" t="s">
        <v>682</v>
      </c>
      <c r="E250" s="291"/>
      <c r="F250" s="289"/>
      <c r="G250" s="446"/>
    </row>
    <row r="251" spans="1:7" ht="13.5" customHeight="1">
      <c r="A251" s="410"/>
      <c r="B251" s="264"/>
      <c r="C251" s="396"/>
      <c r="D251" s="204"/>
      <c r="E251" s="291"/>
      <c r="F251" s="289"/>
      <c r="G251" s="446"/>
    </row>
    <row r="252" spans="1:7" ht="13.5" customHeight="1">
      <c r="A252" s="410"/>
      <c r="B252" s="449">
        <v>85334</v>
      </c>
      <c r="C252" s="715"/>
      <c r="D252" s="651" t="s">
        <v>737</v>
      </c>
      <c r="E252" s="542">
        <f>E253</f>
        <v>5745</v>
      </c>
      <c r="F252" s="542">
        <f>F253</f>
        <v>0</v>
      </c>
      <c r="G252" s="567">
        <f>G253</f>
        <v>5745</v>
      </c>
    </row>
    <row r="253" spans="1:7" ht="13.5" customHeight="1">
      <c r="A253" s="410"/>
      <c r="B253" s="264"/>
      <c r="C253" s="396" t="s">
        <v>77</v>
      </c>
      <c r="D253" s="301" t="s">
        <v>686</v>
      </c>
      <c r="E253" s="291">
        <v>5745</v>
      </c>
      <c r="F253" s="289"/>
      <c r="G253" s="446">
        <f>E253+F253</f>
        <v>5745</v>
      </c>
    </row>
    <row r="254" spans="1:7" ht="13.5" customHeight="1">
      <c r="A254" s="410"/>
      <c r="B254" s="264"/>
      <c r="C254" s="396"/>
      <c r="D254" s="204" t="s">
        <v>687</v>
      </c>
      <c r="E254" s="291"/>
      <c r="F254" s="289"/>
      <c r="G254" s="446"/>
    </row>
    <row r="255" spans="1:7" ht="13.5" customHeight="1">
      <c r="A255" s="410"/>
      <c r="B255" s="264"/>
      <c r="C255" s="396"/>
      <c r="D255" s="204"/>
      <c r="E255" s="291"/>
      <c r="F255" s="289"/>
      <c r="G255" s="446"/>
    </row>
    <row r="256" spans="1:7" ht="13.5" customHeight="1">
      <c r="A256" s="410"/>
      <c r="B256" s="449">
        <v>85395</v>
      </c>
      <c r="C256" s="715"/>
      <c r="D256" s="651" t="s">
        <v>25</v>
      </c>
      <c r="E256" s="542">
        <f>E257+E259</f>
        <v>1244852</v>
      </c>
      <c r="F256" s="542">
        <f>F257+F259</f>
        <v>17744</v>
      </c>
      <c r="G256" s="567">
        <f>G257+G259</f>
        <v>1262596</v>
      </c>
    </row>
    <row r="257" spans="1:7" ht="13.5" customHeight="1">
      <c r="A257" s="410"/>
      <c r="B257" s="264"/>
      <c r="C257" s="396" t="s">
        <v>758</v>
      </c>
      <c r="D257" s="204" t="s">
        <v>760</v>
      </c>
      <c r="E257" s="291">
        <v>973417</v>
      </c>
      <c r="F257" s="289">
        <v>51923</v>
      </c>
      <c r="G257" s="446">
        <f>E257+F257</f>
        <v>1025340</v>
      </c>
    </row>
    <row r="258" spans="1:7" ht="13.5" customHeight="1">
      <c r="A258" s="410"/>
      <c r="B258" s="264"/>
      <c r="C258" s="396"/>
      <c r="D258" s="204" t="s">
        <v>761</v>
      </c>
      <c r="E258" s="291"/>
      <c r="F258" s="289"/>
      <c r="G258" s="446"/>
    </row>
    <row r="259" spans="1:7" ht="13.5" customHeight="1">
      <c r="A259" s="410"/>
      <c r="B259" s="264"/>
      <c r="C259" s="396" t="s">
        <v>759</v>
      </c>
      <c r="D259" s="204" t="s">
        <v>760</v>
      </c>
      <c r="E259" s="291">
        <v>271435</v>
      </c>
      <c r="F259" s="289">
        <v>-34179</v>
      </c>
      <c r="G259" s="446">
        <f>E259+F259</f>
        <v>237256</v>
      </c>
    </row>
    <row r="260" spans="1:7" ht="13.5" customHeight="1">
      <c r="A260" s="410"/>
      <c r="B260" s="264"/>
      <c r="C260" s="396"/>
      <c r="D260" s="204" t="s">
        <v>761</v>
      </c>
      <c r="E260" s="291"/>
      <c r="F260" s="289"/>
      <c r="G260" s="446"/>
    </row>
    <row r="261" spans="1:7" ht="13.5" customHeight="1">
      <c r="A261" s="410"/>
      <c r="B261" s="264"/>
      <c r="C261" s="396"/>
      <c r="D261" s="204"/>
      <c r="E261" s="291"/>
      <c r="F261" s="289"/>
      <c r="G261" s="446"/>
    </row>
    <row r="262" spans="1:7" ht="13.5" customHeight="1">
      <c r="A262" s="410"/>
      <c r="B262" s="264"/>
      <c r="C262" s="396"/>
      <c r="D262" s="204"/>
      <c r="E262" s="291"/>
      <c r="F262" s="289"/>
      <c r="G262" s="446"/>
    </row>
    <row r="263" spans="1:7" s="391" customFormat="1" ht="13.5" customHeight="1" thickBot="1">
      <c r="A263" s="423">
        <v>854</v>
      </c>
      <c r="B263" s="415"/>
      <c r="C263" s="415"/>
      <c r="D263" s="416" t="s">
        <v>29</v>
      </c>
      <c r="E263" s="613">
        <f>E267+E270+E279+E264</f>
        <v>1003452</v>
      </c>
      <c r="F263" s="613">
        <f>F267+F270+F279+F264</f>
        <v>133444</v>
      </c>
      <c r="G263" s="743">
        <f>G267+G270+G279+G264</f>
        <v>1136896</v>
      </c>
    </row>
    <row r="264" spans="1:7" s="391" customFormat="1" ht="13.5" customHeight="1" thickBot="1">
      <c r="A264" s="424"/>
      <c r="B264" s="411">
        <v>85406</v>
      </c>
      <c r="C264" s="746"/>
      <c r="D264" s="747" t="s">
        <v>736</v>
      </c>
      <c r="E264" s="748">
        <f>E265</f>
        <v>775</v>
      </c>
      <c r="F264" s="748">
        <f>F265</f>
        <v>1519</v>
      </c>
      <c r="G264" s="749">
        <f>G265</f>
        <v>2294</v>
      </c>
    </row>
    <row r="265" spans="1:7" s="391" customFormat="1" ht="13.5" customHeight="1">
      <c r="A265" s="424"/>
      <c r="B265" s="407"/>
      <c r="C265" s="418" t="s">
        <v>78</v>
      </c>
      <c r="D265" s="204" t="s">
        <v>44</v>
      </c>
      <c r="E265" s="616">
        <v>775</v>
      </c>
      <c r="F265" s="294">
        <v>1519</v>
      </c>
      <c r="G265" s="750">
        <f>E265+F265</f>
        <v>2294</v>
      </c>
    </row>
    <row r="266" spans="1:7" s="391" customFormat="1" ht="13.5" customHeight="1" thickBot="1">
      <c r="A266" s="424"/>
      <c r="B266" s="415"/>
      <c r="C266" s="415"/>
      <c r="D266" s="416"/>
      <c r="E266" s="613"/>
      <c r="F266" s="630"/>
      <c r="G266" s="623"/>
    </row>
    <row r="267" spans="1:7" ht="13.5" customHeight="1" thickBot="1">
      <c r="A267" s="424"/>
      <c r="B267" s="298">
        <v>85410</v>
      </c>
      <c r="C267" s="298"/>
      <c r="D267" s="414" t="s">
        <v>73</v>
      </c>
      <c r="E267" s="611">
        <f>E268</f>
        <v>139793</v>
      </c>
      <c r="F267" s="629">
        <f>F268</f>
        <v>14143</v>
      </c>
      <c r="G267" s="622">
        <f>F267+E267</f>
        <v>153936</v>
      </c>
    </row>
    <row r="268" spans="1:7" ht="13.5" customHeight="1">
      <c r="A268" s="424"/>
      <c r="B268" s="407"/>
      <c r="C268" s="418" t="s">
        <v>233</v>
      </c>
      <c r="D268" s="204" t="s">
        <v>40</v>
      </c>
      <c r="E268" s="291">
        <v>139793</v>
      </c>
      <c r="F268" s="289">
        <f>10000+3500+643</f>
        <v>14143</v>
      </c>
      <c r="G268" s="446">
        <f>F268+E268</f>
        <v>153936</v>
      </c>
    </row>
    <row r="269" spans="1:7" ht="13.5" customHeight="1">
      <c r="A269" s="424"/>
      <c r="B269" s="407"/>
      <c r="C269" s="417"/>
      <c r="D269" s="204"/>
      <c r="E269" s="291"/>
      <c r="F269" s="289"/>
      <c r="G269" s="446"/>
    </row>
    <row r="270" spans="1:7" ht="13.5" customHeight="1" thickBot="1">
      <c r="A270" s="424"/>
      <c r="B270" s="298">
        <v>85415</v>
      </c>
      <c r="C270" s="299"/>
      <c r="D270" s="300" t="s">
        <v>42</v>
      </c>
      <c r="E270" s="611">
        <f>SUM(E271:E277)</f>
        <v>770540</v>
      </c>
      <c r="F270" s="629">
        <f>SUM(F271:F277)</f>
        <v>110423</v>
      </c>
      <c r="G270" s="622">
        <f>SUM(G271:G277)</f>
        <v>880963</v>
      </c>
    </row>
    <row r="271" spans="1:7" ht="13.5" customHeight="1">
      <c r="A271" s="424"/>
      <c r="B271" s="417"/>
      <c r="C271" s="396" t="s">
        <v>78</v>
      </c>
      <c r="D271" s="301" t="s">
        <v>44</v>
      </c>
      <c r="E271" s="291">
        <v>0</v>
      </c>
      <c r="F271" s="289">
        <v>6310</v>
      </c>
      <c r="G271" s="446">
        <f>F271+E271</f>
        <v>6310</v>
      </c>
    </row>
    <row r="272" spans="1:7" ht="13.5" customHeight="1">
      <c r="A272" s="424"/>
      <c r="B272" s="417"/>
      <c r="C272" s="264">
        <v>2130</v>
      </c>
      <c r="D272" s="301" t="s">
        <v>766</v>
      </c>
      <c r="E272" s="291">
        <v>374753</v>
      </c>
      <c r="F272" s="289"/>
      <c r="G272" s="446">
        <f>F272+E272</f>
        <v>374753</v>
      </c>
    </row>
    <row r="273" spans="1:7" ht="13.5" customHeight="1">
      <c r="A273" s="424"/>
      <c r="B273" s="417"/>
      <c r="C273" s="264"/>
      <c r="D273" s="301" t="s">
        <v>731</v>
      </c>
      <c r="E273" s="291"/>
      <c r="F273" s="289"/>
      <c r="G273" s="446">
        <f>F273+E273</f>
        <v>0</v>
      </c>
    </row>
    <row r="274" spans="1:7" ht="13.5" customHeight="1">
      <c r="A274" s="424"/>
      <c r="B274" s="417"/>
      <c r="C274" s="396" t="s">
        <v>493</v>
      </c>
      <c r="D274" s="301" t="s">
        <v>495</v>
      </c>
      <c r="E274" s="291">
        <v>269140</v>
      </c>
      <c r="F274" s="289">
        <v>70792</v>
      </c>
      <c r="G274" s="446">
        <f>F274+E274</f>
        <v>339932</v>
      </c>
    </row>
    <row r="275" spans="1:7" ht="13.5" customHeight="1">
      <c r="A275" s="424"/>
      <c r="B275" s="417"/>
      <c r="C275" s="396"/>
      <c r="D275" s="301" t="s">
        <v>496</v>
      </c>
      <c r="E275" s="291"/>
      <c r="F275" s="289"/>
      <c r="G275" s="446"/>
    </row>
    <row r="276" spans="1:7" ht="13.5" customHeight="1">
      <c r="A276" s="424"/>
      <c r="B276" s="417"/>
      <c r="C276" s="396" t="s">
        <v>494</v>
      </c>
      <c r="D276" s="301" t="s">
        <v>495</v>
      </c>
      <c r="E276" s="291">
        <v>126647</v>
      </c>
      <c r="F276" s="289">
        <v>33321</v>
      </c>
      <c r="G276" s="446">
        <f>F276+E276</f>
        <v>159968</v>
      </c>
    </row>
    <row r="277" spans="1:7" ht="13.5" customHeight="1">
      <c r="A277" s="424"/>
      <c r="B277" s="417"/>
      <c r="C277" s="396"/>
      <c r="D277" s="301" t="s">
        <v>496</v>
      </c>
      <c r="E277" s="291"/>
      <c r="F277" s="289"/>
      <c r="G277" s="446"/>
    </row>
    <row r="278" spans="1:7" ht="13.5" customHeight="1">
      <c r="A278" s="424"/>
      <c r="B278" s="407"/>
      <c r="C278" s="264"/>
      <c r="D278" s="397"/>
      <c r="E278" s="291"/>
      <c r="F278" s="289"/>
      <c r="G278" s="446"/>
    </row>
    <row r="279" spans="1:7" ht="13.5" customHeight="1" thickBot="1">
      <c r="A279" s="424"/>
      <c r="B279" s="298">
        <v>85420</v>
      </c>
      <c r="C279" s="299"/>
      <c r="D279" s="300" t="s">
        <v>415</v>
      </c>
      <c r="E279" s="611">
        <f>SUM(E280:E283)</f>
        <v>92344</v>
      </c>
      <c r="F279" s="629">
        <f>SUM(F280:F283)</f>
        <v>7359</v>
      </c>
      <c r="G279" s="622">
        <f>SUM(G280:G283)</f>
        <v>99703</v>
      </c>
    </row>
    <row r="280" spans="1:7" ht="13.5" customHeight="1">
      <c r="A280" s="424"/>
      <c r="B280" s="407"/>
      <c r="C280" s="396" t="s">
        <v>233</v>
      </c>
      <c r="D280" s="301" t="s">
        <v>40</v>
      </c>
      <c r="E280" s="291">
        <v>58158</v>
      </c>
      <c r="F280" s="289">
        <f>3959+3400</f>
        <v>7359</v>
      </c>
      <c r="G280" s="446">
        <f>F280+E280</f>
        <v>65517</v>
      </c>
    </row>
    <row r="281" spans="1:7" ht="13.5" customHeight="1">
      <c r="A281" s="424"/>
      <c r="B281" s="407"/>
      <c r="C281" s="396" t="s">
        <v>785</v>
      </c>
      <c r="D281" s="301" t="s">
        <v>786</v>
      </c>
      <c r="E281" s="291">
        <v>9633</v>
      </c>
      <c r="F281" s="289"/>
      <c r="G281" s="446">
        <f>F281+E281</f>
        <v>9633</v>
      </c>
    </row>
    <row r="282" spans="1:7" ht="13.5" customHeight="1">
      <c r="A282" s="424"/>
      <c r="B282" s="407"/>
      <c r="C282" s="396" t="s">
        <v>239</v>
      </c>
      <c r="D282" s="301" t="s">
        <v>487</v>
      </c>
      <c r="E282" s="291">
        <v>7757</v>
      </c>
      <c r="F282" s="289"/>
      <c r="G282" s="446">
        <f>F282+E282</f>
        <v>7757</v>
      </c>
    </row>
    <row r="283" spans="1:7" ht="13.5" customHeight="1">
      <c r="A283" s="424"/>
      <c r="B283" s="407"/>
      <c r="C283" s="396" t="s">
        <v>78</v>
      </c>
      <c r="D283" s="204" t="s">
        <v>44</v>
      </c>
      <c r="E283" s="291">
        <v>16796</v>
      </c>
      <c r="F283" s="289"/>
      <c r="G283" s="446">
        <f>F283+E283</f>
        <v>16796</v>
      </c>
    </row>
    <row r="284" spans="1:7" ht="13.5" customHeight="1" thickBot="1">
      <c r="A284" s="423"/>
      <c r="B284" s="415"/>
      <c r="C284" s="399"/>
      <c r="D284" s="300"/>
      <c r="E284" s="611"/>
      <c r="F284" s="629"/>
      <c r="G284" s="622"/>
    </row>
    <row r="285" spans="1:7" s="391" customFormat="1" ht="13.5" customHeight="1" thickBot="1">
      <c r="A285" s="924" t="s">
        <v>83</v>
      </c>
      <c r="B285" s="925"/>
      <c r="C285" s="925"/>
      <c r="D285" s="926"/>
      <c r="E285" s="617">
        <f>E263+E236+E183+E169+E130+E113+E108+E78+E65+E45+E25+E21+E12+E162+E100</f>
        <v>38499552</v>
      </c>
      <c r="F285" s="617">
        <f>F263+F236+F183+F169+F130+F113+F108+F78+F65+F45+F25+F21+F12+F162+F100</f>
        <v>45506</v>
      </c>
      <c r="G285" s="829">
        <f>G263+G236+G183+G169+G130+G113+G108+G78+G65+G45+G25+G21+G12+G162+G100</f>
        <v>38545058</v>
      </c>
    </row>
    <row r="286" spans="1:7" ht="13.5" customHeight="1">
      <c r="A286" s="688"/>
      <c r="B286" s="238"/>
      <c r="C286" s="677"/>
      <c r="D286" s="292" t="s">
        <v>84</v>
      </c>
      <c r="E286" s="618">
        <f>SUM(E287:E289)</f>
        <v>11382022</v>
      </c>
      <c r="F286" s="293">
        <f>SUM(F287:F289)</f>
        <v>167486</v>
      </c>
      <c r="G286" s="767">
        <f>SUM(G287:G289)</f>
        <v>11549508</v>
      </c>
    </row>
    <row r="287" spans="1:7" ht="13.5" customHeight="1">
      <c r="A287" s="688"/>
      <c r="B287" s="238"/>
      <c r="C287" s="677"/>
      <c r="D287" s="425" t="s">
        <v>405</v>
      </c>
      <c r="E287" s="569">
        <f>E198+E217++E189+E272+E39+E171+E192+E154</f>
        <v>3331049</v>
      </c>
      <c r="F287" s="569">
        <f>F198+F217++F189+F272+F39+F171+F192+F154</f>
        <v>36100</v>
      </c>
      <c r="G287" s="559">
        <f>G198+G217++G189+G272+G39+G171+G192+G154</f>
        <v>3367149</v>
      </c>
    </row>
    <row r="288" spans="1:7" ht="13.5" customHeight="1">
      <c r="A288" s="688"/>
      <c r="B288" s="238"/>
      <c r="C288" s="677"/>
      <c r="D288" s="425" t="s">
        <v>85</v>
      </c>
      <c r="E288" s="616">
        <f>E204+E180+E93+E80+E75+E71+E67+E55+E14+E238+E253+E104</f>
        <v>3685894</v>
      </c>
      <c r="F288" s="616">
        <f>F204+F180+F93+F80+F75+F71+F67+F55+F14+F238+F253+F104</f>
        <v>0</v>
      </c>
      <c r="G288" s="750">
        <f>G204+G180+G93+G80+G75+G71+G67+G55+G14+G238+G253+G104</f>
        <v>3685894</v>
      </c>
    </row>
    <row r="289" spans="1:7" ht="13.5" customHeight="1">
      <c r="A289" s="688"/>
      <c r="B289" s="238"/>
      <c r="C289" s="677"/>
      <c r="D289" s="427" t="s">
        <v>475</v>
      </c>
      <c r="E289" s="428">
        <f>E209+E175+E191+E276+E274+E164+E166+E247+E136+E146+E231+E33+E259+E257+E37+E228+E222+E214+E32+E233</f>
        <v>4365079</v>
      </c>
      <c r="F289" s="428">
        <f>F209+F175+F191+F276+F274+F164+F166+F247+F136+F146+F231+F33+F259+F257+F37+F228+F222+F214+F32+F233</f>
        <v>131386</v>
      </c>
      <c r="G289" s="568">
        <f>G209+G175+G191+G276+G274+G164+G166+G247+G136+G146+G231+G33+G259+G257+G37+G228+G222+G214+G32+G233</f>
        <v>4496465</v>
      </c>
    </row>
    <row r="290" spans="1:7" ht="13.5" customHeight="1">
      <c r="A290" s="688"/>
      <c r="B290" s="238"/>
      <c r="C290" s="677"/>
      <c r="D290" s="472" t="s">
        <v>539</v>
      </c>
      <c r="E290" s="569">
        <v>0</v>
      </c>
      <c r="F290" s="569">
        <v>0</v>
      </c>
      <c r="G290" s="771">
        <v>0</v>
      </c>
    </row>
    <row r="291" spans="1:7" ht="13.5" customHeight="1" thickBot="1">
      <c r="A291" s="304"/>
      <c r="B291" s="377"/>
      <c r="C291" s="837"/>
      <c r="D291" s="473" t="s">
        <v>683</v>
      </c>
      <c r="E291" s="619">
        <f>E249+E134+E61+E59+E156</f>
        <v>737852</v>
      </c>
      <c r="F291" s="619">
        <f>F249+F134+F61+F59+F156</f>
        <v>-12382</v>
      </c>
      <c r="G291" s="830">
        <f>G249+G134+G61+G59+G156</f>
        <v>725470</v>
      </c>
    </row>
    <row r="292" spans="1:5" ht="12.75">
      <c r="A292" s="429"/>
      <c r="B292" s="429"/>
      <c r="C292" s="430"/>
      <c r="D292" s="429"/>
      <c r="E292" s="429"/>
    </row>
    <row r="293" spans="1:5" ht="12.75">
      <c r="A293" s="429"/>
      <c r="B293" s="429"/>
      <c r="C293" s="430"/>
      <c r="D293" s="429"/>
      <c r="E293" s="429"/>
    </row>
    <row r="294" spans="1:5" ht="12.75">
      <c r="A294" s="429"/>
      <c r="B294" s="429"/>
      <c r="C294" s="430"/>
      <c r="D294" s="429"/>
      <c r="E294" s="431"/>
    </row>
    <row r="295" spans="1:5" ht="12.75">
      <c r="A295" s="429"/>
      <c r="B295" s="429"/>
      <c r="C295" s="430"/>
      <c r="D295" s="429"/>
      <c r="E295" s="429"/>
    </row>
    <row r="296" spans="1:5" ht="12.75">
      <c r="A296" s="429"/>
      <c r="B296" s="429"/>
      <c r="C296" s="430"/>
      <c r="D296" s="429"/>
      <c r="E296" s="429"/>
    </row>
    <row r="297" spans="1:5" ht="12.75">
      <c r="A297" s="429"/>
      <c r="B297" s="429"/>
      <c r="C297" s="430"/>
      <c r="D297" s="429"/>
      <c r="E297" s="429"/>
    </row>
    <row r="298" spans="1:5" ht="12.75">
      <c r="A298" s="429"/>
      <c r="B298" s="429"/>
      <c r="C298" s="430"/>
      <c r="D298" s="429"/>
      <c r="E298" s="429"/>
    </row>
    <row r="299" spans="1:5" ht="12.75">
      <c r="A299" s="429"/>
      <c r="B299" s="429"/>
      <c r="C299" s="430"/>
      <c r="D299" s="429"/>
      <c r="E299" s="429"/>
    </row>
    <row r="300" spans="1:5" ht="12.75">
      <c r="A300" s="429"/>
      <c r="B300" s="429"/>
      <c r="C300" s="430"/>
      <c r="D300" s="429"/>
      <c r="E300" s="429"/>
    </row>
    <row r="301" spans="1:5" ht="12.75">
      <c r="A301" s="429"/>
      <c r="B301" s="429"/>
      <c r="C301" s="430"/>
      <c r="D301" s="429"/>
      <c r="E301" s="429"/>
    </row>
    <row r="302" spans="1:5" ht="12.75">
      <c r="A302" s="429"/>
      <c r="B302" s="429"/>
      <c r="C302" s="430"/>
      <c r="D302" s="429"/>
      <c r="E302" s="429"/>
    </row>
    <row r="303" spans="1:5" ht="12.75">
      <c r="A303" s="429"/>
      <c r="B303" s="429"/>
      <c r="C303" s="430"/>
      <c r="D303" s="429"/>
      <c r="E303" s="429"/>
    </row>
    <row r="304" spans="1:5" ht="12.75">
      <c r="A304" s="429"/>
      <c r="B304" s="429"/>
      <c r="C304" s="430"/>
      <c r="D304" s="429"/>
      <c r="E304" s="429"/>
    </row>
    <row r="305" spans="1:5" ht="12.75">
      <c r="A305" s="429"/>
      <c r="B305" s="429"/>
      <c r="C305" s="430"/>
      <c r="D305" s="429"/>
      <c r="E305" s="429"/>
    </row>
    <row r="306" spans="1:5" ht="12.75">
      <c r="A306" s="429"/>
      <c r="B306" s="429"/>
      <c r="C306" s="430"/>
      <c r="D306" s="429"/>
      <c r="E306" s="429"/>
    </row>
    <row r="307" spans="1:5" ht="12.75">
      <c r="A307" s="429"/>
      <c r="B307" s="429"/>
      <c r="C307" s="430"/>
      <c r="D307" s="429"/>
      <c r="E307" s="429"/>
    </row>
    <row r="308" spans="1:5" ht="12.75">
      <c r="A308" s="429"/>
      <c r="B308" s="429"/>
      <c r="C308" s="430"/>
      <c r="D308" s="429"/>
      <c r="E308" s="429"/>
    </row>
    <row r="309" spans="1:5" ht="12.75">
      <c r="A309" s="429"/>
      <c r="B309" s="429"/>
      <c r="C309" s="430"/>
      <c r="D309" s="429"/>
      <c r="E309" s="429"/>
    </row>
    <row r="310" spans="1:5" ht="12.75">
      <c r="A310" s="429"/>
      <c r="B310" s="429"/>
      <c r="C310" s="430"/>
      <c r="D310" s="429"/>
      <c r="E310" s="429"/>
    </row>
    <row r="311" spans="1:5" ht="12.75">
      <c r="A311" s="429"/>
      <c r="B311" s="429"/>
      <c r="C311" s="430"/>
      <c r="D311" s="429"/>
      <c r="E311" s="429"/>
    </row>
    <row r="312" spans="1:5" ht="12.75">
      <c r="A312" s="429"/>
      <c r="B312" s="429"/>
      <c r="C312" s="430"/>
      <c r="D312" s="429"/>
      <c r="E312" s="429"/>
    </row>
    <row r="313" spans="1:5" ht="12.75">
      <c r="A313" s="429"/>
      <c r="B313" s="429"/>
      <c r="C313" s="430"/>
      <c r="D313" s="429"/>
      <c r="E313" s="429"/>
    </row>
    <row r="314" spans="1:5" ht="12.75">
      <c r="A314" s="429"/>
      <c r="B314" s="429"/>
      <c r="C314" s="430"/>
      <c r="D314" s="429"/>
      <c r="E314" s="429"/>
    </row>
    <row r="315" spans="1:5" ht="12.75">
      <c r="A315" s="429"/>
      <c r="B315" s="429"/>
      <c r="C315" s="430"/>
      <c r="D315" s="429"/>
      <c r="E315" s="429"/>
    </row>
    <row r="316" spans="1:5" ht="12.75">
      <c r="A316" s="429"/>
      <c r="B316" s="429"/>
      <c r="C316" s="430"/>
      <c r="D316" s="429"/>
      <c r="E316" s="429"/>
    </row>
    <row r="317" spans="1:5" ht="12.75">
      <c r="A317" s="429"/>
      <c r="B317" s="429"/>
      <c r="C317" s="430"/>
      <c r="D317" s="429"/>
      <c r="E317" s="429"/>
    </row>
    <row r="318" spans="1:5" ht="12.75">
      <c r="A318" s="429"/>
      <c r="B318" s="429"/>
      <c r="C318" s="430"/>
      <c r="D318" s="429"/>
      <c r="E318" s="429"/>
    </row>
    <row r="319" spans="1:5" ht="12.75">
      <c r="A319" s="429"/>
      <c r="B319" s="429"/>
      <c r="C319" s="430"/>
      <c r="D319" s="429"/>
      <c r="E319" s="429"/>
    </row>
    <row r="320" spans="1:5" ht="12.75">
      <c r="A320" s="429"/>
      <c r="B320" s="429"/>
      <c r="C320" s="430"/>
      <c r="D320" s="429"/>
      <c r="E320" s="429"/>
    </row>
    <row r="321" spans="1:5" ht="12.75">
      <c r="A321" s="429"/>
      <c r="B321" s="429"/>
      <c r="C321" s="430"/>
      <c r="D321" s="429"/>
      <c r="E321" s="429"/>
    </row>
    <row r="322" spans="1:5" ht="12.75">
      <c r="A322" s="429"/>
      <c r="B322" s="429"/>
      <c r="C322" s="430"/>
      <c r="D322" s="429"/>
      <c r="E322" s="429"/>
    </row>
    <row r="323" spans="1:5" ht="12.75">
      <c r="A323" s="429"/>
      <c r="B323" s="429"/>
      <c r="C323" s="430"/>
      <c r="D323" s="429"/>
      <c r="E323" s="429"/>
    </row>
    <row r="324" spans="1:5" ht="12.75">
      <c r="A324" s="429"/>
      <c r="B324" s="429"/>
      <c r="C324" s="430"/>
      <c r="D324" s="429"/>
      <c r="E324" s="429"/>
    </row>
    <row r="325" spans="1:5" ht="12.75">
      <c r="A325" s="429"/>
      <c r="B325" s="429"/>
      <c r="C325" s="430"/>
      <c r="D325" s="429"/>
      <c r="E325" s="429"/>
    </row>
    <row r="326" spans="1:5" ht="12.75">
      <c r="A326" s="429"/>
      <c r="B326" s="429"/>
      <c r="C326" s="430"/>
      <c r="D326" s="429"/>
      <c r="E326" s="429"/>
    </row>
    <row r="327" spans="1:5" ht="12.75">
      <c r="A327" s="429"/>
      <c r="B327" s="429"/>
      <c r="C327" s="430"/>
      <c r="D327" s="429"/>
      <c r="E327" s="429"/>
    </row>
    <row r="328" spans="1:5" ht="12.75">
      <c r="A328" s="429"/>
      <c r="B328" s="429"/>
      <c r="C328" s="430"/>
      <c r="D328" s="429"/>
      <c r="E328" s="429"/>
    </row>
    <row r="329" spans="1:5" ht="12.75">
      <c r="A329" s="429"/>
      <c r="B329" s="429"/>
      <c r="C329" s="430"/>
      <c r="D329" s="429"/>
      <c r="E329" s="429"/>
    </row>
    <row r="330" spans="1:5" ht="12.75">
      <c r="A330" s="429"/>
      <c r="B330" s="429"/>
      <c r="C330" s="430"/>
      <c r="D330" s="429"/>
      <c r="E330" s="429"/>
    </row>
    <row r="331" spans="1:5" ht="12.75">
      <c r="A331" s="429"/>
      <c r="B331" s="429"/>
      <c r="C331" s="430"/>
      <c r="D331" s="429"/>
      <c r="E331" s="429"/>
    </row>
    <row r="332" spans="1:5" ht="12.75">
      <c r="A332" s="429"/>
      <c r="B332" s="429"/>
      <c r="C332" s="430"/>
      <c r="D332" s="429"/>
      <c r="E332" s="429"/>
    </row>
    <row r="333" spans="1:5" ht="12.75">
      <c r="A333" s="429"/>
      <c r="B333" s="429"/>
      <c r="C333" s="430"/>
      <c r="D333" s="429"/>
      <c r="E333" s="429"/>
    </row>
    <row r="334" spans="1:5" ht="12.75">
      <c r="A334" s="429"/>
      <c r="B334" s="429"/>
      <c r="C334" s="430"/>
      <c r="D334" s="429"/>
      <c r="E334" s="429"/>
    </row>
    <row r="335" spans="1:5" ht="12.75">
      <c r="A335" s="429"/>
      <c r="B335" s="429"/>
      <c r="C335" s="430"/>
      <c r="D335" s="429"/>
      <c r="E335" s="429"/>
    </row>
    <row r="336" spans="1:5" ht="12.75">
      <c r="A336" s="429"/>
      <c r="B336" s="429"/>
      <c r="C336" s="430"/>
      <c r="D336" s="429"/>
      <c r="E336" s="429"/>
    </row>
    <row r="337" spans="1:5" ht="12.75">
      <c r="A337" s="429"/>
      <c r="B337" s="429"/>
      <c r="C337" s="430"/>
      <c r="D337" s="429"/>
      <c r="E337" s="429"/>
    </row>
    <row r="338" spans="1:5" ht="12.75">
      <c r="A338" s="429"/>
      <c r="B338" s="429"/>
      <c r="C338" s="430"/>
      <c r="D338" s="429"/>
      <c r="E338" s="429"/>
    </row>
    <row r="339" spans="1:5" ht="12.75">
      <c r="A339" s="429"/>
      <c r="B339" s="429"/>
      <c r="C339" s="430"/>
      <c r="D339" s="429"/>
      <c r="E339" s="429"/>
    </row>
    <row r="340" spans="1:5" ht="12.75">
      <c r="A340" s="429"/>
      <c r="B340" s="429"/>
      <c r="C340" s="430"/>
      <c r="D340" s="429"/>
      <c r="E340" s="429"/>
    </row>
    <row r="341" spans="1:5" ht="12.75">
      <c r="A341" s="429"/>
      <c r="B341" s="429"/>
      <c r="C341" s="430"/>
      <c r="D341" s="429"/>
      <c r="E341" s="429"/>
    </row>
    <row r="342" spans="1:5" ht="12.75">
      <c r="A342" s="429"/>
      <c r="B342" s="429"/>
      <c r="C342" s="430"/>
      <c r="D342" s="429"/>
      <c r="E342" s="429"/>
    </row>
    <row r="343" spans="1:5" ht="12.75">
      <c r="A343" s="429"/>
      <c r="B343" s="429"/>
      <c r="C343" s="430"/>
      <c r="D343" s="429"/>
      <c r="E343" s="429"/>
    </row>
    <row r="344" spans="1:5" ht="12.75">
      <c r="A344" s="429"/>
      <c r="B344" s="429"/>
      <c r="C344" s="430"/>
      <c r="D344" s="429"/>
      <c r="E344" s="429"/>
    </row>
    <row r="345" spans="1:5" ht="12.75">
      <c r="A345" s="429"/>
      <c r="B345" s="429"/>
      <c r="C345" s="430"/>
      <c r="D345" s="429"/>
      <c r="E345" s="429"/>
    </row>
    <row r="346" spans="1:5" ht="12.75">
      <c r="A346" s="429"/>
      <c r="B346" s="429"/>
      <c r="C346" s="430"/>
      <c r="D346" s="429"/>
      <c r="E346" s="429"/>
    </row>
    <row r="347" spans="1:5" ht="12.75">
      <c r="A347" s="429"/>
      <c r="B347" s="429"/>
      <c r="C347" s="430"/>
      <c r="D347" s="429"/>
      <c r="E347" s="429"/>
    </row>
    <row r="348" spans="1:5" ht="12.75">
      <c r="A348" s="429"/>
      <c r="B348" s="429"/>
      <c r="C348" s="430"/>
      <c r="D348" s="429"/>
      <c r="E348" s="429"/>
    </row>
    <row r="349" spans="1:5" ht="12.75">
      <c r="A349" s="429"/>
      <c r="B349" s="429"/>
      <c r="C349" s="430"/>
      <c r="D349" s="429"/>
      <c r="E349" s="429"/>
    </row>
    <row r="350" spans="1:5" ht="12.75">
      <c r="A350" s="429"/>
      <c r="B350" s="429"/>
      <c r="C350" s="430"/>
      <c r="D350" s="429"/>
      <c r="E350" s="429"/>
    </row>
    <row r="351" spans="1:5" ht="12.75">
      <c r="A351" s="429"/>
      <c r="B351" s="429"/>
      <c r="C351" s="430"/>
      <c r="D351" s="429"/>
      <c r="E351" s="429"/>
    </row>
    <row r="352" spans="1:5" ht="12.75">
      <c r="A352" s="429"/>
      <c r="B352" s="429"/>
      <c r="C352" s="430"/>
      <c r="D352" s="429"/>
      <c r="E352" s="429"/>
    </row>
    <row r="353" spans="1:5" ht="12.75">
      <c r="A353" s="429"/>
      <c r="B353" s="429"/>
      <c r="C353" s="430"/>
      <c r="D353" s="429"/>
      <c r="E353" s="429"/>
    </row>
    <row r="354" spans="1:5" ht="12.75">
      <c r="A354" s="429"/>
      <c r="B354" s="429"/>
      <c r="C354" s="430"/>
      <c r="D354" s="429"/>
      <c r="E354" s="429"/>
    </row>
    <row r="355" spans="1:5" ht="12.75">
      <c r="A355" s="429"/>
      <c r="B355" s="429"/>
      <c r="C355" s="430"/>
      <c r="D355" s="429"/>
      <c r="E355" s="429"/>
    </row>
    <row r="356" spans="1:5" ht="12.75">
      <c r="A356" s="429"/>
      <c r="B356" s="429"/>
      <c r="C356" s="430"/>
      <c r="D356" s="429"/>
      <c r="E356" s="429"/>
    </row>
    <row r="357" spans="1:5" ht="12.75">
      <c r="A357" s="429"/>
      <c r="B357" s="429"/>
      <c r="C357" s="430"/>
      <c r="D357" s="429"/>
      <c r="E357" s="429"/>
    </row>
    <row r="358" spans="1:5" ht="12.75">
      <c r="A358" s="429"/>
      <c r="B358" s="429"/>
      <c r="C358" s="430"/>
      <c r="D358" s="429"/>
      <c r="E358" s="429"/>
    </row>
    <row r="359" spans="1:5" ht="12.75">
      <c r="A359" s="429"/>
      <c r="B359" s="429"/>
      <c r="C359" s="430"/>
      <c r="D359" s="429"/>
      <c r="E359" s="429"/>
    </row>
    <row r="360" spans="1:5" ht="12.75">
      <c r="A360" s="429"/>
      <c r="B360" s="429"/>
      <c r="C360" s="430"/>
      <c r="D360" s="429"/>
      <c r="E360" s="429"/>
    </row>
    <row r="361" spans="1:5" ht="12.75">
      <c r="A361" s="429"/>
      <c r="B361" s="429"/>
      <c r="C361" s="430"/>
      <c r="D361" s="429"/>
      <c r="E361" s="429"/>
    </row>
    <row r="362" spans="1:5" ht="12.75">
      <c r="A362" s="429"/>
      <c r="B362" s="429"/>
      <c r="C362" s="430"/>
      <c r="D362" s="429"/>
      <c r="E362" s="429"/>
    </row>
    <row r="363" spans="1:5" ht="12.75">
      <c r="A363" s="429"/>
      <c r="B363" s="429"/>
      <c r="C363" s="430"/>
      <c r="D363" s="429"/>
      <c r="E363" s="429"/>
    </row>
    <row r="364" spans="1:5" ht="12.75">
      <c r="A364" s="429"/>
      <c r="B364" s="429"/>
      <c r="C364" s="430"/>
      <c r="D364" s="429"/>
      <c r="E364" s="429"/>
    </row>
    <row r="365" spans="1:5" ht="12.75">
      <c r="A365" s="429"/>
      <c r="B365" s="429"/>
      <c r="C365" s="430"/>
      <c r="D365" s="429"/>
      <c r="E365" s="429"/>
    </row>
    <row r="366" spans="1:5" ht="12.75">
      <c r="A366" s="429"/>
      <c r="B366" s="429"/>
      <c r="C366" s="430"/>
      <c r="D366" s="429"/>
      <c r="E366" s="429"/>
    </row>
    <row r="367" spans="1:5" ht="12.75">
      <c r="A367" s="429"/>
      <c r="B367" s="429"/>
      <c r="C367" s="430"/>
      <c r="D367" s="429"/>
      <c r="E367" s="429"/>
    </row>
    <row r="368" spans="1:5" ht="12.75">
      <c r="A368" s="429"/>
      <c r="B368" s="429"/>
      <c r="C368" s="430"/>
      <c r="D368" s="429"/>
      <c r="E368" s="429"/>
    </row>
    <row r="369" spans="1:5" ht="12.75">
      <c r="A369" s="429"/>
      <c r="B369" s="429"/>
      <c r="C369" s="430"/>
      <c r="D369" s="429"/>
      <c r="E369" s="429"/>
    </row>
    <row r="370" spans="1:5" ht="12.75">
      <c r="A370" s="429"/>
      <c r="B370" s="429"/>
      <c r="C370" s="430"/>
      <c r="D370" s="429"/>
      <c r="E370" s="429"/>
    </row>
    <row r="371" spans="1:5" ht="12.75">
      <c r="A371" s="429"/>
      <c r="B371" s="429"/>
      <c r="C371" s="430"/>
      <c r="D371" s="429"/>
      <c r="E371" s="429"/>
    </row>
    <row r="372" spans="1:5" ht="12.75">
      <c r="A372" s="429"/>
      <c r="B372" s="429"/>
      <c r="C372" s="430"/>
      <c r="D372" s="429"/>
      <c r="E372" s="429"/>
    </row>
    <row r="373" spans="1:5" ht="12.75">
      <c r="A373" s="429"/>
      <c r="B373" s="429"/>
      <c r="C373" s="430"/>
      <c r="D373" s="429"/>
      <c r="E373" s="429"/>
    </row>
    <row r="374" spans="1:5" ht="12.75">
      <c r="A374" s="429"/>
      <c r="B374" s="429"/>
      <c r="C374" s="430"/>
      <c r="D374" s="429"/>
      <c r="E374" s="429"/>
    </row>
    <row r="375" spans="1:5" ht="12.75">
      <c r="A375" s="429"/>
      <c r="B375" s="429"/>
      <c r="C375" s="430"/>
      <c r="D375" s="429"/>
      <c r="E375" s="429"/>
    </row>
    <row r="376" spans="1:5" ht="12.75">
      <c r="A376" s="429"/>
      <c r="B376" s="429"/>
      <c r="C376" s="430"/>
      <c r="D376" s="429"/>
      <c r="E376" s="429"/>
    </row>
    <row r="377" spans="1:5" ht="12.75">
      <c r="A377" s="429"/>
      <c r="B377" s="429"/>
      <c r="C377" s="430"/>
      <c r="D377" s="429"/>
      <c r="E377" s="429"/>
    </row>
    <row r="378" spans="1:5" ht="12.75">
      <c r="A378" s="429"/>
      <c r="B378" s="429"/>
      <c r="C378" s="430"/>
      <c r="D378" s="429"/>
      <c r="E378" s="429"/>
    </row>
    <row r="379" spans="1:5" ht="12.75">
      <c r="A379" s="429"/>
      <c r="B379" s="429"/>
      <c r="C379" s="430"/>
      <c r="D379" s="429"/>
      <c r="E379" s="429"/>
    </row>
    <row r="380" spans="1:5" ht="12.75">
      <c r="A380" s="429"/>
      <c r="B380" s="429"/>
      <c r="C380" s="430"/>
      <c r="D380" s="429"/>
      <c r="E380" s="429"/>
    </row>
    <row r="381" spans="1:5" ht="12.75">
      <c r="A381" s="429"/>
      <c r="B381" s="429"/>
      <c r="C381" s="430"/>
      <c r="D381" s="429"/>
      <c r="E381" s="429"/>
    </row>
    <row r="382" spans="1:5" ht="12.75">
      <c r="A382" s="429"/>
      <c r="B382" s="429"/>
      <c r="C382" s="430"/>
      <c r="D382" s="429"/>
      <c r="E382" s="429"/>
    </row>
    <row r="383" spans="1:5" ht="12.75">
      <c r="A383" s="429"/>
      <c r="B383" s="429"/>
      <c r="C383" s="430"/>
      <c r="D383" s="429"/>
      <c r="E383" s="429"/>
    </row>
    <row r="384" spans="1:5" ht="12.75">
      <c r="A384" s="429"/>
      <c r="B384" s="429"/>
      <c r="C384" s="430"/>
      <c r="D384" s="429"/>
      <c r="E384" s="429"/>
    </row>
    <row r="385" spans="1:5" ht="12.75">
      <c r="A385" s="429"/>
      <c r="B385" s="429"/>
      <c r="C385" s="430"/>
      <c r="D385" s="429"/>
      <c r="E385" s="429"/>
    </row>
    <row r="386" spans="1:5" ht="12.75">
      <c r="A386" s="429"/>
      <c r="B386" s="429"/>
      <c r="C386" s="430"/>
      <c r="D386" s="429"/>
      <c r="E386" s="429"/>
    </row>
    <row r="387" spans="1:5" ht="12.75">
      <c r="A387" s="429"/>
      <c r="B387" s="429"/>
      <c r="C387" s="430"/>
      <c r="D387" s="429"/>
      <c r="E387" s="429"/>
    </row>
    <row r="388" spans="1:5" ht="12.75">
      <c r="A388" s="429"/>
      <c r="B388" s="429"/>
      <c r="C388" s="430"/>
      <c r="D388" s="429"/>
      <c r="E388" s="429"/>
    </row>
    <row r="389" spans="1:5" ht="12.75">
      <c r="A389" s="429"/>
      <c r="B389" s="429"/>
      <c r="C389" s="430"/>
      <c r="D389" s="429"/>
      <c r="E389" s="429"/>
    </row>
    <row r="390" spans="1:5" ht="12.75">
      <c r="A390" s="429"/>
      <c r="B390" s="429"/>
      <c r="C390" s="430"/>
      <c r="D390" s="429"/>
      <c r="E390" s="429"/>
    </row>
    <row r="391" spans="1:5" ht="12.75">
      <c r="A391" s="429"/>
      <c r="B391" s="429"/>
      <c r="C391" s="430"/>
      <c r="D391" s="429"/>
      <c r="E391" s="429"/>
    </row>
    <row r="392" spans="1:5" ht="12.75">
      <c r="A392" s="429"/>
      <c r="B392" s="429"/>
      <c r="C392" s="430"/>
      <c r="D392" s="429"/>
      <c r="E392" s="429"/>
    </row>
    <row r="393" spans="1:5" ht="12.75">
      <c r="A393" s="429"/>
      <c r="B393" s="429"/>
      <c r="C393" s="430"/>
      <c r="D393" s="429"/>
      <c r="E393" s="429"/>
    </row>
    <row r="394" spans="1:5" ht="12.75">
      <c r="A394" s="429"/>
      <c r="B394" s="429"/>
      <c r="C394" s="430"/>
      <c r="D394" s="429"/>
      <c r="E394" s="429"/>
    </row>
    <row r="395" spans="1:5" ht="12.75">
      <c r="A395" s="429"/>
      <c r="B395" s="429"/>
      <c r="C395" s="430"/>
      <c r="D395" s="429"/>
      <c r="E395" s="429"/>
    </row>
    <row r="396" spans="1:5" ht="12.75">
      <c r="A396" s="429"/>
      <c r="B396" s="429"/>
      <c r="C396" s="430"/>
      <c r="D396" s="429"/>
      <c r="E396" s="429"/>
    </row>
    <row r="397" spans="1:5" ht="12.75">
      <c r="A397" s="429"/>
      <c r="B397" s="429"/>
      <c r="C397" s="430"/>
      <c r="D397" s="429"/>
      <c r="E397" s="429"/>
    </row>
    <row r="398" spans="1:5" ht="12.75">
      <c r="A398" s="429"/>
      <c r="B398" s="429"/>
      <c r="C398" s="430"/>
      <c r="D398" s="429"/>
      <c r="E398" s="429"/>
    </row>
    <row r="399" spans="1:5" ht="12.75">
      <c r="A399" s="429"/>
      <c r="B399" s="429"/>
      <c r="C399" s="430"/>
      <c r="D399" s="429"/>
      <c r="E399" s="429"/>
    </row>
    <row r="400" spans="1:5" ht="12.75">
      <c r="A400" s="429"/>
      <c r="B400" s="429"/>
      <c r="C400" s="430"/>
      <c r="D400" s="429"/>
      <c r="E400" s="429"/>
    </row>
    <row r="401" spans="1:5" ht="12.75">
      <c r="A401" s="429"/>
      <c r="B401" s="429"/>
      <c r="C401" s="430"/>
      <c r="D401" s="429"/>
      <c r="E401" s="429"/>
    </row>
    <row r="402" spans="1:5" ht="12.75">
      <c r="A402" s="429"/>
      <c r="B402" s="429"/>
      <c r="C402" s="430"/>
      <c r="D402" s="429"/>
      <c r="E402" s="429"/>
    </row>
    <row r="403" spans="1:5" ht="12.75">
      <c r="A403" s="429"/>
      <c r="B403" s="429"/>
      <c r="C403" s="430"/>
      <c r="D403" s="429"/>
      <c r="E403" s="429"/>
    </row>
    <row r="404" spans="1:5" ht="12.75">
      <c r="A404" s="429"/>
      <c r="B404" s="429"/>
      <c r="C404" s="430"/>
      <c r="D404" s="429"/>
      <c r="E404" s="429"/>
    </row>
    <row r="405" spans="1:5" ht="12.75">
      <c r="A405" s="429"/>
      <c r="B405" s="429"/>
      <c r="C405" s="430"/>
      <c r="D405" s="429"/>
      <c r="E405" s="429"/>
    </row>
    <row r="406" spans="1:5" ht="12.75">
      <c r="A406" s="429"/>
      <c r="B406" s="429"/>
      <c r="C406" s="430"/>
      <c r="D406" s="429"/>
      <c r="E406" s="429"/>
    </row>
    <row r="407" spans="1:5" ht="12.75">
      <c r="A407" s="429"/>
      <c r="B407" s="429"/>
      <c r="C407" s="430"/>
      <c r="D407" s="429"/>
      <c r="E407" s="429"/>
    </row>
    <row r="408" spans="1:5" ht="12.75">
      <c r="A408" s="429"/>
      <c r="B408" s="429"/>
      <c r="C408" s="430"/>
      <c r="D408" s="429"/>
      <c r="E408" s="429"/>
    </row>
    <row r="409" spans="1:5" ht="12.75">
      <c r="A409" s="429"/>
      <c r="B409" s="429"/>
      <c r="C409" s="430"/>
      <c r="D409" s="429"/>
      <c r="E409" s="429"/>
    </row>
    <row r="410" spans="1:5" ht="12.75">
      <c r="A410" s="429"/>
      <c r="B410" s="429"/>
      <c r="C410" s="430"/>
      <c r="D410" s="429"/>
      <c r="E410" s="429"/>
    </row>
    <row r="411" spans="1:5" ht="12.75">
      <c r="A411" s="429"/>
      <c r="B411" s="429"/>
      <c r="C411" s="430"/>
      <c r="D411" s="429"/>
      <c r="E411" s="429"/>
    </row>
    <row r="412" spans="1:5" ht="12.75">
      <c r="A412" s="429"/>
      <c r="B412" s="429"/>
      <c r="C412" s="430"/>
      <c r="D412" s="429"/>
      <c r="E412" s="429"/>
    </row>
    <row r="413" spans="1:5" ht="12.75">
      <c r="A413" s="429"/>
      <c r="B413" s="429"/>
      <c r="C413" s="430"/>
      <c r="D413" s="429"/>
      <c r="E413" s="429"/>
    </row>
    <row r="414" spans="1:5" ht="12.75">
      <c r="A414" s="429"/>
      <c r="B414" s="429"/>
      <c r="C414" s="430"/>
      <c r="D414" s="429"/>
      <c r="E414" s="429"/>
    </row>
    <row r="415" spans="1:5" ht="12.75">
      <c r="A415" s="429"/>
      <c r="B415" s="429"/>
      <c r="C415" s="430"/>
      <c r="D415" s="429"/>
      <c r="E415" s="429"/>
    </row>
    <row r="416" spans="1:5" ht="12.75">
      <c r="A416" s="429"/>
      <c r="B416" s="429"/>
      <c r="C416" s="430"/>
      <c r="D416" s="429"/>
      <c r="E416" s="429"/>
    </row>
    <row r="417" spans="1:5" ht="12.75">
      <c r="A417" s="429"/>
      <c r="B417" s="429"/>
      <c r="C417" s="430"/>
      <c r="D417" s="429"/>
      <c r="E417" s="429"/>
    </row>
    <row r="418" spans="1:5" ht="12.75">
      <c r="A418" s="429"/>
      <c r="B418" s="429"/>
      <c r="C418" s="430"/>
      <c r="D418" s="429"/>
      <c r="E418" s="429"/>
    </row>
    <row r="419" spans="1:5" ht="12.75">
      <c r="A419" s="429"/>
      <c r="B419" s="429"/>
      <c r="C419" s="430"/>
      <c r="D419" s="429"/>
      <c r="E419" s="429"/>
    </row>
    <row r="420" spans="1:5" ht="12.75">
      <c r="A420" s="429"/>
      <c r="B420" s="429"/>
      <c r="C420" s="430"/>
      <c r="D420" s="429"/>
      <c r="E420" s="429"/>
    </row>
    <row r="421" spans="1:5" ht="12.75">
      <c r="A421" s="429"/>
      <c r="B421" s="429"/>
      <c r="C421" s="430"/>
      <c r="D421" s="429"/>
      <c r="E421" s="429"/>
    </row>
    <row r="422" spans="1:5" ht="12.75">
      <c r="A422" s="429"/>
      <c r="B422" s="429"/>
      <c r="C422" s="430"/>
      <c r="D422" s="429"/>
      <c r="E422" s="429"/>
    </row>
    <row r="423" spans="1:5" ht="12.75">
      <c r="A423" s="429"/>
      <c r="B423" s="429"/>
      <c r="C423" s="430"/>
      <c r="D423" s="429"/>
      <c r="E423" s="429"/>
    </row>
    <row r="424" spans="1:5" ht="12.75">
      <c r="A424" s="429"/>
      <c r="B424" s="429"/>
      <c r="C424" s="430"/>
      <c r="D424" s="429"/>
      <c r="E424" s="429"/>
    </row>
    <row r="425" spans="1:5" ht="12.75">
      <c r="A425" s="429"/>
      <c r="B425" s="429"/>
      <c r="C425" s="430"/>
      <c r="D425" s="429"/>
      <c r="E425" s="429"/>
    </row>
    <row r="426" spans="1:5" ht="12.75">
      <c r="A426" s="429"/>
      <c r="B426" s="429"/>
      <c r="C426" s="430"/>
      <c r="D426" s="429"/>
      <c r="E426" s="429"/>
    </row>
    <row r="427" spans="1:5" ht="12.75">
      <c r="A427" s="429"/>
      <c r="B427" s="429"/>
      <c r="C427" s="430"/>
      <c r="D427" s="429"/>
      <c r="E427" s="429"/>
    </row>
    <row r="428" spans="1:5" ht="12.75">
      <c r="A428" s="429"/>
      <c r="B428" s="429"/>
      <c r="C428" s="430"/>
      <c r="D428" s="429"/>
      <c r="E428" s="429"/>
    </row>
    <row r="429" spans="1:5" ht="12.75">
      <c r="A429" s="429"/>
      <c r="B429" s="429"/>
      <c r="C429" s="430"/>
      <c r="D429" s="429"/>
      <c r="E429" s="429"/>
    </row>
    <row r="430" spans="1:5" ht="12.75">
      <c r="A430" s="429"/>
      <c r="B430" s="429"/>
      <c r="C430" s="430"/>
      <c r="D430" s="429"/>
      <c r="E430" s="429"/>
    </row>
    <row r="431" spans="1:5" ht="12.75">
      <c r="A431" s="429"/>
      <c r="B431" s="429"/>
      <c r="C431" s="430"/>
      <c r="D431" s="429"/>
      <c r="E431" s="429"/>
    </row>
    <row r="432" spans="2:5" ht="12.75">
      <c r="B432" s="326"/>
      <c r="C432" s="323"/>
      <c r="D432" s="326"/>
      <c r="E432" s="326"/>
    </row>
    <row r="433" spans="2:5" ht="12.75">
      <c r="B433" s="326"/>
      <c r="C433" s="323"/>
      <c r="D433" s="326"/>
      <c r="E433" s="326"/>
    </row>
    <row r="434" spans="2:5" ht="12.75">
      <c r="B434" s="326"/>
      <c r="C434" s="323"/>
      <c r="D434" s="326"/>
      <c r="E434" s="326"/>
    </row>
    <row r="435" spans="2:5" ht="12.75">
      <c r="B435" s="326"/>
      <c r="C435" s="323"/>
      <c r="D435" s="326"/>
      <c r="E435" s="326"/>
    </row>
    <row r="436" spans="2:5" ht="12.75">
      <c r="B436" s="326"/>
      <c r="C436" s="323"/>
      <c r="D436" s="326"/>
      <c r="E436" s="326"/>
    </row>
    <row r="437" spans="2:5" ht="12.75">
      <c r="B437" s="326"/>
      <c r="C437" s="323"/>
      <c r="D437" s="326"/>
      <c r="E437" s="326"/>
    </row>
    <row r="438" spans="2:5" ht="12.75">
      <c r="B438" s="326"/>
      <c r="C438" s="323"/>
      <c r="D438" s="326"/>
      <c r="E438" s="326"/>
    </row>
    <row r="439" spans="2:5" ht="12.75">
      <c r="B439" s="326"/>
      <c r="C439" s="323"/>
      <c r="D439" s="326"/>
      <c r="E439" s="326"/>
    </row>
    <row r="440" spans="2:5" ht="12.75">
      <c r="B440" s="326"/>
      <c r="C440" s="323"/>
      <c r="D440" s="326"/>
      <c r="E440" s="326"/>
    </row>
    <row r="441" spans="2:5" ht="12.75">
      <c r="B441" s="326"/>
      <c r="C441" s="323"/>
      <c r="D441" s="326"/>
      <c r="E441" s="326"/>
    </row>
    <row r="442" spans="2:5" ht="12.75">
      <c r="B442" s="326"/>
      <c r="C442" s="323"/>
      <c r="D442" s="326"/>
      <c r="E442" s="326"/>
    </row>
    <row r="443" spans="2:5" ht="12.75">
      <c r="B443" s="326"/>
      <c r="C443" s="323"/>
      <c r="D443" s="326"/>
      <c r="E443" s="326"/>
    </row>
    <row r="444" spans="2:5" ht="12.75">
      <c r="B444" s="326"/>
      <c r="C444" s="323"/>
      <c r="D444" s="326"/>
      <c r="E444" s="326"/>
    </row>
    <row r="445" spans="2:5" ht="12.75">
      <c r="B445" s="326"/>
      <c r="C445" s="323"/>
      <c r="D445" s="326"/>
      <c r="E445" s="326"/>
    </row>
    <row r="446" spans="2:5" ht="12.75">
      <c r="B446" s="326"/>
      <c r="C446" s="323"/>
      <c r="D446" s="326"/>
      <c r="E446" s="326"/>
    </row>
    <row r="447" spans="2:5" ht="12.75">
      <c r="B447" s="326"/>
      <c r="C447" s="323"/>
      <c r="D447" s="326"/>
      <c r="E447" s="326"/>
    </row>
    <row r="448" spans="2:5" ht="12.75">
      <c r="B448" s="326"/>
      <c r="C448" s="323"/>
      <c r="D448" s="326"/>
      <c r="E448" s="326"/>
    </row>
    <row r="449" spans="2:5" ht="12.75">
      <c r="B449" s="326"/>
      <c r="C449" s="323"/>
      <c r="D449" s="326"/>
      <c r="E449" s="326"/>
    </row>
    <row r="450" spans="2:5" ht="12.75">
      <c r="B450" s="326"/>
      <c r="C450" s="323"/>
      <c r="D450" s="326"/>
      <c r="E450" s="326"/>
    </row>
    <row r="451" spans="2:5" ht="12.75">
      <c r="B451" s="326"/>
      <c r="C451" s="323"/>
      <c r="D451" s="326"/>
      <c r="E451" s="326"/>
    </row>
    <row r="452" spans="2:5" ht="12.75">
      <c r="B452" s="326"/>
      <c r="C452" s="323"/>
      <c r="D452" s="326"/>
      <c r="E452" s="326"/>
    </row>
    <row r="453" spans="2:5" ht="12.75">
      <c r="B453" s="326"/>
      <c r="C453" s="323"/>
      <c r="D453" s="326"/>
      <c r="E453" s="326"/>
    </row>
    <row r="454" spans="2:5" ht="12.75">
      <c r="B454" s="326"/>
      <c r="C454" s="323"/>
      <c r="D454" s="326"/>
      <c r="E454" s="326"/>
    </row>
    <row r="455" spans="2:5" ht="12.75">
      <c r="B455" s="326"/>
      <c r="C455" s="323"/>
      <c r="D455" s="326"/>
      <c r="E455" s="326"/>
    </row>
    <row r="456" spans="2:5" ht="12.75">
      <c r="B456" s="326"/>
      <c r="C456" s="323"/>
      <c r="D456" s="326"/>
      <c r="E456" s="326"/>
    </row>
    <row r="457" spans="2:5" ht="12.75">
      <c r="B457" s="326"/>
      <c r="C457" s="323"/>
      <c r="D457" s="326"/>
      <c r="E457" s="326"/>
    </row>
    <row r="458" spans="2:5" ht="12.75">
      <c r="B458" s="326"/>
      <c r="C458" s="323"/>
      <c r="D458" s="326"/>
      <c r="E458" s="326"/>
    </row>
    <row r="459" spans="2:5" ht="12.75">
      <c r="B459" s="326"/>
      <c r="C459" s="323"/>
      <c r="D459" s="326"/>
      <c r="E459" s="326"/>
    </row>
    <row r="460" spans="2:5" ht="12.75">
      <c r="B460" s="326"/>
      <c r="C460" s="323"/>
      <c r="D460" s="326"/>
      <c r="E460" s="326"/>
    </row>
    <row r="461" spans="2:5" ht="12.75">
      <c r="B461" s="326"/>
      <c r="C461" s="323"/>
      <c r="D461" s="326"/>
      <c r="E461" s="326"/>
    </row>
    <row r="462" spans="2:5" ht="12.75">
      <c r="B462" s="326"/>
      <c r="C462" s="323"/>
      <c r="D462" s="326"/>
      <c r="E462" s="326"/>
    </row>
    <row r="463" spans="2:5" ht="12.75">
      <c r="B463" s="326"/>
      <c r="C463" s="323"/>
      <c r="D463" s="326"/>
      <c r="E463" s="326"/>
    </row>
    <row r="464" spans="2:5" ht="12.75">
      <c r="B464" s="326"/>
      <c r="C464" s="323"/>
      <c r="D464" s="326"/>
      <c r="E464" s="326"/>
    </row>
    <row r="465" spans="2:5" ht="12.75">
      <c r="B465" s="326"/>
      <c r="C465" s="323"/>
      <c r="D465" s="326"/>
      <c r="E465" s="326"/>
    </row>
    <row r="466" spans="2:5" ht="12.75">
      <c r="B466" s="326"/>
      <c r="C466" s="323"/>
      <c r="D466" s="326"/>
      <c r="E466" s="326"/>
    </row>
    <row r="467" spans="2:5" ht="12.75">
      <c r="B467" s="326"/>
      <c r="C467" s="323"/>
      <c r="D467" s="326"/>
      <c r="E467" s="326"/>
    </row>
    <row r="468" spans="2:5" ht="12.75">
      <c r="B468" s="326"/>
      <c r="C468" s="323"/>
      <c r="D468" s="326"/>
      <c r="E468" s="326"/>
    </row>
    <row r="469" spans="2:5" ht="12.75">
      <c r="B469" s="326"/>
      <c r="C469" s="323"/>
      <c r="D469" s="326"/>
      <c r="E469" s="326"/>
    </row>
    <row r="470" spans="2:5" ht="12.75">
      <c r="B470" s="326"/>
      <c r="C470" s="323"/>
      <c r="D470" s="326"/>
      <c r="E470" s="326"/>
    </row>
    <row r="471" spans="2:5" ht="12.75">
      <c r="B471" s="326"/>
      <c r="C471" s="323"/>
      <c r="D471" s="326"/>
      <c r="E471" s="326"/>
    </row>
    <row r="472" spans="2:5" ht="12.75">
      <c r="B472" s="326"/>
      <c r="C472" s="323"/>
      <c r="D472" s="326"/>
      <c r="E472" s="326"/>
    </row>
    <row r="473" spans="2:5" ht="12.75">
      <c r="B473" s="326"/>
      <c r="C473" s="323"/>
      <c r="D473" s="326"/>
      <c r="E473" s="326"/>
    </row>
    <row r="474" spans="2:5" ht="12.75">
      <c r="B474" s="326"/>
      <c r="C474" s="323"/>
      <c r="D474" s="326"/>
      <c r="E474" s="326"/>
    </row>
    <row r="475" spans="2:5" ht="12.75">
      <c r="B475" s="326"/>
      <c r="C475" s="323"/>
      <c r="D475" s="326"/>
      <c r="E475" s="326"/>
    </row>
    <row r="476" spans="2:5" ht="12.75">
      <c r="B476" s="326"/>
      <c r="C476" s="323"/>
      <c r="D476" s="326"/>
      <c r="E476" s="326"/>
    </row>
    <row r="477" spans="2:5" ht="12.75">
      <c r="B477" s="326"/>
      <c r="C477" s="323"/>
      <c r="D477" s="326"/>
      <c r="E477" s="326"/>
    </row>
    <row r="478" spans="2:5" ht="12.75">
      <c r="B478" s="326"/>
      <c r="C478" s="323"/>
      <c r="D478" s="326"/>
      <c r="E478" s="326"/>
    </row>
    <row r="479" spans="2:5" ht="12.75">
      <c r="B479" s="326"/>
      <c r="C479" s="323"/>
      <c r="D479" s="326"/>
      <c r="E479" s="326"/>
    </row>
    <row r="480" spans="2:5" ht="12.75">
      <c r="B480" s="326"/>
      <c r="C480" s="323"/>
      <c r="D480" s="326"/>
      <c r="E480" s="326"/>
    </row>
    <row r="481" spans="2:5" ht="12.75">
      <c r="B481" s="326"/>
      <c r="C481" s="323"/>
      <c r="D481" s="326"/>
      <c r="E481" s="326"/>
    </row>
    <row r="482" spans="2:5" ht="12.75">
      <c r="B482" s="326"/>
      <c r="C482" s="323"/>
      <c r="D482" s="326"/>
      <c r="E482" s="326"/>
    </row>
    <row r="483" spans="2:5" ht="12.75">
      <c r="B483" s="326"/>
      <c r="C483" s="323"/>
      <c r="D483" s="326"/>
      <c r="E483" s="326"/>
    </row>
    <row r="484" spans="2:5" ht="12.75">
      <c r="B484" s="326"/>
      <c r="C484" s="323"/>
      <c r="D484" s="326"/>
      <c r="E484" s="326"/>
    </row>
    <row r="485" spans="2:5" ht="12.75">
      <c r="B485" s="326"/>
      <c r="C485" s="323"/>
      <c r="D485" s="326"/>
      <c r="E485" s="326"/>
    </row>
    <row r="486" spans="2:5" ht="12.75">
      <c r="B486" s="326"/>
      <c r="C486" s="323"/>
      <c r="D486" s="326"/>
      <c r="E486" s="326"/>
    </row>
    <row r="487" spans="2:5" ht="12.75">
      <c r="B487" s="326"/>
      <c r="C487" s="323"/>
      <c r="D487" s="326"/>
      <c r="E487" s="326"/>
    </row>
    <row r="488" spans="2:5" ht="12.75">
      <c r="B488" s="326"/>
      <c r="C488" s="323"/>
      <c r="D488" s="326"/>
      <c r="E488" s="326"/>
    </row>
    <row r="489" spans="2:5" ht="12.75">
      <c r="B489" s="326"/>
      <c r="C489" s="323"/>
      <c r="D489" s="326"/>
      <c r="E489" s="326"/>
    </row>
    <row r="490" spans="2:5" ht="12.75">
      <c r="B490" s="326"/>
      <c r="C490" s="323"/>
      <c r="D490" s="326"/>
      <c r="E490" s="326"/>
    </row>
    <row r="491" spans="2:5" ht="12.75">
      <c r="B491" s="326"/>
      <c r="C491" s="323"/>
      <c r="D491" s="326"/>
      <c r="E491" s="326"/>
    </row>
    <row r="492" spans="2:5" ht="12.75">
      <c r="B492" s="326"/>
      <c r="C492" s="323"/>
      <c r="D492" s="326"/>
      <c r="E492" s="326"/>
    </row>
    <row r="493" spans="2:5" ht="12.75">
      <c r="B493" s="326"/>
      <c r="C493" s="323"/>
      <c r="D493" s="326"/>
      <c r="E493" s="326"/>
    </row>
    <row r="494" spans="2:5" ht="12.75">
      <c r="B494" s="326"/>
      <c r="C494" s="323"/>
      <c r="D494" s="326"/>
      <c r="E494" s="326"/>
    </row>
    <row r="495" spans="2:5" ht="12.75">
      <c r="B495" s="326"/>
      <c r="C495" s="323"/>
      <c r="D495" s="326"/>
      <c r="E495" s="326"/>
    </row>
    <row r="496" spans="2:5" ht="12.75">
      <c r="B496" s="326"/>
      <c r="C496" s="323"/>
      <c r="D496" s="326"/>
      <c r="E496" s="326"/>
    </row>
    <row r="497" spans="2:5" ht="12.75">
      <c r="B497" s="326"/>
      <c r="C497" s="323"/>
      <c r="D497" s="326"/>
      <c r="E497" s="326"/>
    </row>
    <row r="498" spans="2:5" ht="12.75">
      <c r="B498" s="326"/>
      <c r="C498" s="323"/>
      <c r="D498" s="326"/>
      <c r="E498" s="326"/>
    </row>
    <row r="499" spans="2:5" ht="12.75">
      <c r="B499" s="326"/>
      <c r="C499" s="323"/>
      <c r="D499" s="326"/>
      <c r="E499" s="326"/>
    </row>
    <row r="500" spans="2:5" ht="12.75">
      <c r="B500" s="326"/>
      <c r="C500" s="323"/>
      <c r="D500" s="326"/>
      <c r="E500" s="326"/>
    </row>
    <row r="501" spans="2:5" ht="12.75">
      <c r="B501" s="326"/>
      <c r="C501" s="323"/>
      <c r="D501" s="326"/>
      <c r="E501" s="326"/>
    </row>
    <row r="502" spans="2:5" ht="12.75">
      <c r="B502" s="326"/>
      <c r="C502" s="323"/>
      <c r="D502" s="326"/>
      <c r="E502" s="326"/>
    </row>
    <row r="503" spans="2:5" ht="12.75">
      <c r="B503" s="326"/>
      <c r="C503" s="323"/>
      <c r="D503" s="326"/>
      <c r="E503" s="326"/>
    </row>
    <row r="504" spans="2:5" ht="12.75">
      <c r="B504" s="326"/>
      <c r="C504" s="323"/>
      <c r="D504" s="326"/>
      <c r="E504" s="326"/>
    </row>
    <row r="505" spans="2:5" ht="12.75">
      <c r="B505" s="326"/>
      <c r="C505" s="323"/>
      <c r="D505" s="326"/>
      <c r="E505" s="326"/>
    </row>
    <row r="506" spans="2:5" ht="12.75">
      <c r="B506" s="326"/>
      <c r="C506" s="323"/>
      <c r="D506" s="326"/>
      <c r="E506" s="326"/>
    </row>
    <row r="507" spans="2:5" ht="12.75">
      <c r="B507" s="326"/>
      <c r="C507" s="323"/>
      <c r="D507" s="326"/>
      <c r="E507" s="326"/>
    </row>
    <row r="508" spans="2:5" ht="12.75">
      <c r="B508" s="326"/>
      <c r="C508" s="323"/>
      <c r="D508" s="326"/>
      <c r="E508" s="326"/>
    </row>
    <row r="509" spans="2:5" ht="12.75">
      <c r="B509" s="326"/>
      <c r="C509" s="323"/>
      <c r="D509" s="326"/>
      <c r="E509" s="326"/>
    </row>
    <row r="510" spans="2:5" ht="12.75">
      <c r="B510" s="326"/>
      <c r="C510" s="323"/>
      <c r="D510" s="326"/>
      <c r="E510" s="326"/>
    </row>
    <row r="511" spans="2:5" ht="12.75">
      <c r="B511" s="326"/>
      <c r="C511" s="323"/>
      <c r="D511" s="326"/>
      <c r="E511" s="326"/>
    </row>
    <row r="512" spans="2:5" ht="12.75">
      <c r="B512" s="326"/>
      <c r="C512" s="323"/>
      <c r="D512" s="326"/>
      <c r="E512" s="326"/>
    </row>
    <row r="513" spans="2:5" ht="12.75">
      <c r="B513" s="326"/>
      <c r="C513" s="323"/>
      <c r="D513" s="326"/>
      <c r="E513" s="326"/>
    </row>
    <row r="514" spans="2:5" ht="12.75">
      <c r="B514" s="326"/>
      <c r="C514" s="323"/>
      <c r="D514" s="326"/>
      <c r="E514" s="326"/>
    </row>
    <row r="515" spans="2:5" ht="12.75">
      <c r="B515" s="326"/>
      <c r="C515" s="323"/>
      <c r="D515" s="326"/>
      <c r="E515" s="326"/>
    </row>
    <row r="516" spans="2:5" ht="12.75">
      <c r="B516" s="326"/>
      <c r="C516" s="323"/>
      <c r="D516" s="326"/>
      <c r="E516" s="326"/>
    </row>
    <row r="517" spans="2:5" ht="12.75">
      <c r="B517" s="326"/>
      <c r="C517" s="323"/>
      <c r="D517" s="326"/>
      <c r="E517" s="326"/>
    </row>
    <row r="518" spans="2:5" ht="12.75">
      <c r="B518" s="326"/>
      <c r="C518" s="323"/>
      <c r="D518" s="326"/>
      <c r="E518" s="326"/>
    </row>
    <row r="519" spans="2:5" ht="12.75">
      <c r="B519" s="326"/>
      <c r="C519" s="323"/>
      <c r="D519" s="326"/>
      <c r="E519" s="326"/>
    </row>
    <row r="520" spans="2:5" ht="12.75">
      <c r="B520" s="326"/>
      <c r="C520" s="323"/>
      <c r="D520" s="326"/>
      <c r="E520" s="326"/>
    </row>
    <row r="521" spans="2:5" ht="12.75">
      <c r="B521" s="326"/>
      <c r="C521" s="323"/>
      <c r="D521" s="326"/>
      <c r="E521" s="326"/>
    </row>
    <row r="522" spans="2:5" ht="12.75">
      <c r="B522" s="326"/>
      <c r="C522" s="323"/>
      <c r="D522" s="326"/>
      <c r="E522" s="326"/>
    </row>
    <row r="523" spans="2:5" ht="12.75">
      <c r="B523" s="326"/>
      <c r="C523" s="323"/>
      <c r="D523" s="326"/>
      <c r="E523" s="326"/>
    </row>
    <row r="524" spans="2:5" ht="12.75">
      <c r="B524" s="326"/>
      <c r="C524" s="323"/>
      <c r="D524" s="326"/>
      <c r="E524" s="326"/>
    </row>
    <row r="525" spans="2:5" ht="12.75">
      <c r="B525" s="326"/>
      <c r="C525" s="323"/>
      <c r="D525" s="326"/>
      <c r="E525" s="326"/>
    </row>
    <row r="526" spans="2:5" ht="12.75">
      <c r="B526" s="326"/>
      <c r="C526" s="323"/>
      <c r="D526" s="326"/>
      <c r="E526" s="326"/>
    </row>
    <row r="527" spans="2:5" ht="12.75">
      <c r="B527" s="326"/>
      <c r="C527" s="323"/>
      <c r="D527" s="326"/>
      <c r="E527" s="326"/>
    </row>
    <row r="528" spans="2:5" ht="12.75">
      <c r="B528" s="326"/>
      <c r="C528" s="323"/>
      <c r="D528" s="326"/>
      <c r="E528" s="326"/>
    </row>
    <row r="529" spans="2:5" ht="12.75">
      <c r="B529" s="326"/>
      <c r="C529" s="323"/>
      <c r="D529" s="326"/>
      <c r="E529" s="326"/>
    </row>
    <row r="530" spans="2:5" ht="12.75">
      <c r="B530" s="326"/>
      <c r="C530" s="323"/>
      <c r="D530" s="326"/>
      <c r="E530" s="326"/>
    </row>
    <row r="531" spans="2:5" ht="12.75">
      <c r="B531" s="326"/>
      <c r="C531" s="323"/>
      <c r="D531" s="326"/>
      <c r="E531" s="326"/>
    </row>
    <row r="532" spans="2:5" ht="12.75">
      <c r="B532" s="326"/>
      <c r="C532" s="323"/>
      <c r="D532" s="326"/>
      <c r="E532" s="326"/>
    </row>
    <row r="533" spans="2:5" ht="12.75">
      <c r="B533" s="326"/>
      <c r="C533" s="323"/>
      <c r="D533" s="326"/>
      <c r="E533" s="326"/>
    </row>
    <row r="534" spans="2:5" ht="12.75">
      <c r="B534" s="326"/>
      <c r="C534" s="323"/>
      <c r="D534" s="326"/>
      <c r="E534" s="326"/>
    </row>
    <row r="535" spans="2:5" ht="12.75">
      <c r="B535" s="326"/>
      <c r="C535" s="323"/>
      <c r="D535" s="326"/>
      <c r="E535" s="326"/>
    </row>
    <row r="536" spans="2:5" ht="12.75">
      <c r="B536" s="326"/>
      <c r="C536" s="323"/>
      <c r="D536" s="326"/>
      <c r="E536" s="326"/>
    </row>
    <row r="537" spans="2:5" ht="12.75">
      <c r="B537" s="326"/>
      <c r="C537" s="323"/>
      <c r="D537" s="326"/>
      <c r="E537" s="326"/>
    </row>
    <row r="538" spans="2:5" ht="12.75">
      <c r="B538" s="326"/>
      <c r="C538" s="323"/>
      <c r="D538" s="326"/>
      <c r="E538" s="326"/>
    </row>
    <row r="539" spans="2:5" ht="12.75">
      <c r="B539" s="326"/>
      <c r="C539" s="323"/>
      <c r="D539" s="326"/>
      <c r="E539" s="326"/>
    </row>
    <row r="540" spans="2:5" ht="12.75">
      <c r="B540" s="326"/>
      <c r="C540" s="323"/>
      <c r="D540" s="326"/>
      <c r="E540" s="326"/>
    </row>
    <row r="541" spans="2:5" ht="12.75">
      <c r="B541" s="326"/>
      <c r="C541" s="323"/>
      <c r="D541" s="326"/>
      <c r="E541" s="326"/>
    </row>
    <row r="542" spans="2:5" ht="12.75">
      <c r="B542" s="326"/>
      <c r="C542" s="323"/>
      <c r="D542" s="326"/>
      <c r="E542" s="326"/>
    </row>
    <row r="543" spans="2:5" ht="12.75">
      <c r="B543" s="326"/>
      <c r="C543" s="323"/>
      <c r="D543" s="326"/>
      <c r="E543" s="326"/>
    </row>
    <row r="544" spans="2:5" ht="12.75">
      <c r="B544" s="326"/>
      <c r="C544" s="323"/>
      <c r="D544" s="326"/>
      <c r="E544" s="326"/>
    </row>
    <row r="545" spans="2:5" ht="12.75">
      <c r="B545" s="326"/>
      <c r="C545" s="323"/>
      <c r="D545" s="326"/>
      <c r="E545" s="326"/>
    </row>
    <row r="546" spans="2:5" ht="12.75">
      <c r="B546" s="326"/>
      <c r="C546" s="323"/>
      <c r="D546" s="326"/>
      <c r="E546" s="326"/>
    </row>
    <row r="547" spans="2:5" ht="12.75">
      <c r="B547" s="326"/>
      <c r="C547" s="323"/>
      <c r="D547" s="326"/>
      <c r="E547" s="326"/>
    </row>
    <row r="548" spans="2:5" ht="12.75">
      <c r="B548" s="326"/>
      <c r="C548" s="323"/>
      <c r="D548" s="326"/>
      <c r="E548" s="326"/>
    </row>
    <row r="549" spans="2:5" ht="12.75">
      <c r="B549" s="326"/>
      <c r="C549" s="323"/>
      <c r="D549" s="326"/>
      <c r="E549" s="326"/>
    </row>
    <row r="550" spans="2:5" ht="12.75">
      <c r="B550" s="326"/>
      <c r="C550" s="323"/>
      <c r="D550" s="326"/>
      <c r="E550" s="326"/>
    </row>
    <row r="551" spans="2:5" ht="12.75">
      <c r="B551" s="326"/>
      <c r="C551" s="323"/>
      <c r="D551" s="326"/>
      <c r="E551" s="326"/>
    </row>
    <row r="552" spans="2:5" ht="12.75">
      <c r="B552" s="326"/>
      <c r="C552" s="323"/>
      <c r="D552" s="326"/>
      <c r="E552" s="326"/>
    </row>
    <row r="553" spans="2:5" ht="12.75">
      <c r="B553" s="326"/>
      <c r="C553" s="323"/>
      <c r="D553" s="326"/>
      <c r="E553" s="326"/>
    </row>
    <row r="554" spans="2:5" ht="12.75">
      <c r="B554" s="326"/>
      <c r="C554" s="323"/>
      <c r="D554" s="326"/>
      <c r="E554" s="326"/>
    </row>
    <row r="555" spans="2:5" ht="12.75">
      <c r="B555" s="326"/>
      <c r="C555" s="323"/>
      <c r="D555" s="326"/>
      <c r="E555" s="326"/>
    </row>
    <row r="556" spans="2:5" ht="12.75">
      <c r="B556" s="326"/>
      <c r="C556" s="323"/>
      <c r="D556" s="326"/>
      <c r="E556" s="326"/>
    </row>
    <row r="557" spans="2:5" ht="12.75">
      <c r="B557" s="326"/>
      <c r="C557" s="323"/>
      <c r="D557" s="326"/>
      <c r="E557" s="326"/>
    </row>
    <row r="558" spans="2:5" ht="12.75">
      <c r="B558" s="326"/>
      <c r="C558" s="323"/>
      <c r="D558" s="326"/>
      <c r="E558" s="326"/>
    </row>
    <row r="559" spans="2:5" ht="12.75">
      <c r="B559" s="326"/>
      <c r="C559" s="323"/>
      <c r="D559" s="326"/>
      <c r="E559" s="326"/>
    </row>
    <row r="560" spans="2:5" ht="12.75">
      <c r="B560" s="326"/>
      <c r="C560" s="323"/>
      <c r="D560" s="326"/>
      <c r="E560" s="326"/>
    </row>
    <row r="561" spans="2:5" ht="12.75">
      <c r="B561" s="326"/>
      <c r="C561" s="323"/>
      <c r="D561" s="326"/>
      <c r="E561" s="326"/>
    </row>
    <row r="562" spans="2:5" ht="12.75">
      <c r="B562" s="326"/>
      <c r="C562" s="323"/>
      <c r="D562" s="326"/>
      <c r="E562" s="326"/>
    </row>
    <row r="563" spans="2:5" ht="12.75">
      <c r="B563" s="326"/>
      <c r="C563" s="323"/>
      <c r="D563" s="326"/>
      <c r="E563" s="326"/>
    </row>
    <row r="564" spans="2:5" ht="12.75">
      <c r="B564" s="326"/>
      <c r="C564" s="323"/>
      <c r="D564" s="326"/>
      <c r="E564" s="326"/>
    </row>
    <row r="565" spans="2:5" ht="12.75">
      <c r="B565" s="326"/>
      <c r="C565" s="323"/>
      <c r="D565" s="326"/>
      <c r="E565" s="326"/>
    </row>
    <row r="566" spans="2:5" ht="12.75">
      <c r="B566" s="326"/>
      <c r="C566" s="323"/>
      <c r="D566" s="326"/>
      <c r="E566" s="326"/>
    </row>
    <row r="567" spans="2:5" ht="12.75">
      <c r="B567" s="326"/>
      <c r="C567" s="323"/>
      <c r="D567" s="326"/>
      <c r="E567" s="326"/>
    </row>
    <row r="568" spans="2:5" ht="12.75">
      <c r="B568" s="326"/>
      <c r="C568" s="323"/>
      <c r="D568" s="326"/>
      <c r="E568" s="326"/>
    </row>
    <row r="569" spans="2:5" ht="12.75">
      <c r="B569" s="326"/>
      <c r="C569" s="323"/>
      <c r="D569" s="326"/>
      <c r="E569" s="326"/>
    </row>
    <row r="570" spans="2:5" ht="12.75">
      <c r="B570" s="326"/>
      <c r="C570" s="323"/>
      <c r="D570" s="326"/>
      <c r="E570" s="326"/>
    </row>
    <row r="571" spans="2:5" ht="12.75">
      <c r="B571" s="326"/>
      <c r="C571" s="323"/>
      <c r="D571" s="326"/>
      <c r="E571" s="326"/>
    </row>
    <row r="572" spans="2:5" ht="12.75">
      <c r="B572" s="326"/>
      <c r="C572" s="323"/>
      <c r="D572" s="326"/>
      <c r="E572" s="326"/>
    </row>
    <row r="573" spans="2:5" ht="12.75">
      <c r="B573" s="326"/>
      <c r="C573" s="323"/>
      <c r="D573" s="326"/>
      <c r="E573" s="326"/>
    </row>
    <row r="574" spans="2:5" ht="12.75">
      <c r="B574" s="326"/>
      <c r="C574" s="323"/>
      <c r="D574" s="326"/>
      <c r="E574" s="326"/>
    </row>
    <row r="575" spans="2:5" ht="12.75">
      <c r="B575" s="326"/>
      <c r="C575" s="323"/>
      <c r="D575" s="326"/>
      <c r="E575" s="326"/>
    </row>
    <row r="576" spans="2:5" ht="12.75">
      <c r="B576" s="326"/>
      <c r="C576" s="323"/>
      <c r="D576" s="326"/>
      <c r="E576" s="326"/>
    </row>
    <row r="577" spans="2:5" ht="12.75">
      <c r="B577" s="326"/>
      <c r="C577" s="323"/>
      <c r="D577" s="326"/>
      <c r="E577" s="326"/>
    </row>
    <row r="578" spans="2:5" ht="12.75">
      <c r="B578" s="326"/>
      <c r="C578" s="323"/>
      <c r="D578" s="326"/>
      <c r="E578" s="326"/>
    </row>
    <row r="579" spans="2:5" ht="12.75">
      <c r="B579" s="326"/>
      <c r="C579" s="323"/>
      <c r="D579" s="326"/>
      <c r="E579" s="326"/>
    </row>
    <row r="580" spans="2:5" ht="12.75">
      <c r="B580" s="326"/>
      <c r="C580" s="323"/>
      <c r="D580" s="326"/>
      <c r="E580" s="326"/>
    </row>
    <row r="581" spans="2:5" ht="12.75">
      <c r="B581" s="326"/>
      <c r="C581" s="323"/>
      <c r="D581" s="326"/>
      <c r="E581" s="326"/>
    </row>
    <row r="582" spans="2:5" ht="12.75">
      <c r="B582" s="326"/>
      <c r="C582" s="323"/>
      <c r="D582" s="326"/>
      <c r="E582" s="326"/>
    </row>
    <row r="583" spans="2:5" ht="12.75">
      <c r="B583" s="326"/>
      <c r="C583" s="323"/>
      <c r="D583" s="326"/>
      <c r="E583" s="326"/>
    </row>
    <row r="584" spans="2:5" ht="12.75">
      <c r="B584" s="326"/>
      <c r="C584" s="323"/>
      <c r="D584" s="326"/>
      <c r="E584" s="326"/>
    </row>
    <row r="585" spans="2:5" ht="12.75">
      <c r="B585" s="326"/>
      <c r="C585" s="323"/>
      <c r="D585" s="326"/>
      <c r="E585" s="326"/>
    </row>
    <row r="586" spans="2:5" ht="12.75">
      <c r="B586" s="326"/>
      <c r="C586" s="323"/>
      <c r="D586" s="326"/>
      <c r="E586" s="326"/>
    </row>
    <row r="587" spans="2:5" ht="12.75">
      <c r="B587" s="326"/>
      <c r="C587" s="323"/>
      <c r="D587" s="326"/>
      <c r="E587" s="326"/>
    </row>
    <row r="588" spans="2:5" ht="12.75">
      <c r="B588" s="326"/>
      <c r="C588" s="323"/>
      <c r="D588" s="326"/>
      <c r="E588" s="326"/>
    </row>
    <row r="589" spans="2:5" ht="12.75">
      <c r="B589" s="326"/>
      <c r="C589" s="323"/>
      <c r="D589" s="326"/>
      <c r="E589" s="326"/>
    </row>
    <row r="590" spans="2:5" ht="12.75">
      <c r="B590" s="326"/>
      <c r="C590" s="323"/>
      <c r="D590" s="326"/>
      <c r="E590" s="326"/>
    </row>
    <row r="591" spans="2:5" ht="12.75">
      <c r="B591" s="326"/>
      <c r="C591" s="323"/>
      <c r="D591" s="326"/>
      <c r="E591" s="326"/>
    </row>
    <row r="592" spans="2:5" ht="12.75">
      <c r="B592" s="326"/>
      <c r="C592" s="323"/>
      <c r="D592" s="326"/>
      <c r="E592" s="326"/>
    </row>
    <row r="593" spans="2:5" ht="12.75">
      <c r="B593" s="326"/>
      <c r="C593" s="323"/>
      <c r="D593" s="326"/>
      <c r="E593" s="326"/>
    </row>
    <row r="594" spans="2:5" ht="12.75">
      <c r="B594" s="326"/>
      <c r="C594" s="323"/>
      <c r="D594" s="326"/>
      <c r="E594" s="326"/>
    </row>
    <row r="595" spans="2:5" ht="12.75">
      <c r="B595" s="326"/>
      <c r="C595" s="323"/>
      <c r="D595" s="326"/>
      <c r="E595" s="326"/>
    </row>
    <row r="596" spans="2:5" ht="12.75">
      <c r="B596" s="326"/>
      <c r="C596" s="323"/>
      <c r="D596" s="326"/>
      <c r="E596" s="326"/>
    </row>
    <row r="597" spans="2:5" ht="12.75">
      <c r="B597" s="326"/>
      <c r="C597" s="323"/>
      <c r="D597" s="326"/>
      <c r="E597" s="326"/>
    </row>
    <row r="598" spans="2:5" ht="12.75">
      <c r="B598" s="326"/>
      <c r="C598" s="323"/>
      <c r="D598" s="326"/>
      <c r="E598" s="326"/>
    </row>
    <row r="599" spans="2:5" ht="12.75">
      <c r="B599" s="326"/>
      <c r="C599" s="323"/>
      <c r="D599" s="326"/>
      <c r="E599" s="326"/>
    </row>
    <row r="600" spans="2:5" ht="12.75">
      <c r="B600" s="326"/>
      <c r="C600" s="323"/>
      <c r="D600" s="326"/>
      <c r="E600" s="326"/>
    </row>
    <row r="601" spans="2:5" ht="12.75">
      <c r="B601" s="326"/>
      <c r="C601" s="323"/>
      <c r="D601" s="326"/>
      <c r="E601" s="326"/>
    </row>
    <row r="602" spans="2:5" ht="12.75">
      <c r="B602" s="326"/>
      <c r="C602" s="323"/>
      <c r="D602" s="326"/>
      <c r="E602" s="326"/>
    </row>
    <row r="603" spans="2:5" ht="12.75">
      <c r="B603" s="326"/>
      <c r="C603" s="323"/>
      <c r="D603" s="326"/>
      <c r="E603" s="326"/>
    </row>
    <row r="604" spans="2:5" ht="12.75">
      <c r="B604" s="326"/>
      <c r="C604" s="323"/>
      <c r="D604" s="326"/>
      <c r="E604" s="326"/>
    </row>
    <row r="605" spans="2:5" ht="12.75">
      <c r="B605" s="326"/>
      <c r="C605" s="323"/>
      <c r="D605" s="326"/>
      <c r="E605" s="326"/>
    </row>
    <row r="606" spans="2:5" ht="12.75">
      <c r="B606" s="326"/>
      <c r="C606" s="323"/>
      <c r="D606" s="326"/>
      <c r="E606" s="326"/>
    </row>
    <row r="607" spans="2:5" ht="12.75">
      <c r="B607" s="326"/>
      <c r="C607" s="323"/>
      <c r="D607" s="326"/>
      <c r="E607" s="326"/>
    </row>
    <row r="608" spans="2:5" ht="12.75">
      <c r="B608" s="326"/>
      <c r="C608" s="323"/>
      <c r="D608" s="326"/>
      <c r="E608" s="326"/>
    </row>
    <row r="609" spans="2:5" ht="12.75">
      <c r="B609" s="326"/>
      <c r="C609" s="323"/>
      <c r="D609" s="326"/>
      <c r="E609" s="326"/>
    </row>
    <row r="610" spans="2:5" ht="12.75">
      <c r="B610" s="326"/>
      <c r="C610" s="323"/>
      <c r="D610" s="326"/>
      <c r="E610" s="326"/>
    </row>
    <row r="611" spans="2:5" ht="12.75">
      <c r="B611" s="326"/>
      <c r="C611" s="323"/>
      <c r="D611" s="326"/>
      <c r="E611" s="326"/>
    </row>
    <row r="612" spans="2:5" ht="12.75">
      <c r="B612" s="326"/>
      <c r="C612" s="323"/>
      <c r="D612" s="326"/>
      <c r="E612" s="326"/>
    </row>
    <row r="613" spans="2:5" ht="12.75">
      <c r="B613" s="326"/>
      <c r="C613" s="323"/>
      <c r="D613" s="326"/>
      <c r="E613" s="326"/>
    </row>
    <row r="614" spans="2:5" ht="12.75">
      <c r="B614" s="326"/>
      <c r="C614" s="323"/>
      <c r="D614" s="326"/>
      <c r="E614" s="326"/>
    </row>
    <row r="615" spans="2:5" ht="12.75">
      <c r="B615" s="326"/>
      <c r="C615" s="323"/>
      <c r="D615" s="326"/>
      <c r="E615" s="326"/>
    </row>
    <row r="616" spans="2:5" ht="12.75">
      <c r="B616" s="326"/>
      <c r="C616" s="323"/>
      <c r="D616" s="326"/>
      <c r="E616" s="326"/>
    </row>
    <row r="617" spans="2:5" ht="12.75">
      <c r="B617" s="326"/>
      <c r="C617" s="323"/>
      <c r="D617" s="326"/>
      <c r="E617" s="326"/>
    </row>
    <row r="618" spans="2:5" ht="12.75">
      <c r="B618" s="326"/>
      <c r="C618" s="323"/>
      <c r="D618" s="326"/>
      <c r="E618" s="326"/>
    </row>
    <row r="619" spans="2:5" ht="12.75">
      <c r="B619" s="326"/>
      <c r="C619" s="323"/>
      <c r="D619" s="326"/>
      <c r="E619" s="326"/>
    </row>
    <row r="620" spans="2:5" ht="12.75">
      <c r="B620" s="326"/>
      <c r="C620" s="323"/>
      <c r="D620" s="326"/>
      <c r="E620" s="326"/>
    </row>
    <row r="621" spans="2:5" ht="12.75">
      <c r="B621" s="326"/>
      <c r="C621" s="323"/>
      <c r="D621" s="326"/>
      <c r="E621" s="326"/>
    </row>
    <row r="622" spans="2:5" ht="12.75">
      <c r="B622" s="326"/>
      <c r="C622" s="323"/>
      <c r="D622" s="326"/>
      <c r="E622" s="326"/>
    </row>
    <row r="623" spans="2:5" ht="12.75">
      <c r="B623" s="326"/>
      <c r="C623" s="323"/>
      <c r="D623" s="326"/>
      <c r="E623" s="326"/>
    </row>
    <row r="624" spans="2:5" ht="12.75">
      <c r="B624" s="326"/>
      <c r="C624" s="323"/>
      <c r="D624" s="326"/>
      <c r="E624" s="326"/>
    </row>
    <row r="625" spans="2:5" ht="12.75">
      <c r="B625" s="326"/>
      <c r="C625" s="323"/>
      <c r="D625" s="326"/>
      <c r="E625" s="326"/>
    </row>
    <row r="626" spans="2:5" ht="12.75">
      <c r="B626" s="326"/>
      <c r="C626" s="323"/>
      <c r="D626" s="326"/>
      <c r="E626" s="326"/>
    </row>
    <row r="627" spans="2:5" ht="12.75">
      <c r="B627" s="326"/>
      <c r="C627" s="323"/>
      <c r="D627" s="326"/>
      <c r="E627" s="326"/>
    </row>
    <row r="628" spans="2:5" ht="12.75">
      <c r="B628" s="326"/>
      <c r="C628" s="323"/>
      <c r="D628" s="326"/>
      <c r="E628" s="326"/>
    </row>
    <row r="629" spans="2:5" ht="12.75">
      <c r="B629" s="326"/>
      <c r="C629" s="323"/>
      <c r="D629" s="326"/>
      <c r="E629" s="326"/>
    </row>
    <row r="630" spans="2:5" ht="12.75">
      <c r="B630" s="326"/>
      <c r="C630" s="323"/>
      <c r="D630" s="326"/>
      <c r="E630" s="326"/>
    </row>
    <row r="631" spans="2:5" ht="12.75">
      <c r="B631" s="326"/>
      <c r="C631" s="323"/>
      <c r="D631" s="326"/>
      <c r="E631" s="326"/>
    </row>
    <row r="632" spans="2:5" ht="12.75">
      <c r="B632" s="326"/>
      <c r="C632" s="323"/>
      <c r="D632" s="326"/>
      <c r="E632" s="326"/>
    </row>
    <row r="633" spans="2:5" ht="12.75">
      <c r="B633" s="326"/>
      <c r="C633" s="323"/>
      <c r="D633" s="326"/>
      <c r="E633" s="326"/>
    </row>
    <row r="634" spans="2:5" ht="12.75">
      <c r="B634" s="326"/>
      <c r="C634" s="323"/>
      <c r="D634" s="326"/>
      <c r="E634" s="326"/>
    </row>
    <row r="635" spans="2:5" ht="12.75">
      <c r="B635" s="326"/>
      <c r="C635" s="323"/>
      <c r="D635" s="326"/>
      <c r="E635" s="326"/>
    </row>
    <row r="636" spans="2:5" ht="12.75">
      <c r="B636" s="326"/>
      <c r="C636" s="323"/>
      <c r="D636" s="326"/>
      <c r="E636" s="326"/>
    </row>
    <row r="637" spans="2:5" ht="12.75">
      <c r="B637" s="326"/>
      <c r="C637" s="323"/>
      <c r="D637" s="326"/>
      <c r="E637" s="326"/>
    </row>
    <row r="638" spans="2:5" ht="12.75">
      <c r="B638" s="326"/>
      <c r="C638" s="323"/>
      <c r="D638" s="326"/>
      <c r="E638" s="326"/>
    </row>
    <row r="639" spans="2:5" ht="12.75">
      <c r="B639" s="326"/>
      <c r="C639" s="323"/>
      <c r="D639" s="326"/>
      <c r="E639" s="326"/>
    </row>
    <row r="640" spans="2:5" ht="12.75">
      <c r="B640" s="326"/>
      <c r="C640" s="323"/>
      <c r="D640" s="326"/>
      <c r="E640" s="326"/>
    </row>
    <row r="641" spans="2:5" ht="12.75">
      <c r="B641" s="326"/>
      <c r="C641" s="323"/>
      <c r="D641" s="326"/>
      <c r="E641" s="326"/>
    </row>
    <row r="642" spans="2:5" ht="12.75">
      <c r="B642" s="326"/>
      <c r="C642" s="323"/>
      <c r="D642" s="326"/>
      <c r="E642" s="326"/>
    </row>
    <row r="643" spans="2:5" ht="12.75">
      <c r="B643" s="326"/>
      <c r="C643" s="323"/>
      <c r="D643" s="326"/>
      <c r="E643" s="326"/>
    </row>
    <row r="644" spans="2:5" ht="12.75">
      <c r="B644" s="326"/>
      <c r="C644" s="323"/>
      <c r="D644" s="326"/>
      <c r="E644" s="326"/>
    </row>
    <row r="645" spans="2:5" ht="12.75">
      <c r="B645" s="326"/>
      <c r="C645" s="323"/>
      <c r="D645" s="326"/>
      <c r="E645" s="326"/>
    </row>
    <row r="646" spans="2:5" ht="12.75">
      <c r="B646" s="326"/>
      <c r="C646" s="323"/>
      <c r="D646" s="326"/>
      <c r="E646" s="326"/>
    </row>
    <row r="647" spans="2:5" ht="12.75">
      <c r="B647" s="326"/>
      <c r="C647" s="323"/>
      <c r="D647" s="326"/>
      <c r="E647" s="326"/>
    </row>
    <row r="648" spans="2:5" ht="12.75">
      <c r="B648" s="326"/>
      <c r="C648" s="323"/>
      <c r="D648" s="326"/>
      <c r="E648" s="326"/>
    </row>
    <row r="649" spans="2:5" ht="12.75">
      <c r="B649" s="326"/>
      <c r="C649" s="323"/>
      <c r="D649" s="326"/>
      <c r="E649" s="326"/>
    </row>
    <row r="650" spans="2:5" ht="12.75">
      <c r="B650" s="326"/>
      <c r="C650" s="323"/>
      <c r="D650" s="326"/>
      <c r="E650" s="326"/>
    </row>
    <row r="651" spans="2:5" ht="12.75">
      <c r="B651" s="326"/>
      <c r="C651" s="323"/>
      <c r="D651" s="326"/>
      <c r="E651" s="326"/>
    </row>
    <row r="652" spans="2:5" ht="12.75">
      <c r="B652" s="326"/>
      <c r="C652" s="323"/>
      <c r="D652" s="326"/>
      <c r="E652" s="326"/>
    </row>
    <row r="653" spans="2:5" ht="12.75">
      <c r="B653" s="326"/>
      <c r="C653" s="323"/>
      <c r="D653" s="326"/>
      <c r="E653" s="326"/>
    </row>
    <row r="654" spans="2:5" ht="12.75">
      <c r="B654" s="326"/>
      <c r="C654" s="323"/>
      <c r="D654" s="326"/>
      <c r="E654" s="326"/>
    </row>
    <row r="655" spans="2:5" ht="12.75">
      <c r="B655" s="326"/>
      <c r="C655" s="323"/>
      <c r="D655" s="326"/>
      <c r="E655" s="326"/>
    </row>
    <row r="656" spans="2:5" ht="12.75">
      <c r="B656" s="326"/>
      <c r="C656" s="323"/>
      <c r="D656" s="326"/>
      <c r="E656" s="326"/>
    </row>
    <row r="657" spans="2:5" ht="12.75">
      <c r="B657" s="326"/>
      <c r="C657" s="323"/>
      <c r="D657" s="326"/>
      <c r="E657" s="326"/>
    </row>
    <row r="658" spans="2:5" ht="12.75">
      <c r="B658" s="326"/>
      <c r="C658" s="323"/>
      <c r="D658" s="326"/>
      <c r="E658" s="326"/>
    </row>
    <row r="659" spans="2:5" ht="12.75">
      <c r="B659" s="326"/>
      <c r="C659" s="323"/>
      <c r="D659" s="326"/>
      <c r="E659" s="326"/>
    </row>
    <row r="660" spans="2:5" ht="12.75">
      <c r="B660" s="326"/>
      <c r="C660" s="323"/>
      <c r="D660" s="326"/>
      <c r="E660" s="326"/>
    </row>
    <row r="661" spans="2:5" ht="12.75">
      <c r="B661" s="326"/>
      <c r="C661" s="323"/>
      <c r="D661" s="326"/>
      <c r="E661" s="326"/>
    </row>
    <row r="662" spans="2:5" ht="12.75">
      <c r="B662" s="326"/>
      <c r="C662" s="323"/>
      <c r="D662" s="326"/>
      <c r="E662" s="326"/>
    </row>
    <row r="663" spans="2:5" ht="12.75">
      <c r="B663" s="326"/>
      <c r="C663" s="323"/>
      <c r="D663" s="326"/>
      <c r="E663" s="326"/>
    </row>
    <row r="664" spans="2:5" ht="12.75">
      <c r="B664" s="326"/>
      <c r="C664" s="323"/>
      <c r="D664" s="326"/>
      <c r="E664" s="326"/>
    </row>
    <row r="665" spans="2:5" ht="12.75">
      <c r="B665" s="326"/>
      <c r="C665" s="323"/>
      <c r="D665" s="326"/>
      <c r="E665" s="326"/>
    </row>
    <row r="666" spans="2:5" ht="12.75">
      <c r="B666" s="326"/>
      <c r="C666" s="323"/>
      <c r="D666" s="326"/>
      <c r="E666" s="326"/>
    </row>
    <row r="667" spans="2:5" ht="12.75">
      <c r="B667" s="326"/>
      <c r="C667" s="323"/>
      <c r="D667" s="326"/>
      <c r="E667" s="326"/>
    </row>
    <row r="668" spans="2:5" ht="12.75">
      <c r="B668" s="326"/>
      <c r="C668" s="323"/>
      <c r="D668" s="326"/>
      <c r="E668" s="326"/>
    </row>
    <row r="669" spans="2:5" ht="12.75">
      <c r="B669" s="326"/>
      <c r="C669" s="323"/>
      <c r="D669" s="326"/>
      <c r="E669" s="326"/>
    </row>
    <row r="670" spans="2:5" ht="12.75">
      <c r="B670" s="326"/>
      <c r="C670" s="323"/>
      <c r="D670" s="326"/>
      <c r="E670" s="326"/>
    </row>
    <row r="671" spans="2:5" ht="12.75">
      <c r="B671" s="326"/>
      <c r="C671" s="323"/>
      <c r="D671" s="326"/>
      <c r="E671" s="326"/>
    </row>
    <row r="672" spans="2:5" ht="12.75">
      <c r="B672" s="326"/>
      <c r="C672" s="323"/>
      <c r="D672" s="326"/>
      <c r="E672" s="326"/>
    </row>
    <row r="673" spans="2:5" ht="12.75">
      <c r="B673" s="326"/>
      <c r="C673" s="323"/>
      <c r="D673" s="326"/>
      <c r="E673" s="326"/>
    </row>
    <row r="674" spans="2:5" ht="12.75">
      <c r="B674" s="326"/>
      <c r="C674" s="323"/>
      <c r="D674" s="326"/>
      <c r="E674" s="326"/>
    </row>
    <row r="675" spans="2:5" ht="12.75">
      <c r="B675" s="326"/>
      <c r="C675" s="323"/>
      <c r="D675" s="326"/>
      <c r="E675" s="326"/>
    </row>
    <row r="676" spans="2:5" ht="12.75">
      <c r="B676" s="326"/>
      <c r="C676" s="323"/>
      <c r="D676" s="326"/>
      <c r="E676" s="326"/>
    </row>
    <row r="677" spans="2:5" ht="12.75">
      <c r="B677" s="326"/>
      <c r="C677" s="323"/>
      <c r="D677" s="326"/>
      <c r="E677" s="326"/>
    </row>
    <row r="678" spans="2:5" ht="12.75">
      <c r="B678" s="326"/>
      <c r="C678" s="323"/>
      <c r="D678" s="326"/>
      <c r="E678" s="326"/>
    </row>
    <row r="679" spans="2:5" ht="12.75">
      <c r="B679" s="326"/>
      <c r="C679" s="323"/>
      <c r="D679" s="326"/>
      <c r="E679" s="326"/>
    </row>
    <row r="680" spans="2:5" ht="12.75">
      <c r="B680" s="326"/>
      <c r="C680" s="323"/>
      <c r="D680" s="326"/>
      <c r="E680" s="326"/>
    </row>
    <row r="681" spans="2:5" ht="12.75">
      <c r="B681" s="326"/>
      <c r="C681" s="323"/>
      <c r="D681" s="326"/>
      <c r="E681" s="326"/>
    </row>
    <row r="682" spans="2:5" ht="12.75">
      <c r="B682" s="326"/>
      <c r="C682" s="323"/>
      <c r="D682" s="326"/>
      <c r="E682" s="326"/>
    </row>
    <row r="683" spans="2:5" ht="12.75">
      <c r="B683" s="326"/>
      <c r="C683" s="323"/>
      <c r="D683" s="326"/>
      <c r="E683" s="326"/>
    </row>
    <row r="684" spans="2:5" ht="12.75">
      <c r="B684" s="326"/>
      <c r="C684" s="323"/>
      <c r="D684" s="326"/>
      <c r="E684" s="326"/>
    </row>
    <row r="685" spans="2:5" ht="12.75">
      <c r="B685" s="326"/>
      <c r="C685" s="323"/>
      <c r="D685" s="326"/>
      <c r="E685" s="326"/>
    </row>
    <row r="686" spans="2:5" ht="12.75">
      <c r="B686" s="326"/>
      <c r="C686" s="323"/>
      <c r="D686" s="326"/>
      <c r="E686" s="326"/>
    </row>
    <row r="687" spans="2:5" ht="12.75">
      <c r="B687" s="326"/>
      <c r="C687" s="323"/>
      <c r="D687" s="326"/>
      <c r="E687" s="326"/>
    </row>
    <row r="688" spans="2:5" ht="12.75">
      <c r="B688" s="326"/>
      <c r="C688" s="323"/>
      <c r="D688" s="326"/>
      <c r="E688" s="326"/>
    </row>
    <row r="689" spans="2:5" ht="12.75">
      <c r="B689" s="326"/>
      <c r="C689" s="323"/>
      <c r="D689" s="326"/>
      <c r="E689" s="326"/>
    </row>
    <row r="690" spans="2:5" ht="12.75">
      <c r="B690" s="326"/>
      <c r="C690" s="323"/>
      <c r="D690" s="326"/>
      <c r="E690" s="326"/>
    </row>
    <row r="691" spans="2:5" ht="12.75">
      <c r="B691" s="326"/>
      <c r="C691" s="323"/>
      <c r="D691" s="326"/>
      <c r="E691" s="326"/>
    </row>
    <row r="692" spans="2:5" ht="12.75">
      <c r="B692" s="326"/>
      <c r="C692" s="323"/>
      <c r="D692" s="326"/>
      <c r="E692" s="326"/>
    </row>
    <row r="693" spans="2:5" ht="12.75">
      <c r="B693" s="326"/>
      <c r="C693" s="323"/>
      <c r="D693" s="326"/>
      <c r="E693" s="326"/>
    </row>
    <row r="694" spans="2:5" ht="12.75">
      <c r="B694" s="326"/>
      <c r="C694" s="323"/>
      <c r="D694" s="326"/>
      <c r="E694" s="326"/>
    </row>
    <row r="695" spans="2:5" ht="12.75">
      <c r="B695" s="326"/>
      <c r="C695" s="323"/>
      <c r="D695" s="326"/>
      <c r="E695" s="326"/>
    </row>
    <row r="696" spans="2:5" ht="12.75">
      <c r="B696" s="326"/>
      <c r="C696" s="323"/>
      <c r="D696" s="326"/>
      <c r="E696" s="326"/>
    </row>
    <row r="697" spans="2:5" ht="12.75">
      <c r="B697" s="326"/>
      <c r="C697" s="323"/>
      <c r="D697" s="326"/>
      <c r="E697" s="326"/>
    </row>
    <row r="698" spans="2:5" ht="12.75">
      <c r="B698" s="326"/>
      <c r="C698" s="323"/>
      <c r="D698" s="326"/>
      <c r="E698" s="326"/>
    </row>
    <row r="699" spans="2:5" ht="12.75">
      <c r="B699" s="326"/>
      <c r="C699" s="323"/>
      <c r="D699" s="326"/>
      <c r="E699" s="326"/>
    </row>
    <row r="700" spans="2:5" ht="12.75">
      <c r="B700" s="326"/>
      <c r="C700" s="323"/>
      <c r="D700" s="326"/>
      <c r="E700" s="326"/>
    </row>
    <row r="701" spans="2:5" ht="12.75">
      <c r="B701" s="326"/>
      <c r="C701" s="323"/>
      <c r="D701" s="326"/>
      <c r="E701" s="326"/>
    </row>
    <row r="702" spans="2:5" ht="12.75">
      <c r="B702" s="326"/>
      <c r="C702" s="323"/>
      <c r="D702" s="326"/>
      <c r="E702" s="326"/>
    </row>
    <row r="703" spans="2:5" ht="12.75">
      <c r="B703" s="326"/>
      <c r="C703" s="323"/>
      <c r="D703" s="326"/>
      <c r="E703" s="326"/>
    </row>
    <row r="704" spans="2:5" ht="12.75">
      <c r="B704" s="326"/>
      <c r="C704" s="323"/>
      <c r="D704" s="326"/>
      <c r="E704" s="326"/>
    </row>
    <row r="705" spans="2:5" ht="12.75">
      <c r="B705" s="326"/>
      <c r="C705" s="323"/>
      <c r="D705" s="326"/>
      <c r="E705" s="326"/>
    </row>
    <row r="706" spans="2:5" ht="12.75">
      <c r="B706" s="326"/>
      <c r="C706" s="323"/>
      <c r="D706" s="326"/>
      <c r="E706" s="326"/>
    </row>
    <row r="707" spans="2:5" ht="12.75">
      <c r="B707" s="326"/>
      <c r="C707" s="323"/>
      <c r="D707" s="326"/>
      <c r="E707" s="326"/>
    </row>
    <row r="708" spans="2:5" ht="12.75">
      <c r="B708" s="326"/>
      <c r="C708" s="323"/>
      <c r="D708" s="326"/>
      <c r="E708" s="326"/>
    </row>
    <row r="709" spans="2:5" ht="12.75">
      <c r="B709" s="326"/>
      <c r="C709" s="323"/>
      <c r="D709" s="326"/>
      <c r="E709" s="326"/>
    </row>
    <row r="710" spans="2:5" ht="12.75">
      <c r="B710" s="326"/>
      <c r="C710" s="323"/>
      <c r="D710" s="326"/>
      <c r="E710" s="326"/>
    </row>
    <row r="711" spans="2:5" ht="12.75">
      <c r="B711" s="326"/>
      <c r="C711" s="323"/>
      <c r="D711" s="326"/>
      <c r="E711" s="326"/>
    </row>
    <row r="712" spans="2:5" ht="12.75">
      <c r="B712" s="326"/>
      <c r="C712" s="323"/>
      <c r="D712" s="326"/>
      <c r="E712" s="326"/>
    </row>
    <row r="713" spans="2:5" ht="12.75">
      <c r="B713" s="326"/>
      <c r="C713" s="323"/>
      <c r="D713" s="326"/>
      <c r="E713" s="326"/>
    </row>
    <row r="714" spans="2:5" ht="12.75">
      <c r="B714" s="326"/>
      <c r="C714" s="323"/>
      <c r="D714" s="326"/>
      <c r="E714" s="326"/>
    </row>
    <row r="715" spans="2:5" ht="12.75">
      <c r="B715" s="326"/>
      <c r="C715" s="323"/>
      <c r="D715" s="326"/>
      <c r="E715" s="326"/>
    </row>
    <row r="716" spans="2:5" ht="12.75">
      <c r="B716" s="326"/>
      <c r="C716" s="323"/>
      <c r="D716" s="326"/>
      <c r="E716" s="326"/>
    </row>
    <row r="717" spans="2:5" ht="12.75">
      <c r="B717" s="326"/>
      <c r="C717" s="323"/>
      <c r="D717" s="326"/>
      <c r="E717" s="326"/>
    </row>
    <row r="718" spans="2:5" ht="12.75">
      <c r="B718" s="326"/>
      <c r="C718" s="323"/>
      <c r="D718" s="326"/>
      <c r="E718" s="326"/>
    </row>
    <row r="719" spans="2:5" ht="12.75">
      <c r="B719" s="326"/>
      <c r="C719" s="323"/>
      <c r="D719" s="326"/>
      <c r="E719" s="326"/>
    </row>
    <row r="720" spans="2:5" ht="12.75">
      <c r="B720" s="326"/>
      <c r="C720" s="323"/>
      <c r="D720" s="326"/>
      <c r="E720" s="326"/>
    </row>
    <row r="721" spans="2:5" ht="12.75">
      <c r="B721" s="326"/>
      <c r="C721" s="323"/>
      <c r="D721" s="326"/>
      <c r="E721" s="326"/>
    </row>
    <row r="722" spans="2:5" ht="12.75">
      <c r="B722" s="326"/>
      <c r="C722" s="323"/>
      <c r="D722" s="326"/>
      <c r="E722" s="326"/>
    </row>
    <row r="723" spans="2:5" ht="12.75">
      <c r="B723" s="326"/>
      <c r="C723" s="323"/>
      <c r="D723" s="326"/>
      <c r="E723" s="326"/>
    </row>
    <row r="724" spans="2:5" ht="12.75">
      <c r="B724" s="326"/>
      <c r="C724" s="323"/>
      <c r="D724" s="326"/>
      <c r="E724" s="326"/>
    </row>
    <row r="725" spans="2:5" ht="12.75">
      <c r="B725" s="326"/>
      <c r="C725" s="323"/>
      <c r="D725" s="326"/>
      <c r="E725" s="326"/>
    </row>
    <row r="726" spans="2:5" ht="12.75">
      <c r="B726" s="326"/>
      <c r="C726" s="323"/>
      <c r="D726" s="326"/>
      <c r="E726" s="326"/>
    </row>
    <row r="727" spans="2:5" ht="12.75">
      <c r="B727" s="326"/>
      <c r="C727" s="323"/>
      <c r="D727" s="326"/>
      <c r="E727" s="326"/>
    </row>
    <row r="728" spans="2:5" ht="12.75">
      <c r="B728" s="326"/>
      <c r="C728" s="323"/>
      <c r="D728" s="326"/>
      <c r="E728" s="326"/>
    </row>
    <row r="729" spans="2:5" ht="12.75">
      <c r="B729" s="326"/>
      <c r="C729" s="323"/>
      <c r="D729" s="326"/>
      <c r="E729" s="326"/>
    </row>
    <row r="730" spans="2:5" ht="12.75">
      <c r="B730" s="326"/>
      <c r="C730" s="323"/>
      <c r="D730" s="326"/>
      <c r="E730" s="326"/>
    </row>
    <row r="731" spans="2:5" ht="12.75">
      <c r="B731" s="326"/>
      <c r="C731" s="323"/>
      <c r="D731" s="326"/>
      <c r="E731" s="326"/>
    </row>
    <row r="732" spans="2:5" ht="12.75">
      <c r="B732" s="326"/>
      <c r="C732" s="323"/>
      <c r="D732" s="326"/>
      <c r="E732" s="326"/>
    </row>
    <row r="733" spans="2:5" ht="12.75">
      <c r="B733" s="326"/>
      <c r="C733" s="323"/>
      <c r="D733" s="326"/>
      <c r="E733" s="326"/>
    </row>
    <row r="734" spans="2:5" ht="12.75">
      <c r="B734" s="326"/>
      <c r="C734" s="323"/>
      <c r="D734" s="326"/>
      <c r="E734" s="326"/>
    </row>
    <row r="735" spans="2:5" ht="12.75">
      <c r="B735" s="326"/>
      <c r="C735" s="323"/>
      <c r="D735" s="326"/>
      <c r="E735" s="326"/>
    </row>
    <row r="736" spans="2:5" ht="12.75">
      <c r="B736" s="326"/>
      <c r="C736" s="323"/>
      <c r="D736" s="326"/>
      <c r="E736" s="326"/>
    </row>
    <row r="737" spans="2:5" ht="12.75">
      <c r="B737" s="326"/>
      <c r="C737" s="323"/>
      <c r="D737" s="326"/>
      <c r="E737" s="326"/>
    </row>
    <row r="738" spans="2:5" ht="12.75">
      <c r="B738" s="326"/>
      <c r="C738" s="323"/>
      <c r="D738" s="326"/>
      <c r="E738" s="326"/>
    </row>
    <row r="739" spans="2:5" ht="12.75">
      <c r="B739" s="326"/>
      <c r="C739" s="323"/>
      <c r="D739" s="326"/>
      <c r="E739" s="326"/>
    </row>
    <row r="740" spans="2:5" ht="12.75">
      <c r="B740" s="326"/>
      <c r="C740" s="323"/>
      <c r="D740" s="326"/>
      <c r="E740" s="326"/>
    </row>
    <row r="741" spans="2:5" ht="12.75">
      <c r="B741" s="326"/>
      <c r="C741" s="323"/>
      <c r="D741" s="326"/>
      <c r="E741" s="326"/>
    </row>
    <row r="742" spans="2:5" ht="12.75">
      <c r="B742" s="326"/>
      <c r="C742" s="323"/>
      <c r="D742" s="326"/>
      <c r="E742" s="326"/>
    </row>
    <row r="743" spans="2:5" ht="12.75">
      <c r="B743" s="326"/>
      <c r="C743" s="323"/>
      <c r="D743" s="326"/>
      <c r="E743" s="326"/>
    </row>
    <row r="744" spans="2:5" ht="12.75">
      <c r="B744" s="326"/>
      <c r="C744" s="323"/>
      <c r="D744" s="326"/>
      <c r="E744" s="326"/>
    </row>
    <row r="745" spans="2:5" ht="12.75">
      <c r="B745" s="326"/>
      <c r="C745" s="323"/>
      <c r="D745" s="326"/>
      <c r="E745" s="326"/>
    </row>
    <row r="746" spans="2:5" ht="12.75">
      <c r="B746" s="326"/>
      <c r="C746" s="323"/>
      <c r="D746" s="326"/>
      <c r="E746" s="326"/>
    </row>
    <row r="747" spans="2:5" ht="12.75">
      <c r="B747" s="326"/>
      <c r="C747" s="323"/>
      <c r="D747" s="326"/>
      <c r="E747" s="326"/>
    </row>
    <row r="748" spans="2:5" ht="12.75">
      <c r="B748" s="326"/>
      <c r="C748" s="323"/>
      <c r="D748" s="326"/>
      <c r="E748" s="326"/>
    </row>
    <row r="749" spans="2:5" ht="12.75">
      <c r="B749" s="326"/>
      <c r="C749" s="323"/>
      <c r="D749" s="326"/>
      <c r="E749" s="326"/>
    </row>
    <row r="750" spans="2:5" ht="12.75">
      <c r="B750" s="326"/>
      <c r="C750" s="323"/>
      <c r="D750" s="326"/>
      <c r="E750" s="326"/>
    </row>
    <row r="751" spans="2:5" ht="12.75">
      <c r="B751" s="326"/>
      <c r="C751" s="323"/>
      <c r="D751" s="326"/>
      <c r="E751" s="326"/>
    </row>
    <row r="752" spans="2:5" ht="12.75">
      <c r="B752" s="326"/>
      <c r="C752" s="323"/>
      <c r="D752" s="326"/>
      <c r="E752" s="326"/>
    </row>
    <row r="753" spans="2:5" ht="12.75">
      <c r="B753" s="326"/>
      <c r="C753" s="323"/>
      <c r="D753" s="326"/>
      <c r="E753" s="326"/>
    </row>
    <row r="754" spans="2:5" ht="12.75">
      <c r="B754" s="326"/>
      <c r="C754" s="323"/>
      <c r="D754" s="326"/>
      <c r="E754" s="326"/>
    </row>
    <row r="755" spans="2:5" ht="12.75">
      <c r="B755" s="326"/>
      <c r="C755" s="323"/>
      <c r="D755" s="326"/>
      <c r="E755" s="326"/>
    </row>
    <row r="756" spans="2:5" ht="12.75">
      <c r="B756" s="326"/>
      <c r="C756" s="323"/>
      <c r="D756" s="326"/>
      <c r="E756" s="326"/>
    </row>
    <row r="757" spans="2:5" ht="12.75">
      <c r="B757" s="326"/>
      <c r="C757" s="323"/>
      <c r="D757" s="326"/>
      <c r="E757" s="326"/>
    </row>
    <row r="758" spans="2:5" ht="12.75">
      <c r="B758" s="326"/>
      <c r="C758" s="323"/>
      <c r="D758" s="326"/>
      <c r="E758" s="326"/>
    </row>
    <row r="759" spans="2:5" ht="12.75">
      <c r="B759" s="326"/>
      <c r="C759" s="323"/>
      <c r="D759" s="326"/>
      <c r="E759" s="326"/>
    </row>
    <row r="760" spans="2:5" ht="12.75">
      <c r="B760" s="326"/>
      <c r="C760" s="323"/>
      <c r="D760" s="326"/>
      <c r="E760" s="326"/>
    </row>
    <row r="761" spans="2:5" ht="12.75">
      <c r="B761" s="326"/>
      <c r="C761" s="323"/>
      <c r="D761" s="326"/>
      <c r="E761" s="326"/>
    </row>
    <row r="762" spans="2:5" ht="12.75">
      <c r="B762" s="326"/>
      <c r="C762" s="323"/>
      <c r="D762" s="326"/>
      <c r="E762" s="326"/>
    </row>
    <row r="763" spans="2:5" ht="12.75">
      <c r="B763" s="326"/>
      <c r="C763" s="323"/>
      <c r="D763" s="326"/>
      <c r="E763" s="326"/>
    </row>
    <row r="764" spans="2:5" ht="12.75">
      <c r="B764" s="326"/>
      <c r="C764" s="323"/>
      <c r="D764" s="326"/>
      <c r="E764" s="326"/>
    </row>
    <row r="765" spans="2:5" ht="12.75">
      <c r="B765" s="326"/>
      <c r="C765" s="323"/>
      <c r="D765" s="326"/>
      <c r="E765" s="326"/>
    </row>
    <row r="766" spans="2:5" ht="12.75">
      <c r="B766" s="326"/>
      <c r="C766" s="323"/>
      <c r="D766" s="326"/>
      <c r="E766" s="326"/>
    </row>
    <row r="767" spans="2:5" ht="12.75">
      <c r="B767" s="326"/>
      <c r="C767" s="323"/>
      <c r="D767" s="326"/>
      <c r="E767" s="326"/>
    </row>
    <row r="768" spans="2:5" ht="12.75">
      <c r="B768" s="326"/>
      <c r="C768" s="323"/>
      <c r="D768" s="326"/>
      <c r="E768" s="326"/>
    </row>
    <row r="769" spans="2:5" ht="12.75">
      <c r="B769" s="326"/>
      <c r="C769" s="323"/>
      <c r="D769" s="326"/>
      <c r="E769" s="326"/>
    </row>
    <row r="770" spans="2:5" ht="12.75">
      <c r="B770" s="326"/>
      <c r="C770" s="323"/>
      <c r="D770" s="326"/>
      <c r="E770" s="326"/>
    </row>
    <row r="771" spans="2:5" ht="12.75">
      <c r="B771" s="326"/>
      <c r="C771" s="323"/>
      <c r="D771" s="326"/>
      <c r="E771" s="326"/>
    </row>
    <row r="772" spans="2:5" ht="12.75">
      <c r="B772" s="326"/>
      <c r="C772" s="323"/>
      <c r="D772" s="326"/>
      <c r="E772" s="326"/>
    </row>
    <row r="773" spans="2:5" ht="12.75">
      <c r="B773" s="326"/>
      <c r="C773" s="323"/>
      <c r="D773" s="326"/>
      <c r="E773" s="326"/>
    </row>
    <row r="774" spans="2:5" ht="12.75">
      <c r="B774" s="326"/>
      <c r="C774" s="323"/>
      <c r="D774" s="326"/>
      <c r="E774" s="326"/>
    </row>
    <row r="775" spans="2:5" ht="12.75">
      <c r="B775" s="326"/>
      <c r="C775" s="323"/>
      <c r="D775" s="326"/>
      <c r="E775" s="326"/>
    </row>
    <row r="776" spans="2:5" ht="12.75">
      <c r="B776" s="326"/>
      <c r="C776" s="323"/>
      <c r="D776" s="326"/>
      <c r="E776" s="326"/>
    </row>
    <row r="777" spans="2:5" ht="12.75">
      <c r="B777" s="326"/>
      <c r="C777" s="323"/>
      <c r="D777" s="326"/>
      <c r="E777" s="326"/>
    </row>
    <row r="778" spans="2:5" ht="12.75">
      <c r="B778" s="326"/>
      <c r="C778" s="323"/>
      <c r="D778" s="326"/>
      <c r="E778" s="326"/>
    </row>
    <row r="779" spans="2:5" ht="12.75">
      <c r="B779" s="326"/>
      <c r="C779" s="323"/>
      <c r="D779" s="326"/>
      <c r="E779" s="326"/>
    </row>
    <row r="780" spans="2:5" ht="12.75">
      <c r="B780" s="326"/>
      <c r="C780" s="323"/>
      <c r="D780" s="326"/>
      <c r="E780" s="326"/>
    </row>
    <row r="781" spans="2:5" ht="12.75">
      <c r="B781" s="326"/>
      <c r="C781" s="323"/>
      <c r="D781" s="326"/>
      <c r="E781" s="326"/>
    </row>
    <row r="782" spans="2:5" ht="12.75">
      <c r="B782" s="326"/>
      <c r="C782" s="323"/>
      <c r="D782" s="326"/>
      <c r="E782" s="326"/>
    </row>
    <row r="783" spans="2:5" ht="12.75">
      <c r="B783" s="326"/>
      <c r="C783" s="323"/>
      <c r="D783" s="326"/>
      <c r="E783" s="326"/>
    </row>
    <row r="784" spans="2:5" ht="12.75">
      <c r="B784" s="326"/>
      <c r="C784" s="323"/>
      <c r="D784" s="326"/>
      <c r="E784" s="326"/>
    </row>
    <row r="785" spans="2:5" ht="12.75">
      <c r="B785" s="326"/>
      <c r="C785" s="323"/>
      <c r="D785" s="326"/>
      <c r="E785" s="326"/>
    </row>
    <row r="786" spans="2:5" ht="12.75">
      <c r="B786" s="326"/>
      <c r="C786" s="323"/>
      <c r="D786" s="326"/>
      <c r="E786" s="326"/>
    </row>
    <row r="787" spans="2:5" ht="12.75">
      <c r="B787" s="326"/>
      <c r="C787" s="323"/>
      <c r="D787" s="326"/>
      <c r="E787" s="326"/>
    </row>
    <row r="788" spans="2:5" ht="12.75">
      <c r="B788" s="326"/>
      <c r="C788" s="323"/>
      <c r="D788" s="326"/>
      <c r="E788" s="326"/>
    </row>
    <row r="789" spans="2:5" ht="12.75">
      <c r="B789" s="326"/>
      <c r="C789" s="323"/>
      <c r="D789" s="326"/>
      <c r="E789" s="326"/>
    </row>
    <row r="790" spans="2:5" ht="12.75">
      <c r="B790" s="326"/>
      <c r="C790" s="323"/>
      <c r="D790" s="326"/>
      <c r="E790" s="326"/>
    </row>
    <row r="791" spans="2:5" ht="12.75">
      <c r="B791" s="326"/>
      <c r="C791" s="323"/>
      <c r="D791" s="326"/>
      <c r="E791" s="326"/>
    </row>
    <row r="792" spans="2:5" ht="12.75">
      <c r="B792" s="326"/>
      <c r="C792" s="323"/>
      <c r="D792" s="326"/>
      <c r="E792" s="326"/>
    </row>
    <row r="793" spans="2:5" ht="12.75">
      <c r="B793" s="326"/>
      <c r="C793" s="323"/>
      <c r="D793" s="326"/>
      <c r="E793" s="326"/>
    </row>
    <row r="794" spans="2:5" ht="12.75">
      <c r="B794" s="326"/>
      <c r="C794" s="323"/>
      <c r="D794" s="326"/>
      <c r="E794" s="326"/>
    </row>
    <row r="795" spans="2:5" ht="12.75">
      <c r="B795" s="326"/>
      <c r="C795" s="323"/>
      <c r="D795" s="326"/>
      <c r="E795" s="326"/>
    </row>
    <row r="796" spans="2:5" ht="12.75">
      <c r="B796" s="326"/>
      <c r="C796" s="323"/>
      <c r="D796" s="326"/>
      <c r="E796" s="326"/>
    </row>
    <row r="797" spans="2:5" ht="12.75">
      <c r="B797" s="326"/>
      <c r="C797" s="323"/>
      <c r="D797" s="326"/>
      <c r="E797" s="326"/>
    </row>
    <row r="798" spans="2:5" ht="12.75">
      <c r="B798" s="326"/>
      <c r="C798" s="323"/>
      <c r="D798" s="326"/>
      <c r="E798" s="326"/>
    </row>
    <row r="799" spans="2:5" ht="12.75">
      <c r="B799" s="326"/>
      <c r="C799" s="323"/>
      <c r="D799" s="326"/>
      <c r="E799" s="326"/>
    </row>
    <row r="800" spans="2:5" ht="12.75">
      <c r="B800" s="326"/>
      <c r="C800" s="323"/>
      <c r="D800" s="326"/>
      <c r="E800" s="326"/>
    </row>
    <row r="801" spans="2:5" ht="12.75">
      <c r="B801" s="326"/>
      <c r="C801" s="323"/>
      <c r="D801" s="326"/>
      <c r="E801" s="326"/>
    </row>
    <row r="802" spans="2:5" ht="12.75">
      <c r="B802" s="326"/>
      <c r="C802" s="323"/>
      <c r="D802" s="326"/>
      <c r="E802" s="326"/>
    </row>
    <row r="803" spans="2:5" ht="12.75">
      <c r="B803" s="326"/>
      <c r="C803" s="323"/>
      <c r="D803" s="326"/>
      <c r="E803" s="326"/>
    </row>
    <row r="804" spans="2:5" ht="12.75">
      <c r="B804" s="326"/>
      <c r="C804" s="323"/>
      <c r="D804" s="326"/>
      <c r="E804" s="326"/>
    </row>
    <row r="805" spans="2:5" ht="12.75">
      <c r="B805" s="326"/>
      <c r="C805" s="323"/>
      <c r="D805" s="326"/>
      <c r="E805" s="326"/>
    </row>
    <row r="806" spans="2:5" ht="12.75">
      <c r="B806" s="326"/>
      <c r="C806" s="323"/>
      <c r="D806" s="326"/>
      <c r="E806" s="326"/>
    </row>
    <row r="807" spans="2:5" ht="12.75">
      <c r="B807" s="326"/>
      <c r="C807" s="323"/>
      <c r="D807" s="326"/>
      <c r="E807" s="326"/>
    </row>
    <row r="808" spans="2:5" ht="12.75">
      <c r="B808" s="326"/>
      <c r="C808" s="323"/>
      <c r="D808" s="326"/>
      <c r="E808" s="326"/>
    </row>
    <row r="809" spans="2:5" ht="12.75">
      <c r="B809" s="326"/>
      <c r="C809" s="323"/>
      <c r="D809" s="326"/>
      <c r="E809" s="326"/>
    </row>
    <row r="810" spans="2:5" ht="12.75">
      <c r="B810" s="326"/>
      <c r="C810" s="323"/>
      <c r="D810" s="326"/>
      <c r="E810" s="326"/>
    </row>
    <row r="811" spans="2:5" ht="12.75">
      <c r="B811" s="326"/>
      <c r="C811" s="323"/>
      <c r="D811" s="326"/>
      <c r="E811" s="326"/>
    </row>
    <row r="812" spans="2:5" ht="12.75">
      <c r="B812" s="326"/>
      <c r="C812" s="323"/>
      <c r="D812" s="326"/>
      <c r="E812" s="326"/>
    </row>
    <row r="813" spans="2:5" ht="12.75">
      <c r="B813" s="326"/>
      <c r="C813" s="323"/>
      <c r="D813" s="326"/>
      <c r="E813" s="326"/>
    </row>
    <row r="814" spans="2:5" ht="12.75">
      <c r="B814" s="326"/>
      <c r="C814" s="323"/>
      <c r="D814" s="326"/>
      <c r="E814" s="326"/>
    </row>
    <row r="815" spans="2:5" ht="12.75">
      <c r="B815" s="326"/>
      <c r="C815" s="323"/>
      <c r="D815" s="326"/>
      <c r="E815" s="326"/>
    </row>
    <row r="816" spans="2:5" ht="12.75">
      <c r="B816" s="326"/>
      <c r="C816" s="323"/>
      <c r="D816" s="326"/>
      <c r="E816" s="326"/>
    </row>
    <row r="817" spans="2:5" ht="12.75">
      <c r="B817" s="326"/>
      <c r="C817" s="323"/>
      <c r="D817" s="326"/>
      <c r="E817" s="326"/>
    </row>
    <row r="818" spans="2:5" ht="12.75">
      <c r="B818" s="326"/>
      <c r="C818" s="323"/>
      <c r="D818" s="326"/>
      <c r="E818" s="326"/>
    </row>
    <row r="819" spans="2:5" ht="12.75">
      <c r="B819" s="326"/>
      <c r="C819" s="323"/>
      <c r="D819" s="326"/>
      <c r="E819" s="326"/>
    </row>
    <row r="820" spans="2:5" ht="12.75">
      <c r="B820" s="326"/>
      <c r="C820" s="323"/>
      <c r="D820" s="326"/>
      <c r="E820" s="326"/>
    </row>
    <row r="821" spans="2:5" ht="12.75">
      <c r="B821" s="326"/>
      <c r="C821" s="323"/>
      <c r="D821" s="326"/>
      <c r="E821" s="326"/>
    </row>
    <row r="822" spans="2:5" ht="12.75">
      <c r="B822" s="326"/>
      <c r="C822" s="323"/>
      <c r="D822" s="326"/>
      <c r="E822" s="326"/>
    </row>
    <row r="823" spans="2:5" ht="12.75">
      <c r="B823" s="326"/>
      <c r="C823" s="323"/>
      <c r="D823" s="326"/>
      <c r="E823" s="326"/>
    </row>
    <row r="824" spans="2:5" ht="12.75">
      <c r="B824" s="326"/>
      <c r="C824" s="323"/>
      <c r="D824" s="326"/>
      <c r="E824" s="326"/>
    </row>
    <row r="825" spans="2:5" ht="12.75">
      <c r="B825" s="326"/>
      <c r="C825" s="323"/>
      <c r="D825" s="326"/>
      <c r="E825" s="326"/>
    </row>
    <row r="826" spans="2:5" ht="12.75">
      <c r="B826" s="326"/>
      <c r="C826" s="323"/>
      <c r="D826" s="326"/>
      <c r="E826" s="326"/>
    </row>
    <row r="827" spans="2:5" ht="12.75">
      <c r="B827" s="326"/>
      <c r="C827" s="323"/>
      <c r="D827" s="326"/>
      <c r="E827" s="326"/>
    </row>
    <row r="828" spans="2:5" ht="12.75">
      <c r="B828" s="326"/>
      <c r="C828" s="323"/>
      <c r="D828" s="326"/>
      <c r="E828" s="326"/>
    </row>
    <row r="829" spans="2:5" ht="12.75">
      <c r="B829" s="326"/>
      <c r="C829" s="323"/>
      <c r="D829" s="326"/>
      <c r="E829" s="326"/>
    </row>
    <row r="830" spans="2:5" ht="12.75">
      <c r="B830" s="326"/>
      <c r="C830" s="323"/>
      <c r="D830" s="326"/>
      <c r="E830" s="326"/>
    </row>
    <row r="831" spans="2:5" ht="12.75">
      <c r="B831" s="326"/>
      <c r="C831" s="323"/>
      <c r="D831" s="326"/>
      <c r="E831" s="326"/>
    </row>
    <row r="832" spans="2:5" ht="12.75">
      <c r="B832" s="326"/>
      <c r="C832" s="323"/>
      <c r="D832" s="326"/>
      <c r="E832" s="326"/>
    </row>
    <row r="833" spans="2:5" ht="12.75">
      <c r="B833" s="326"/>
      <c r="C833" s="323"/>
      <c r="D833" s="326"/>
      <c r="E833" s="326"/>
    </row>
    <row r="834" spans="2:5" ht="12.75">
      <c r="B834" s="326"/>
      <c r="C834" s="323"/>
      <c r="D834" s="326"/>
      <c r="E834" s="326"/>
    </row>
    <row r="835" spans="2:5" ht="12.75">
      <c r="B835" s="326"/>
      <c r="C835" s="323"/>
      <c r="D835" s="326"/>
      <c r="E835" s="326"/>
    </row>
    <row r="836" spans="2:5" ht="12.75">
      <c r="B836" s="326"/>
      <c r="C836" s="323"/>
      <c r="D836" s="326"/>
      <c r="E836" s="326"/>
    </row>
    <row r="837" spans="2:5" ht="12.75">
      <c r="B837" s="326"/>
      <c r="C837" s="323"/>
      <c r="D837" s="326"/>
      <c r="E837" s="326"/>
    </row>
    <row r="838" spans="2:5" ht="12.75">
      <c r="B838" s="326"/>
      <c r="C838" s="323"/>
      <c r="D838" s="326"/>
      <c r="E838" s="326"/>
    </row>
    <row r="839" spans="2:5" ht="12.75">
      <c r="B839" s="326"/>
      <c r="C839" s="323"/>
      <c r="D839" s="326"/>
      <c r="E839" s="326"/>
    </row>
    <row r="840" spans="2:5" ht="12.75">
      <c r="B840" s="326"/>
      <c r="C840" s="323"/>
      <c r="D840" s="326"/>
      <c r="E840" s="326"/>
    </row>
    <row r="841" spans="2:5" ht="12.75">
      <c r="B841" s="326"/>
      <c r="C841" s="323"/>
      <c r="D841" s="326"/>
      <c r="E841" s="326"/>
    </row>
    <row r="842" spans="2:5" ht="12.75">
      <c r="B842" s="326"/>
      <c r="C842" s="323"/>
      <c r="D842" s="326"/>
      <c r="E842" s="326"/>
    </row>
    <row r="843" spans="2:5" ht="12.75">
      <c r="B843" s="326"/>
      <c r="C843" s="323"/>
      <c r="D843" s="326"/>
      <c r="E843" s="326"/>
    </row>
    <row r="844" spans="2:5" ht="12.75">
      <c r="B844" s="326"/>
      <c r="C844" s="323"/>
      <c r="D844" s="326"/>
      <c r="E844" s="326"/>
    </row>
    <row r="845" spans="2:5" ht="12.75">
      <c r="B845" s="326"/>
      <c r="C845" s="323"/>
      <c r="D845" s="326"/>
      <c r="E845" s="326"/>
    </row>
    <row r="846" spans="2:5" ht="12.75">
      <c r="B846" s="326"/>
      <c r="C846" s="323"/>
      <c r="D846" s="326"/>
      <c r="E846" s="326"/>
    </row>
    <row r="847" spans="2:5" ht="12.75">
      <c r="B847" s="326"/>
      <c r="C847" s="323"/>
      <c r="D847" s="326"/>
      <c r="E847" s="326"/>
    </row>
    <row r="848" spans="2:5" ht="12.75">
      <c r="B848" s="326"/>
      <c r="C848" s="323"/>
      <c r="D848" s="326"/>
      <c r="E848" s="326"/>
    </row>
    <row r="849" spans="2:5" ht="12.75">
      <c r="B849" s="326"/>
      <c r="C849" s="323"/>
      <c r="D849" s="326"/>
      <c r="E849" s="326"/>
    </row>
    <row r="850" spans="2:5" ht="12.75">
      <c r="B850" s="326"/>
      <c r="C850" s="323"/>
      <c r="D850" s="326"/>
      <c r="E850" s="326"/>
    </row>
    <row r="851" spans="2:5" ht="12.75">
      <c r="B851" s="326"/>
      <c r="C851" s="323"/>
      <c r="D851" s="326"/>
      <c r="E851" s="326"/>
    </row>
    <row r="852" spans="2:5" ht="12.75">
      <c r="B852" s="326"/>
      <c r="C852" s="323"/>
      <c r="D852" s="326"/>
      <c r="E852" s="326"/>
    </row>
    <row r="853" spans="2:5" ht="12.75">
      <c r="B853" s="326"/>
      <c r="C853" s="323"/>
      <c r="D853" s="326"/>
      <c r="E853" s="326"/>
    </row>
    <row r="854" spans="2:5" ht="12.75">
      <c r="B854" s="326"/>
      <c r="C854" s="323"/>
      <c r="D854" s="326"/>
      <c r="E854" s="326"/>
    </row>
    <row r="855" spans="2:5" ht="12.75">
      <c r="B855" s="326"/>
      <c r="C855" s="323"/>
      <c r="D855" s="326"/>
      <c r="E855" s="326"/>
    </row>
    <row r="856" spans="2:5" ht="12.75">
      <c r="B856" s="326"/>
      <c r="C856" s="323"/>
      <c r="D856" s="326"/>
      <c r="E856" s="326"/>
    </row>
    <row r="857" spans="2:5" ht="12.75">
      <c r="B857" s="326"/>
      <c r="C857" s="323"/>
      <c r="D857" s="326"/>
      <c r="E857" s="326"/>
    </row>
    <row r="858" spans="2:5" ht="12.75">
      <c r="B858" s="326"/>
      <c r="C858" s="323"/>
      <c r="D858" s="326"/>
      <c r="E858" s="326"/>
    </row>
    <row r="859" spans="2:5" ht="12.75">
      <c r="B859" s="326"/>
      <c r="C859" s="323"/>
      <c r="D859" s="326"/>
      <c r="E859" s="326"/>
    </row>
    <row r="860" spans="2:5" ht="12.75">
      <c r="B860" s="326"/>
      <c r="C860" s="323"/>
      <c r="D860" s="326"/>
      <c r="E860" s="326"/>
    </row>
    <row r="861" spans="2:5" ht="12.75">
      <c r="B861" s="326"/>
      <c r="C861" s="323"/>
      <c r="D861" s="326"/>
      <c r="E861" s="326"/>
    </row>
    <row r="862" spans="2:5" ht="12.75">
      <c r="B862" s="326"/>
      <c r="C862" s="323"/>
      <c r="D862" s="326"/>
      <c r="E862" s="326"/>
    </row>
    <row r="863" spans="2:5" ht="12.75">
      <c r="B863" s="326"/>
      <c r="C863" s="323"/>
      <c r="D863" s="326"/>
      <c r="E863" s="326"/>
    </row>
    <row r="864" spans="2:5" ht="12.75">
      <c r="B864" s="326"/>
      <c r="C864" s="323"/>
      <c r="D864" s="326"/>
      <c r="E864" s="326"/>
    </row>
    <row r="865" spans="2:5" ht="12.75">
      <c r="B865" s="326"/>
      <c r="C865" s="323"/>
      <c r="D865" s="326"/>
      <c r="E865" s="326"/>
    </row>
    <row r="866" spans="2:5" ht="12.75">
      <c r="B866" s="326"/>
      <c r="C866" s="323"/>
      <c r="D866" s="326"/>
      <c r="E866" s="326"/>
    </row>
    <row r="867" spans="2:5" ht="12.75">
      <c r="B867" s="326"/>
      <c r="C867" s="323"/>
      <c r="D867" s="326"/>
      <c r="E867" s="326"/>
    </row>
    <row r="868" spans="2:5" ht="12.75">
      <c r="B868" s="326"/>
      <c r="C868" s="323"/>
      <c r="D868" s="326"/>
      <c r="E868" s="326"/>
    </row>
    <row r="869" spans="2:5" ht="12.75">
      <c r="B869" s="326"/>
      <c r="C869" s="323"/>
      <c r="D869" s="326"/>
      <c r="E869" s="326"/>
    </row>
    <row r="870" spans="2:5" ht="12.75">
      <c r="B870" s="326"/>
      <c r="C870" s="323"/>
      <c r="D870" s="326"/>
      <c r="E870" s="326"/>
    </row>
    <row r="871" spans="2:5" ht="12.75">
      <c r="B871" s="326"/>
      <c r="C871" s="323"/>
      <c r="D871" s="326"/>
      <c r="E871" s="326"/>
    </row>
    <row r="872" spans="2:5" ht="12.75">
      <c r="B872" s="326"/>
      <c r="C872" s="323"/>
      <c r="D872" s="326"/>
      <c r="E872" s="326"/>
    </row>
    <row r="873" spans="2:5" ht="12.75">
      <c r="B873" s="326"/>
      <c r="C873" s="323"/>
      <c r="D873" s="326"/>
      <c r="E873" s="326"/>
    </row>
    <row r="874" spans="2:5" ht="12.75">
      <c r="B874" s="326"/>
      <c r="C874" s="323"/>
      <c r="D874" s="326"/>
      <c r="E874" s="326"/>
    </row>
    <row r="875" spans="2:5" ht="12.75">
      <c r="B875" s="326"/>
      <c r="C875" s="323"/>
      <c r="D875" s="326"/>
      <c r="E875" s="326"/>
    </row>
    <row r="876" spans="2:5" ht="12.75">
      <c r="B876" s="326"/>
      <c r="C876" s="323"/>
      <c r="D876" s="326"/>
      <c r="E876" s="326"/>
    </row>
    <row r="877" spans="2:5" ht="12.75">
      <c r="B877" s="326"/>
      <c r="C877" s="323"/>
      <c r="D877" s="326"/>
      <c r="E877" s="326"/>
    </row>
    <row r="878" spans="2:5" ht="12.75">
      <c r="B878" s="326"/>
      <c r="C878" s="323"/>
      <c r="D878" s="326"/>
      <c r="E878" s="326"/>
    </row>
    <row r="879" spans="2:5" ht="12.75">
      <c r="B879" s="326"/>
      <c r="C879" s="323"/>
      <c r="D879" s="326"/>
      <c r="E879" s="326"/>
    </row>
    <row r="880" spans="2:5" ht="12.75">
      <c r="B880" s="326"/>
      <c r="C880" s="323"/>
      <c r="D880" s="326"/>
      <c r="E880" s="326"/>
    </row>
    <row r="881" spans="2:5" ht="12.75">
      <c r="B881" s="326"/>
      <c r="C881" s="323"/>
      <c r="D881" s="326"/>
      <c r="E881" s="326"/>
    </row>
    <row r="882" spans="2:5" ht="12.75">
      <c r="B882" s="326"/>
      <c r="C882" s="323"/>
      <c r="D882" s="326"/>
      <c r="E882" s="326"/>
    </row>
    <row r="883" spans="2:5" ht="12.75">
      <c r="B883" s="326"/>
      <c r="C883" s="323"/>
      <c r="D883" s="326"/>
      <c r="E883" s="326"/>
    </row>
    <row r="884" spans="2:5" ht="12.75">
      <c r="B884" s="326"/>
      <c r="C884" s="323"/>
      <c r="D884" s="326"/>
      <c r="E884" s="326"/>
    </row>
    <row r="885" spans="2:5" ht="12.75">
      <c r="B885" s="326"/>
      <c r="C885" s="323"/>
      <c r="D885" s="326"/>
      <c r="E885" s="326"/>
    </row>
    <row r="886" spans="2:5" ht="12.75">
      <c r="B886" s="326"/>
      <c r="C886" s="323"/>
      <c r="D886" s="326"/>
      <c r="E886" s="326"/>
    </row>
    <row r="887" spans="2:5" ht="12.75">
      <c r="B887" s="326"/>
      <c r="C887" s="323"/>
      <c r="D887" s="326"/>
      <c r="E887" s="326"/>
    </row>
    <row r="888" spans="2:5" ht="12.75">
      <c r="B888" s="326"/>
      <c r="C888" s="323"/>
      <c r="D888" s="326"/>
      <c r="E888" s="326"/>
    </row>
    <row r="889" spans="2:5" ht="12.75">
      <c r="B889" s="326"/>
      <c r="C889" s="323"/>
      <c r="D889" s="326"/>
      <c r="E889" s="326"/>
    </row>
    <row r="890" spans="2:5" ht="12.75">
      <c r="B890" s="326"/>
      <c r="C890" s="323"/>
      <c r="D890" s="326"/>
      <c r="E890" s="326"/>
    </row>
    <row r="891" spans="2:5" ht="12.75">
      <c r="B891" s="326"/>
      <c r="C891" s="323"/>
      <c r="D891" s="326"/>
      <c r="E891" s="326"/>
    </row>
    <row r="892" spans="2:5" ht="12.75">
      <c r="B892" s="326"/>
      <c r="C892" s="323"/>
      <c r="D892" s="326"/>
      <c r="E892" s="326"/>
    </row>
    <row r="893" spans="2:5" ht="12.75">
      <c r="B893" s="326"/>
      <c r="C893" s="323"/>
      <c r="D893" s="326"/>
      <c r="E893" s="326"/>
    </row>
    <row r="894" spans="2:5" ht="12.75">
      <c r="B894" s="326"/>
      <c r="C894" s="323"/>
      <c r="D894" s="326"/>
      <c r="E894" s="326"/>
    </row>
    <row r="895" spans="2:5" ht="12.75">
      <c r="B895" s="326"/>
      <c r="C895" s="323"/>
      <c r="D895" s="326"/>
      <c r="E895" s="326"/>
    </row>
    <row r="896" spans="2:5" ht="12.75">
      <c r="B896" s="326"/>
      <c r="C896" s="323"/>
      <c r="D896" s="326"/>
      <c r="E896" s="326"/>
    </row>
    <row r="897" spans="2:5" ht="12.75">
      <c r="B897" s="326"/>
      <c r="C897" s="323"/>
      <c r="D897" s="326"/>
      <c r="E897" s="326"/>
    </row>
    <row r="898" spans="2:5" ht="12.75">
      <c r="B898" s="326"/>
      <c r="C898" s="323"/>
      <c r="D898" s="326"/>
      <c r="E898" s="326"/>
    </row>
    <row r="899" spans="2:5" ht="12.75">
      <c r="B899" s="326"/>
      <c r="C899" s="323"/>
      <c r="D899" s="326"/>
      <c r="E899" s="326"/>
    </row>
    <row r="900" spans="2:5" ht="12.75">
      <c r="B900" s="326"/>
      <c r="C900" s="323"/>
      <c r="D900" s="326"/>
      <c r="E900" s="326"/>
    </row>
    <row r="901" spans="2:5" ht="12.75">
      <c r="B901" s="326"/>
      <c r="C901" s="323"/>
      <c r="D901" s="326"/>
      <c r="E901" s="326"/>
    </row>
    <row r="902" spans="2:5" ht="12.75">
      <c r="B902" s="326"/>
      <c r="C902" s="323"/>
      <c r="D902" s="326"/>
      <c r="E902" s="326"/>
    </row>
    <row r="903" spans="2:5" ht="12.75">
      <c r="B903" s="326"/>
      <c r="C903" s="323"/>
      <c r="D903" s="326"/>
      <c r="E903" s="326"/>
    </row>
    <row r="904" spans="2:5" ht="12.75">
      <c r="B904" s="326"/>
      <c r="C904" s="323"/>
      <c r="D904" s="326"/>
      <c r="E904" s="326"/>
    </row>
    <row r="905" spans="2:5" ht="12.75">
      <c r="B905" s="326"/>
      <c r="C905" s="323"/>
      <c r="D905" s="326"/>
      <c r="E905" s="326"/>
    </row>
    <row r="906" spans="2:5" ht="12.75">
      <c r="B906" s="326"/>
      <c r="C906" s="323"/>
      <c r="D906" s="326"/>
      <c r="E906" s="326"/>
    </row>
    <row r="907" spans="2:5" ht="12.75">
      <c r="B907" s="326"/>
      <c r="C907" s="323"/>
      <c r="D907" s="326"/>
      <c r="E907" s="326"/>
    </row>
    <row r="908" spans="2:5" ht="12.75">
      <c r="B908" s="326"/>
      <c r="C908" s="323"/>
      <c r="D908" s="326"/>
      <c r="E908" s="326"/>
    </row>
    <row r="909" spans="2:5" ht="12.75">
      <c r="B909" s="326"/>
      <c r="C909" s="323"/>
      <c r="D909" s="326"/>
      <c r="E909" s="326"/>
    </row>
    <row r="910" spans="2:5" ht="12.75">
      <c r="B910" s="326"/>
      <c r="C910" s="323"/>
      <c r="D910" s="326"/>
      <c r="E910" s="326"/>
    </row>
    <row r="911" spans="2:5" ht="12.75">
      <c r="B911" s="326"/>
      <c r="C911" s="323"/>
      <c r="D911" s="326"/>
      <c r="E911" s="326"/>
    </row>
    <row r="912" spans="2:5" ht="12.75">
      <c r="B912" s="326"/>
      <c r="C912" s="323"/>
      <c r="D912" s="326"/>
      <c r="E912" s="326"/>
    </row>
    <row r="913" spans="2:5" ht="12.75">
      <c r="B913" s="326"/>
      <c r="C913" s="323"/>
      <c r="D913" s="326"/>
      <c r="E913" s="326"/>
    </row>
    <row r="914" spans="2:5" ht="12.75">
      <c r="B914" s="326"/>
      <c r="C914" s="323"/>
      <c r="D914" s="326"/>
      <c r="E914" s="326"/>
    </row>
    <row r="915" spans="2:5" ht="12.75">
      <c r="B915" s="326"/>
      <c r="C915" s="323"/>
      <c r="D915" s="326"/>
      <c r="E915" s="326"/>
    </row>
    <row r="916" spans="2:5" ht="12.75">
      <c r="B916" s="326"/>
      <c r="C916" s="323"/>
      <c r="D916" s="326"/>
      <c r="E916" s="326"/>
    </row>
    <row r="917" spans="2:5" ht="12.75">
      <c r="B917" s="326"/>
      <c r="C917" s="323"/>
      <c r="D917" s="326"/>
      <c r="E917" s="326"/>
    </row>
    <row r="918" spans="2:5" ht="12.75">
      <c r="B918" s="326"/>
      <c r="C918" s="323"/>
      <c r="D918" s="326"/>
      <c r="E918" s="326"/>
    </row>
    <row r="919" spans="2:5" ht="12.75">
      <c r="B919" s="326"/>
      <c r="C919" s="323"/>
      <c r="D919" s="326"/>
      <c r="E919" s="326"/>
    </row>
    <row r="920" spans="2:5" ht="12.75">
      <c r="B920" s="326"/>
      <c r="C920" s="323"/>
      <c r="D920" s="326"/>
      <c r="E920" s="326"/>
    </row>
    <row r="921" spans="2:5" ht="12.75">
      <c r="B921" s="326"/>
      <c r="C921" s="323"/>
      <c r="D921" s="326"/>
      <c r="E921" s="326"/>
    </row>
    <row r="922" spans="2:5" ht="12.75">
      <c r="B922" s="326"/>
      <c r="C922" s="323"/>
      <c r="D922" s="326"/>
      <c r="E922" s="326"/>
    </row>
    <row r="923" spans="2:5" ht="12.75">
      <c r="B923" s="326"/>
      <c r="C923" s="323"/>
      <c r="D923" s="326"/>
      <c r="E923" s="326"/>
    </row>
    <row r="924" spans="2:5" ht="12.75">
      <c r="B924" s="326"/>
      <c r="C924" s="323"/>
      <c r="D924" s="326"/>
      <c r="E924" s="326"/>
    </row>
    <row r="925" spans="2:5" ht="12.75">
      <c r="B925" s="326"/>
      <c r="C925" s="323"/>
      <c r="D925" s="326"/>
      <c r="E925" s="326"/>
    </row>
    <row r="926" spans="2:5" ht="12.75">
      <c r="B926" s="326"/>
      <c r="C926" s="323"/>
      <c r="D926" s="326"/>
      <c r="E926" s="326"/>
    </row>
    <row r="927" spans="2:5" ht="12.75">
      <c r="B927" s="326"/>
      <c r="C927" s="323"/>
      <c r="D927" s="326"/>
      <c r="E927" s="326"/>
    </row>
    <row r="928" spans="2:5" ht="12.75">
      <c r="B928" s="326"/>
      <c r="C928" s="323"/>
      <c r="D928" s="326"/>
      <c r="E928" s="326"/>
    </row>
    <row r="929" spans="2:5" ht="12.75">
      <c r="B929" s="326"/>
      <c r="C929" s="323"/>
      <c r="D929" s="326"/>
      <c r="E929" s="326"/>
    </row>
    <row r="930" spans="2:5" ht="12.75">
      <c r="B930" s="326"/>
      <c r="C930" s="323"/>
      <c r="D930" s="326"/>
      <c r="E930" s="326"/>
    </row>
    <row r="931" spans="2:5" ht="12.75">
      <c r="B931" s="326"/>
      <c r="C931" s="323"/>
      <c r="D931" s="326"/>
      <c r="E931" s="326"/>
    </row>
    <row r="932" spans="2:5" ht="12.75">
      <c r="B932" s="326"/>
      <c r="C932" s="323"/>
      <c r="D932" s="326"/>
      <c r="E932" s="326"/>
    </row>
    <row r="933" spans="2:5" ht="12.75">
      <c r="B933" s="326"/>
      <c r="C933" s="323"/>
      <c r="D933" s="326"/>
      <c r="E933" s="326"/>
    </row>
    <row r="934" spans="2:5" ht="12.75">
      <c r="B934" s="326"/>
      <c r="C934" s="323"/>
      <c r="D934" s="326"/>
      <c r="E934" s="326"/>
    </row>
    <row r="935" spans="2:5" ht="12.75">
      <c r="B935" s="326"/>
      <c r="C935" s="323"/>
      <c r="D935" s="326"/>
      <c r="E935" s="326"/>
    </row>
    <row r="936" spans="2:5" ht="12.75">
      <c r="B936" s="326"/>
      <c r="C936" s="323"/>
      <c r="D936" s="326"/>
      <c r="E936" s="326"/>
    </row>
    <row r="937" spans="2:5" ht="12.75">
      <c r="B937" s="326"/>
      <c r="C937" s="323"/>
      <c r="D937" s="326"/>
      <c r="E937" s="326"/>
    </row>
    <row r="938" spans="2:5" ht="12.75">
      <c r="B938" s="326"/>
      <c r="C938" s="323"/>
      <c r="D938" s="326"/>
      <c r="E938" s="326"/>
    </row>
    <row r="939" spans="2:5" ht="12.75">
      <c r="B939" s="326"/>
      <c r="C939" s="323"/>
      <c r="D939" s="326"/>
      <c r="E939" s="326"/>
    </row>
    <row r="940" spans="2:5" ht="12.75">
      <c r="B940" s="326"/>
      <c r="C940" s="323"/>
      <c r="D940" s="326"/>
      <c r="E940" s="326"/>
    </row>
    <row r="941" spans="2:5" ht="12.75">
      <c r="B941" s="326"/>
      <c r="C941" s="323"/>
      <c r="D941" s="326"/>
      <c r="E941" s="326"/>
    </row>
    <row r="942" spans="2:5" ht="12.75">
      <c r="B942" s="326"/>
      <c r="C942" s="323"/>
      <c r="D942" s="326"/>
      <c r="E942" s="326"/>
    </row>
    <row r="943" spans="2:5" ht="12.75">
      <c r="B943" s="326"/>
      <c r="C943" s="323"/>
      <c r="D943" s="326"/>
      <c r="E943" s="326"/>
    </row>
    <row r="944" spans="2:5" ht="12.75">
      <c r="B944" s="326"/>
      <c r="C944" s="323"/>
      <c r="D944" s="326"/>
      <c r="E944" s="326"/>
    </row>
    <row r="945" spans="2:5" ht="12.75">
      <c r="B945" s="326"/>
      <c r="C945" s="323"/>
      <c r="D945" s="326"/>
      <c r="E945" s="326"/>
    </row>
    <row r="946" spans="2:5" ht="12.75">
      <c r="B946" s="326"/>
      <c r="C946" s="323"/>
      <c r="D946" s="326"/>
      <c r="E946" s="326"/>
    </row>
    <row r="947" spans="2:5" ht="12.75">
      <c r="B947" s="326"/>
      <c r="C947" s="323"/>
      <c r="D947" s="326"/>
      <c r="E947" s="326"/>
    </row>
    <row r="948" spans="2:5" ht="12.75">
      <c r="B948" s="326"/>
      <c r="C948" s="323"/>
      <c r="D948" s="326"/>
      <c r="E948" s="326"/>
    </row>
    <row r="949" spans="2:5" ht="12.75">
      <c r="B949" s="326"/>
      <c r="C949" s="323"/>
      <c r="D949" s="326"/>
      <c r="E949" s="326"/>
    </row>
    <row r="950" spans="2:5" ht="12.75">
      <c r="B950" s="326"/>
      <c r="C950" s="323"/>
      <c r="D950" s="326"/>
      <c r="E950" s="326"/>
    </row>
    <row r="951" spans="2:5" ht="12.75">
      <c r="B951" s="326"/>
      <c r="C951" s="323"/>
      <c r="D951" s="326"/>
      <c r="E951" s="326"/>
    </row>
    <row r="952" spans="2:5" ht="12.75">
      <c r="B952" s="326"/>
      <c r="C952" s="323"/>
      <c r="D952" s="326"/>
      <c r="E952" s="326"/>
    </row>
    <row r="953" spans="2:5" ht="12.75">
      <c r="B953" s="326"/>
      <c r="C953" s="323"/>
      <c r="D953" s="326"/>
      <c r="E953" s="326"/>
    </row>
    <row r="954" spans="2:5" ht="12.75">
      <c r="B954" s="326"/>
      <c r="C954" s="323"/>
      <c r="D954" s="326"/>
      <c r="E954" s="326"/>
    </row>
    <row r="955" spans="2:5" ht="12.75">
      <c r="B955" s="326"/>
      <c r="C955" s="323"/>
      <c r="D955" s="326"/>
      <c r="E955" s="326"/>
    </row>
    <row r="956" spans="2:5" ht="12.75">
      <c r="B956" s="326"/>
      <c r="C956" s="323"/>
      <c r="D956" s="326"/>
      <c r="E956" s="326"/>
    </row>
    <row r="957" spans="2:5" ht="12.75">
      <c r="B957" s="326"/>
      <c r="C957" s="323"/>
      <c r="D957" s="326"/>
      <c r="E957" s="326"/>
    </row>
    <row r="958" spans="2:5" ht="12.75">
      <c r="B958" s="326"/>
      <c r="C958" s="323"/>
      <c r="D958" s="326"/>
      <c r="E958" s="326"/>
    </row>
    <row r="959" spans="2:5" ht="12.75">
      <c r="B959" s="326"/>
      <c r="C959" s="323"/>
      <c r="D959" s="326"/>
      <c r="E959" s="326"/>
    </row>
    <row r="960" spans="2:5" ht="12.75">
      <c r="B960" s="326"/>
      <c r="C960" s="323"/>
      <c r="D960" s="326"/>
      <c r="E960" s="326"/>
    </row>
    <row r="961" spans="2:5" ht="12.75">
      <c r="B961" s="326"/>
      <c r="C961" s="323"/>
      <c r="D961" s="326"/>
      <c r="E961" s="326"/>
    </row>
    <row r="962" spans="2:5" ht="12.75">
      <c r="B962" s="326"/>
      <c r="C962" s="323"/>
      <c r="D962" s="326"/>
      <c r="E962" s="326"/>
    </row>
    <row r="963" spans="2:5" ht="12.75">
      <c r="B963" s="326"/>
      <c r="C963" s="323"/>
      <c r="D963" s="326"/>
      <c r="E963" s="326"/>
    </row>
    <row r="964" spans="2:5" ht="12.75">
      <c r="B964" s="326"/>
      <c r="C964" s="323"/>
      <c r="D964" s="326"/>
      <c r="E964" s="326"/>
    </row>
    <row r="965" spans="2:5" ht="12.75">
      <c r="B965" s="326"/>
      <c r="C965" s="323"/>
      <c r="D965" s="326"/>
      <c r="E965" s="326"/>
    </row>
    <row r="966" spans="2:5" ht="12.75">
      <c r="B966" s="326"/>
      <c r="C966" s="323"/>
      <c r="D966" s="326"/>
      <c r="E966" s="326"/>
    </row>
    <row r="967" spans="2:5" ht="12.75">
      <c r="B967" s="326"/>
      <c r="C967" s="323"/>
      <c r="D967" s="326"/>
      <c r="E967" s="326"/>
    </row>
    <row r="968" spans="2:5" ht="12.75">
      <c r="B968" s="326"/>
      <c r="C968" s="323"/>
      <c r="D968" s="326"/>
      <c r="E968" s="326"/>
    </row>
    <row r="969" spans="2:5" ht="12.75">
      <c r="B969" s="326"/>
      <c r="C969" s="323"/>
      <c r="D969" s="326"/>
      <c r="E969" s="326"/>
    </row>
    <row r="970" spans="2:5" ht="12.75">
      <c r="B970" s="326"/>
      <c r="C970" s="323"/>
      <c r="D970" s="326"/>
      <c r="E970" s="326"/>
    </row>
    <row r="971" spans="2:5" ht="12.75">
      <c r="B971" s="326"/>
      <c r="C971" s="323"/>
      <c r="D971" s="326"/>
      <c r="E971" s="326"/>
    </row>
    <row r="972" spans="2:5" ht="12.75">
      <c r="B972" s="326"/>
      <c r="C972" s="323"/>
      <c r="D972" s="326"/>
      <c r="E972" s="326"/>
    </row>
    <row r="973" spans="2:5" ht="12.75">
      <c r="B973" s="326"/>
      <c r="C973" s="323"/>
      <c r="D973" s="326"/>
      <c r="E973" s="326"/>
    </row>
    <row r="974" spans="2:5" ht="12.75">
      <c r="B974" s="326"/>
      <c r="C974" s="323"/>
      <c r="D974" s="326"/>
      <c r="E974" s="326"/>
    </row>
    <row r="975" spans="2:5" ht="12.75">
      <c r="B975" s="326"/>
      <c r="C975" s="323"/>
      <c r="D975" s="326"/>
      <c r="E975" s="326"/>
    </row>
    <row r="976" spans="2:5" ht="12.75">
      <c r="B976" s="326"/>
      <c r="C976" s="323"/>
      <c r="D976" s="326"/>
      <c r="E976" s="326"/>
    </row>
    <row r="977" spans="2:5" ht="12.75">
      <c r="B977" s="326"/>
      <c r="C977" s="323"/>
      <c r="D977" s="326"/>
      <c r="E977" s="326"/>
    </row>
    <row r="978" spans="2:5" ht="12.75">
      <c r="B978" s="326"/>
      <c r="C978" s="323"/>
      <c r="D978" s="326"/>
      <c r="E978" s="326"/>
    </row>
    <row r="979" spans="2:5" ht="12.75">
      <c r="B979" s="326"/>
      <c r="C979" s="323"/>
      <c r="D979" s="326"/>
      <c r="E979" s="326"/>
    </row>
    <row r="980" spans="2:5" ht="12.75">
      <c r="B980" s="326"/>
      <c r="C980" s="323"/>
      <c r="D980" s="326"/>
      <c r="E980" s="326"/>
    </row>
    <row r="981" spans="2:5" ht="12.75">
      <c r="B981" s="326"/>
      <c r="C981" s="323"/>
      <c r="D981" s="326"/>
      <c r="E981" s="326"/>
    </row>
    <row r="982" spans="2:5" ht="12.75">
      <c r="B982" s="326"/>
      <c r="C982" s="323"/>
      <c r="D982" s="326"/>
      <c r="E982" s="326"/>
    </row>
    <row r="983" spans="2:5" ht="12.75">
      <c r="B983" s="326"/>
      <c r="C983" s="323"/>
      <c r="D983" s="326"/>
      <c r="E983" s="326"/>
    </row>
    <row r="984" spans="2:5" ht="12.75">
      <c r="B984" s="326"/>
      <c r="C984" s="323"/>
      <c r="D984" s="326"/>
      <c r="E984" s="326"/>
    </row>
    <row r="985" spans="2:5" ht="12.75">
      <c r="B985" s="326"/>
      <c r="C985" s="323"/>
      <c r="D985" s="326"/>
      <c r="E985" s="326"/>
    </row>
    <row r="986" spans="2:5" ht="12.75">
      <c r="B986" s="326"/>
      <c r="C986" s="323"/>
      <c r="D986" s="326"/>
      <c r="E986" s="326"/>
    </row>
    <row r="987" spans="2:5" ht="12.75">
      <c r="B987" s="326"/>
      <c r="C987" s="323"/>
      <c r="D987" s="326"/>
      <c r="E987" s="326"/>
    </row>
    <row r="988" spans="2:5" ht="12.75">
      <c r="B988" s="326"/>
      <c r="C988" s="323"/>
      <c r="D988" s="326"/>
      <c r="E988" s="326"/>
    </row>
    <row r="989" spans="2:5" ht="12.75">
      <c r="B989" s="326"/>
      <c r="C989" s="323"/>
      <c r="D989" s="326"/>
      <c r="E989" s="326"/>
    </row>
    <row r="990" spans="2:5" ht="12.75">
      <c r="B990" s="326"/>
      <c r="C990" s="323"/>
      <c r="D990" s="326"/>
      <c r="E990" s="326"/>
    </row>
    <row r="991" spans="2:5" ht="12.75">
      <c r="B991" s="326"/>
      <c r="C991" s="323"/>
      <c r="D991" s="326"/>
      <c r="E991" s="326"/>
    </row>
    <row r="992" spans="2:5" ht="12.75">
      <c r="B992" s="326"/>
      <c r="C992" s="323"/>
      <c r="D992" s="326"/>
      <c r="E992" s="326"/>
    </row>
    <row r="993" spans="2:5" ht="12.75">
      <c r="B993" s="326"/>
      <c r="C993" s="323"/>
      <c r="D993" s="326"/>
      <c r="E993" s="326"/>
    </row>
    <row r="994" spans="2:5" ht="12.75">
      <c r="B994" s="326"/>
      <c r="C994" s="323"/>
      <c r="D994" s="326"/>
      <c r="E994" s="326"/>
    </row>
    <row r="995" spans="2:5" ht="12.75">
      <c r="B995" s="326"/>
      <c r="C995" s="323"/>
      <c r="D995" s="326"/>
      <c r="E995" s="326"/>
    </row>
    <row r="996" spans="2:5" ht="12.75">
      <c r="B996" s="326"/>
      <c r="C996" s="323"/>
      <c r="D996" s="326"/>
      <c r="E996" s="326"/>
    </row>
    <row r="997" spans="2:5" ht="12.75">
      <c r="B997" s="326"/>
      <c r="C997" s="323"/>
      <c r="D997" s="326"/>
      <c r="E997" s="326"/>
    </row>
    <row r="998" spans="2:5" ht="12.75">
      <c r="B998" s="326"/>
      <c r="C998" s="323"/>
      <c r="D998" s="326"/>
      <c r="E998" s="326"/>
    </row>
    <row r="999" spans="2:5" ht="12.75">
      <c r="B999" s="326"/>
      <c r="C999" s="323"/>
      <c r="D999" s="326"/>
      <c r="E999" s="326"/>
    </row>
    <row r="1000" spans="2:5" ht="12.75">
      <c r="B1000" s="326"/>
      <c r="C1000" s="323"/>
      <c r="D1000" s="326"/>
      <c r="E1000" s="326"/>
    </row>
    <row r="1001" spans="2:5" ht="12.75">
      <c r="B1001" s="326"/>
      <c r="C1001" s="323"/>
      <c r="D1001" s="326"/>
      <c r="E1001" s="326"/>
    </row>
    <row r="1002" spans="2:5" ht="12.75">
      <c r="B1002" s="326"/>
      <c r="C1002" s="323"/>
      <c r="D1002" s="326"/>
      <c r="E1002" s="326"/>
    </row>
    <row r="1003" spans="2:5" ht="12.75">
      <c r="B1003" s="326"/>
      <c r="C1003" s="323"/>
      <c r="D1003" s="326"/>
      <c r="E1003" s="326"/>
    </row>
    <row r="1004" spans="2:5" ht="12.75">
      <c r="B1004" s="326"/>
      <c r="C1004" s="323"/>
      <c r="D1004" s="326"/>
      <c r="E1004" s="326"/>
    </row>
    <row r="1005" spans="2:5" ht="12.75">
      <c r="B1005" s="326"/>
      <c r="C1005" s="323"/>
      <c r="D1005" s="326"/>
      <c r="E1005" s="326"/>
    </row>
    <row r="1006" spans="2:5" ht="12.75">
      <c r="B1006" s="326"/>
      <c r="C1006" s="323"/>
      <c r="D1006" s="326"/>
      <c r="E1006" s="326"/>
    </row>
    <row r="1007" spans="2:5" ht="12.75">
      <c r="B1007" s="326"/>
      <c r="C1007" s="323"/>
      <c r="D1007" s="326"/>
      <c r="E1007" s="326"/>
    </row>
    <row r="1008" spans="2:5" ht="12.75">
      <c r="B1008" s="326"/>
      <c r="C1008" s="323"/>
      <c r="D1008" s="326"/>
      <c r="E1008" s="326"/>
    </row>
    <row r="1009" spans="2:5" ht="12.75">
      <c r="B1009" s="326"/>
      <c r="C1009" s="323"/>
      <c r="D1009" s="326"/>
      <c r="E1009" s="326"/>
    </row>
    <row r="1010" spans="2:5" ht="12.75">
      <c r="B1010" s="326"/>
      <c r="C1010" s="323"/>
      <c r="D1010" s="326"/>
      <c r="E1010" s="326"/>
    </row>
    <row r="1011" spans="2:5" ht="12.75">
      <c r="B1011" s="326"/>
      <c r="C1011" s="323"/>
      <c r="D1011" s="326"/>
      <c r="E1011" s="326"/>
    </row>
    <row r="1012" spans="2:5" ht="12.75">
      <c r="B1012" s="326"/>
      <c r="C1012" s="323"/>
      <c r="D1012" s="326"/>
      <c r="E1012" s="326"/>
    </row>
    <row r="1013" spans="2:5" ht="12.75">
      <c r="B1013" s="326"/>
      <c r="C1013" s="323"/>
      <c r="D1013" s="326"/>
      <c r="E1013" s="326"/>
    </row>
    <row r="1014" spans="2:5" ht="12.75">
      <c r="B1014" s="326"/>
      <c r="C1014" s="323"/>
      <c r="D1014" s="326"/>
      <c r="E1014" s="326"/>
    </row>
    <row r="1015" spans="2:5" ht="12.75">
      <c r="B1015" s="326"/>
      <c r="C1015" s="323"/>
      <c r="D1015" s="326"/>
      <c r="E1015" s="326"/>
    </row>
    <row r="1016" spans="2:5" ht="12.75">
      <c r="B1016" s="326"/>
      <c r="C1016" s="323"/>
      <c r="D1016" s="326"/>
      <c r="E1016" s="326"/>
    </row>
    <row r="1017" spans="2:5" ht="12.75">
      <c r="B1017" s="326"/>
      <c r="C1017" s="323"/>
      <c r="D1017" s="326"/>
      <c r="E1017" s="326"/>
    </row>
    <row r="1018" spans="2:5" ht="12.75">
      <c r="B1018" s="326"/>
      <c r="C1018" s="323"/>
      <c r="D1018" s="326"/>
      <c r="E1018" s="326"/>
    </row>
    <row r="1019" spans="2:5" ht="12.75">
      <c r="B1019" s="326"/>
      <c r="C1019" s="323"/>
      <c r="D1019" s="326"/>
      <c r="E1019" s="326"/>
    </row>
    <row r="1020" spans="2:5" ht="12.75">
      <c r="B1020" s="326"/>
      <c r="C1020" s="323"/>
      <c r="D1020" s="326"/>
      <c r="E1020" s="326"/>
    </row>
    <row r="1021" spans="2:5" ht="12.75">
      <c r="B1021" s="326"/>
      <c r="C1021" s="323"/>
      <c r="D1021" s="326"/>
      <c r="E1021" s="326"/>
    </row>
    <row r="1022" spans="2:5" ht="12.75">
      <c r="B1022" s="326"/>
      <c r="C1022" s="323"/>
      <c r="D1022" s="326"/>
      <c r="E1022" s="326"/>
    </row>
    <row r="1023" spans="2:5" ht="12.75">
      <c r="B1023" s="326"/>
      <c r="C1023" s="323"/>
      <c r="D1023" s="326"/>
      <c r="E1023" s="326"/>
    </row>
    <row r="1024" spans="2:5" ht="12.75">
      <c r="B1024" s="326"/>
      <c r="C1024" s="323"/>
      <c r="D1024" s="326"/>
      <c r="E1024" s="326"/>
    </row>
    <row r="1025" spans="2:5" ht="12.75">
      <c r="B1025" s="326"/>
      <c r="C1025" s="323"/>
      <c r="D1025" s="326"/>
      <c r="E1025" s="326"/>
    </row>
    <row r="1026" spans="2:5" ht="12.75">
      <c r="B1026" s="326"/>
      <c r="C1026" s="323"/>
      <c r="D1026" s="326"/>
      <c r="E1026" s="326"/>
    </row>
    <row r="1027" spans="2:5" ht="12.75">
      <c r="B1027" s="326"/>
      <c r="C1027" s="323"/>
      <c r="D1027" s="326"/>
      <c r="E1027" s="326"/>
    </row>
    <row r="1028" spans="2:5" ht="12.75">
      <c r="B1028" s="326"/>
      <c r="C1028" s="323"/>
      <c r="D1028" s="326"/>
      <c r="E1028" s="326"/>
    </row>
    <row r="1029" spans="2:5" ht="12.75">
      <c r="B1029" s="326"/>
      <c r="C1029" s="323"/>
      <c r="D1029" s="326"/>
      <c r="E1029" s="326"/>
    </row>
    <row r="1030" spans="2:5" ht="12.75">
      <c r="B1030" s="326"/>
      <c r="C1030" s="323"/>
      <c r="D1030" s="326"/>
      <c r="E1030" s="326"/>
    </row>
    <row r="1031" spans="2:5" ht="12.75">
      <c r="B1031" s="326"/>
      <c r="C1031" s="323"/>
      <c r="D1031" s="326"/>
      <c r="E1031" s="326"/>
    </row>
    <row r="1032" spans="2:5" ht="12.75">
      <c r="B1032" s="326"/>
      <c r="C1032" s="323"/>
      <c r="D1032" s="326"/>
      <c r="E1032" s="326"/>
    </row>
    <row r="1033" spans="2:5" ht="12.75">
      <c r="B1033" s="326"/>
      <c r="C1033" s="323"/>
      <c r="D1033" s="326"/>
      <c r="E1033" s="326"/>
    </row>
    <row r="1034" spans="2:5" ht="12.75">
      <c r="B1034" s="326"/>
      <c r="C1034" s="323"/>
      <c r="D1034" s="326"/>
      <c r="E1034" s="326"/>
    </row>
    <row r="1035" spans="2:5" ht="12.75">
      <c r="B1035" s="326"/>
      <c r="C1035" s="323"/>
      <c r="D1035" s="326"/>
      <c r="E1035" s="326"/>
    </row>
    <row r="1036" spans="2:5" ht="12.75">
      <c r="B1036" s="326"/>
      <c r="C1036" s="323"/>
      <c r="D1036" s="326"/>
      <c r="E1036" s="326"/>
    </row>
    <row r="1037" spans="2:5" ht="12.75">
      <c r="B1037" s="326"/>
      <c r="C1037" s="323"/>
      <c r="D1037" s="326"/>
      <c r="E1037" s="326"/>
    </row>
    <row r="1038" spans="2:5" ht="12.75">
      <c r="B1038" s="326"/>
      <c r="C1038" s="323"/>
      <c r="D1038" s="326"/>
      <c r="E1038" s="326"/>
    </row>
    <row r="1039" spans="2:5" ht="12.75">
      <c r="B1039" s="326"/>
      <c r="C1039" s="323"/>
      <c r="D1039" s="326"/>
      <c r="E1039" s="326"/>
    </row>
    <row r="1040" spans="2:5" ht="12.75">
      <c r="B1040" s="326"/>
      <c r="C1040" s="323"/>
      <c r="D1040" s="326"/>
      <c r="E1040" s="326"/>
    </row>
    <row r="1041" spans="2:5" ht="12.75">
      <c r="B1041" s="326"/>
      <c r="C1041" s="323"/>
      <c r="D1041" s="326"/>
      <c r="E1041" s="326"/>
    </row>
    <row r="1042" spans="2:5" ht="12.75">
      <c r="B1042" s="326"/>
      <c r="C1042" s="323"/>
      <c r="D1042" s="326"/>
      <c r="E1042" s="326"/>
    </row>
    <row r="1043" spans="2:5" ht="12.75">
      <c r="B1043" s="326"/>
      <c r="C1043" s="323"/>
      <c r="D1043" s="326"/>
      <c r="E1043" s="326"/>
    </row>
    <row r="1044" spans="2:5" ht="12.75">
      <c r="B1044" s="326"/>
      <c r="C1044" s="323"/>
      <c r="D1044" s="326"/>
      <c r="E1044" s="326"/>
    </row>
    <row r="1045" spans="2:5" ht="12.75">
      <c r="B1045" s="326"/>
      <c r="C1045" s="323"/>
      <c r="D1045" s="326"/>
      <c r="E1045" s="326"/>
    </row>
    <row r="1046" spans="2:5" ht="12.75">
      <c r="B1046" s="326"/>
      <c r="C1046" s="323"/>
      <c r="D1046" s="326"/>
      <c r="E1046" s="326"/>
    </row>
    <row r="1047" spans="2:5" ht="12.75">
      <c r="B1047" s="326"/>
      <c r="C1047" s="323"/>
      <c r="D1047" s="326"/>
      <c r="E1047" s="326"/>
    </row>
    <row r="1048" spans="2:5" ht="12.75">
      <c r="B1048" s="326"/>
      <c r="C1048" s="323"/>
      <c r="D1048" s="326"/>
      <c r="E1048" s="326"/>
    </row>
    <row r="1049" spans="2:5" ht="12.75">
      <c r="B1049" s="326"/>
      <c r="C1049" s="323"/>
      <c r="D1049" s="326"/>
      <c r="E1049" s="326"/>
    </row>
    <row r="1050" spans="2:5" ht="12.75">
      <c r="B1050" s="326"/>
      <c r="C1050" s="323"/>
      <c r="D1050" s="326"/>
      <c r="E1050" s="326"/>
    </row>
    <row r="1051" spans="2:5" ht="12.75">
      <c r="B1051" s="326"/>
      <c r="C1051" s="323"/>
      <c r="D1051" s="326"/>
      <c r="E1051" s="326"/>
    </row>
    <row r="1052" spans="2:5" ht="12.75">
      <c r="B1052" s="326"/>
      <c r="C1052" s="323"/>
      <c r="D1052" s="326"/>
      <c r="E1052" s="326"/>
    </row>
    <row r="1053" spans="2:5" ht="12.75">
      <c r="B1053" s="326"/>
      <c r="C1053" s="323"/>
      <c r="D1053" s="326"/>
      <c r="E1053" s="326"/>
    </row>
    <row r="1054" spans="2:5" ht="12.75">
      <c r="B1054" s="326"/>
      <c r="C1054" s="323"/>
      <c r="D1054" s="326"/>
      <c r="E1054" s="326"/>
    </row>
    <row r="1055" spans="2:5" ht="12.75">
      <c r="B1055" s="326"/>
      <c r="C1055" s="323"/>
      <c r="D1055" s="326"/>
      <c r="E1055" s="326"/>
    </row>
    <row r="1056" spans="2:5" ht="12.75">
      <c r="B1056" s="326"/>
      <c r="C1056" s="323"/>
      <c r="D1056" s="326"/>
      <c r="E1056" s="326"/>
    </row>
    <row r="1057" spans="2:5" ht="12.75">
      <c r="B1057" s="326"/>
      <c r="C1057" s="323"/>
      <c r="D1057" s="326"/>
      <c r="E1057" s="326"/>
    </row>
    <row r="1058" spans="2:5" ht="12.75">
      <c r="B1058" s="326"/>
      <c r="C1058" s="323"/>
      <c r="D1058" s="326"/>
      <c r="E1058" s="326"/>
    </row>
    <row r="1059" spans="2:5" ht="12.75">
      <c r="B1059" s="326"/>
      <c r="C1059" s="323"/>
      <c r="D1059" s="326"/>
      <c r="E1059" s="326"/>
    </row>
    <row r="1060" spans="2:5" ht="12.75">
      <c r="B1060" s="326"/>
      <c r="C1060" s="323"/>
      <c r="D1060" s="326"/>
      <c r="E1060" s="326"/>
    </row>
    <row r="1061" spans="2:5" ht="12.75">
      <c r="B1061" s="326"/>
      <c r="C1061" s="323"/>
      <c r="D1061" s="326"/>
      <c r="E1061" s="326"/>
    </row>
    <row r="1062" spans="2:5" ht="12.75">
      <c r="B1062" s="326"/>
      <c r="C1062" s="323"/>
      <c r="D1062" s="326"/>
      <c r="E1062" s="326"/>
    </row>
    <row r="1063" spans="2:5" ht="12.75">
      <c r="B1063" s="326"/>
      <c r="C1063" s="323"/>
      <c r="D1063" s="326"/>
      <c r="E1063" s="326"/>
    </row>
    <row r="1064" spans="2:5" ht="12.75">
      <c r="B1064" s="326"/>
      <c r="C1064" s="323"/>
      <c r="D1064" s="326"/>
      <c r="E1064" s="326"/>
    </row>
    <row r="1065" spans="2:5" ht="12.75">
      <c r="B1065" s="326"/>
      <c r="C1065" s="323"/>
      <c r="D1065" s="326"/>
      <c r="E1065" s="326"/>
    </row>
    <row r="1066" spans="2:5" ht="12.75">
      <c r="B1066" s="326"/>
      <c r="C1066" s="323"/>
      <c r="D1066" s="326"/>
      <c r="E1066" s="326"/>
    </row>
    <row r="1067" spans="2:5" ht="12.75">
      <c r="B1067" s="326"/>
      <c r="C1067" s="323"/>
      <c r="D1067" s="326"/>
      <c r="E1067" s="326"/>
    </row>
    <row r="1068" spans="2:5" ht="12.75">
      <c r="B1068" s="326"/>
      <c r="C1068" s="323"/>
      <c r="D1068" s="326"/>
      <c r="E1068" s="326"/>
    </row>
    <row r="1069" spans="2:5" ht="12.75">
      <c r="B1069" s="326"/>
      <c r="C1069" s="323"/>
      <c r="D1069" s="326"/>
      <c r="E1069" s="326"/>
    </row>
    <row r="1070" spans="2:5" ht="12.75">
      <c r="B1070" s="326"/>
      <c r="C1070" s="323"/>
      <c r="D1070" s="326"/>
      <c r="E1070" s="326"/>
    </row>
    <row r="1071" spans="2:5" ht="12.75">
      <c r="B1071" s="326"/>
      <c r="C1071" s="323"/>
      <c r="D1071" s="326"/>
      <c r="E1071" s="326"/>
    </row>
    <row r="1072" spans="2:5" ht="12.75">
      <c r="B1072" s="326"/>
      <c r="C1072" s="323"/>
      <c r="D1072" s="326"/>
      <c r="E1072" s="326"/>
    </row>
    <row r="1073" spans="2:5" ht="12.75">
      <c r="B1073" s="326"/>
      <c r="C1073" s="323"/>
      <c r="D1073" s="326"/>
      <c r="E1073" s="326"/>
    </row>
    <row r="1074" spans="2:5" ht="12.75">
      <c r="B1074" s="326"/>
      <c r="C1074" s="323"/>
      <c r="D1074" s="326"/>
      <c r="E1074" s="326"/>
    </row>
    <row r="1075" spans="2:5" ht="12.75">
      <c r="B1075" s="326"/>
      <c r="C1075" s="323"/>
      <c r="D1075" s="326"/>
      <c r="E1075" s="326"/>
    </row>
    <row r="1076" spans="2:5" ht="12.75">
      <c r="B1076" s="326"/>
      <c r="C1076" s="323"/>
      <c r="D1076" s="326"/>
      <c r="E1076" s="326"/>
    </row>
    <row r="1077" spans="2:5" ht="12.75">
      <c r="B1077" s="326"/>
      <c r="C1077" s="323"/>
      <c r="D1077" s="326"/>
      <c r="E1077" s="326"/>
    </row>
    <row r="1078" spans="2:5" ht="12.75">
      <c r="B1078" s="326"/>
      <c r="C1078" s="323"/>
      <c r="D1078" s="326"/>
      <c r="E1078" s="326"/>
    </row>
    <row r="1079" spans="2:5" ht="12.75">
      <c r="B1079" s="326"/>
      <c r="C1079" s="323"/>
      <c r="D1079" s="326"/>
      <c r="E1079" s="326"/>
    </row>
    <row r="1080" spans="2:5" ht="12.75">
      <c r="B1080" s="326"/>
      <c r="C1080" s="323"/>
      <c r="D1080" s="326"/>
      <c r="E1080" s="326"/>
    </row>
    <row r="1081" spans="2:5" ht="12.75">
      <c r="B1081" s="326"/>
      <c r="C1081" s="323"/>
      <c r="D1081" s="326"/>
      <c r="E1081" s="326"/>
    </row>
    <row r="1082" spans="2:5" ht="12.75">
      <c r="B1082" s="326"/>
      <c r="C1082" s="323"/>
      <c r="D1082" s="326"/>
      <c r="E1082" s="326"/>
    </row>
    <row r="1083" spans="2:5" ht="12.75">
      <c r="B1083" s="326"/>
      <c r="C1083" s="323"/>
      <c r="D1083" s="326"/>
      <c r="E1083" s="326"/>
    </row>
    <row r="1084" spans="2:5" ht="12.75">
      <c r="B1084" s="326"/>
      <c r="C1084" s="323"/>
      <c r="D1084" s="326"/>
      <c r="E1084" s="326"/>
    </row>
    <row r="1085" spans="2:5" ht="12.75">
      <c r="B1085" s="326"/>
      <c r="C1085" s="323"/>
      <c r="D1085" s="326"/>
      <c r="E1085" s="326"/>
    </row>
    <row r="1086" spans="2:5" ht="12.75">
      <c r="B1086" s="326"/>
      <c r="C1086" s="323"/>
      <c r="D1086" s="326"/>
      <c r="E1086" s="326"/>
    </row>
    <row r="1087" spans="2:5" ht="12.75">
      <c r="B1087" s="326"/>
      <c r="C1087" s="323"/>
      <c r="D1087" s="326"/>
      <c r="E1087" s="326"/>
    </row>
    <row r="1088" spans="2:5" ht="12.75">
      <c r="B1088" s="326"/>
      <c r="C1088" s="323"/>
      <c r="D1088" s="326"/>
      <c r="E1088" s="326"/>
    </row>
    <row r="1089" spans="2:5" ht="12.75">
      <c r="B1089" s="326"/>
      <c r="C1089" s="323"/>
      <c r="D1089" s="326"/>
      <c r="E1089" s="326"/>
    </row>
    <row r="1090" spans="2:5" ht="12.75">
      <c r="B1090" s="326"/>
      <c r="C1090" s="323"/>
      <c r="D1090" s="326"/>
      <c r="E1090" s="326"/>
    </row>
    <row r="1091" spans="2:5" ht="12.75">
      <c r="B1091" s="326"/>
      <c r="C1091" s="323"/>
      <c r="D1091" s="326"/>
      <c r="E1091" s="326"/>
    </row>
    <row r="1092" spans="2:5" ht="12.75">
      <c r="B1092" s="326"/>
      <c r="C1092" s="323"/>
      <c r="D1092" s="326"/>
      <c r="E1092" s="326"/>
    </row>
    <row r="1093" spans="2:5" ht="12.75">
      <c r="B1093" s="326"/>
      <c r="C1093" s="323"/>
      <c r="D1093" s="326"/>
      <c r="E1093" s="326"/>
    </row>
    <row r="1094" spans="2:5" ht="12.75">
      <c r="B1094" s="326"/>
      <c r="C1094" s="323"/>
      <c r="D1094" s="326"/>
      <c r="E1094" s="326"/>
    </row>
    <row r="1095" spans="2:5" ht="12.75">
      <c r="B1095" s="326"/>
      <c r="C1095" s="323"/>
      <c r="D1095" s="326"/>
      <c r="E1095" s="326"/>
    </row>
    <row r="1096" spans="2:5" ht="12.75">
      <c r="B1096" s="326"/>
      <c r="C1096" s="323"/>
      <c r="D1096" s="326"/>
      <c r="E1096" s="326"/>
    </row>
    <row r="1097" spans="2:5" ht="12.75">
      <c r="B1097" s="326"/>
      <c r="C1097" s="323"/>
      <c r="D1097" s="326"/>
      <c r="E1097" s="326"/>
    </row>
    <row r="1098" spans="2:5" ht="12.75">
      <c r="B1098" s="326"/>
      <c r="C1098" s="323"/>
      <c r="D1098" s="326"/>
      <c r="E1098" s="326"/>
    </row>
    <row r="1099" spans="2:5" ht="12.75">
      <c r="B1099" s="326"/>
      <c r="C1099" s="323"/>
      <c r="D1099" s="326"/>
      <c r="E1099" s="326"/>
    </row>
    <row r="1100" spans="2:5" ht="12.75">
      <c r="B1100" s="326"/>
      <c r="C1100" s="323"/>
      <c r="D1100" s="326"/>
      <c r="E1100" s="326"/>
    </row>
    <row r="1101" spans="2:5" ht="12.75">
      <c r="B1101" s="326"/>
      <c r="C1101" s="323"/>
      <c r="D1101" s="326"/>
      <c r="E1101" s="326"/>
    </row>
    <row r="1102" spans="2:5" ht="12.75">
      <c r="B1102" s="326"/>
      <c r="C1102" s="323"/>
      <c r="D1102" s="326"/>
      <c r="E1102" s="326"/>
    </row>
    <row r="1103" spans="2:5" ht="12.75">
      <c r="B1103" s="326"/>
      <c r="C1103" s="323"/>
      <c r="D1103" s="326"/>
      <c r="E1103" s="326"/>
    </row>
    <row r="1104" spans="2:5" ht="12.75">
      <c r="B1104" s="326"/>
      <c r="C1104" s="323"/>
      <c r="D1104" s="326"/>
      <c r="E1104" s="326"/>
    </row>
    <row r="1105" spans="2:5" ht="12.75">
      <c r="B1105" s="326"/>
      <c r="C1105" s="323"/>
      <c r="D1105" s="326"/>
      <c r="E1105" s="326"/>
    </row>
    <row r="1106" spans="2:5" ht="12.75">
      <c r="B1106" s="326"/>
      <c r="C1106" s="323"/>
      <c r="D1106" s="326"/>
      <c r="E1106" s="326"/>
    </row>
    <row r="1107" spans="2:5" ht="12.75">
      <c r="B1107" s="326"/>
      <c r="C1107" s="323"/>
      <c r="D1107" s="326"/>
      <c r="E1107" s="326"/>
    </row>
    <row r="1108" spans="2:5" ht="12.75">
      <c r="B1108" s="326"/>
      <c r="C1108" s="323"/>
      <c r="D1108" s="326"/>
      <c r="E1108" s="326"/>
    </row>
    <row r="1109" spans="2:5" ht="12.75">
      <c r="B1109" s="326"/>
      <c r="C1109" s="323"/>
      <c r="D1109" s="326"/>
      <c r="E1109" s="326"/>
    </row>
    <row r="1110" spans="2:5" ht="12.75">
      <c r="B1110" s="326"/>
      <c r="C1110" s="323"/>
      <c r="D1110" s="326"/>
      <c r="E1110" s="326"/>
    </row>
    <row r="1111" spans="2:5" ht="12.75">
      <c r="B1111" s="326"/>
      <c r="C1111" s="323"/>
      <c r="D1111" s="326"/>
      <c r="E1111" s="326"/>
    </row>
    <row r="1112" spans="2:5" ht="12.75">
      <c r="B1112" s="326"/>
      <c r="C1112" s="323"/>
      <c r="D1112" s="326"/>
      <c r="E1112" s="326"/>
    </row>
    <row r="1113" spans="2:5" ht="12.75">
      <c r="B1113" s="326"/>
      <c r="C1113" s="323"/>
      <c r="D1113" s="326"/>
      <c r="E1113" s="326"/>
    </row>
    <row r="1114" spans="2:5" ht="12.75">
      <c r="B1114" s="326"/>
      <c r="C1114" s="323"/>
      <c r="D1114" s="326"/>
      <c r="E1114" s="326"/>
    </row>
    <row r="1115" spans="2:5" ht="12.75">
      <c r="B1115" s="326"/>
      <c r="C1115" s="323"/>
      <c r="D1115" s="326"/>
      <c r="E1115" s="326"/>
    </row>
    <row r="1116" spans="2:5" ht="12.75">
      <c r="B1116" s="326"/>
      <c r="C1116" s="323"/>
      <c r="D1116" s="326"/>
      <c r="E1116" s="326"/>
    </row>
    <row r="1117" spans="2:5" ht="12.75">
      <c r="B1117" s="326"/>
      <c r="C1117" s="323"/>
      <c r="D1117" s="326"/>
      <c r="E1117" s="326"/>
    </row>
    <row r="1118" spans="2:5" ht="12.75">
      <c r="B1118" s="326"/>
      <c r="C1118" s="323"/>
      <c r="D1118" s="326"/>
      <c r="E1118" s="326"/>
    </row>
    <row r="1119" spans="2:5" ht="12.75">
      <c r="B1119" s="326"/>
      <c r="C1119" s="323"/>
      <c r="D1119" s="326"/>
      <c r="E1119" s="326"/>
    </row>
    <row r="1120" spans="2:5" ht="12.75">
      <c r="B1120" s="326"/>
      <c r="C1120" s="323"/>
      <c r="D1120" s="326"/>
      <c r="E1120" s="326"/>
    </row>
    <row r="1121" spans="2:5" ht="12.75">
      <c r="B1121" s="326"/>
      <c r="C1121" s="323"/>
      <c r="D1121" s="326"/>
      <c r="E1121" s="326"/>
    </row>
    <row r="1122" spans="2:5" ht="12.75">
      <c r="B1122" s="326"/>
      <c r="C1122" s="323"/>
      <c r="D1122" s="326"/>
      <c r="E1122" s="326"/>
    </row>
    <row r="1123" spans="2:5" ht="12.75">
      <c r="B1123" s="326"/>
      <c r="C1123" s="323"/>
      <c r="D1123" s="326"/>
      <c r="E1123" s="326"/>
    </row>
    <row r="1124" spans="2:5" ht="12.75">
      <c r="B1124" s="326"/>
      <c r="C1124" s="323"/>
      <c r="D1124" s="326"/>
      <c r="E1124" s="326"/>
    </row>
    <row r="1125" spans="2:5" ht="12.75">
      <c r="B1125" s="326"/>
      <c r="C1125" s="323"/>
      <c r="D1125" s="326"/>
      <c r="E1125" s="326"/>
    </row>
    <row r="1126" spans="2:5" ht="12.75">
      <c r="B1126" s="326"/>
      <c r="C1126" s="323"/>
      <c r="D1126" s="326"/>
      <c r="E1126" s="326"/>
    </row>
    <row r="1127" spans="2:5" ht="12.75">
      <c r="B1127" s="326"/>
      <c r="C1127" s="323"/>
      <c r="D1127" s="326"/>
      <c r="E1127" s="326"/>
    </row>
    <row r="1128" spans="2:5" ht="12.75">
      <c r="B1128" s="326"/>
      <c r="C1128" s="323"/>
      <c r="D1128" s="326"/>
      <c r="E1128" s="326"/>
    </row>
    <row r="1129" spans="2:5" ht="12.75">
      <c r="B1129" s="326"/>
      <c r="C1129" s="323"/>
      <c r="D1129" s="326"/>
      <c r="E1129" s="326"/>
    </row>
    <row r="1130" spans="2:5" ht="12.75">
      <c r="B1130" s="326"/>
      <c r="C1130" s="323"/>
      <c r="D1130" s="326"/>
      <c r="E1130" s="326"/>
    </row>
    <row r="1131" spans="2:5" ht="12.75">
      <c r="B1131" s="326"/>
      <c r="C1131" s="323"/>
      <c r="D1131" s="326"/>
      <c r="E1131" s="326"/>
    </row>
    <row r="1132" spans="2:5" ht="12.75">
      <c r="B1132" s="326"/>
      <c r="C1132" s="323"/>
      <c r="D1132" s="326"/>
      <c r="E1132" s="326"/>
    </row>
    <row r="1133" spans="2:5" ht="12.75">
      <c r="B1133" s="326"/>
      <c r="C1133" s="323"/>
      <c r="D1133" s="326"/>
      <c r="E1133" s="326"/>
    </row>
    <row r="1134" spans="2:5" ht="12.75">
      <c r="B1134" s="326"/>
      <c r="C1134" s="323"/>
      <c r="D1134" s="326"/>
      <c r="E1134" s="326"/>
    </row>
    <row r="1135" spans="2:5" ht="12.75">
      <c r="B1135" s="326"/>
      <c r="C1135" s="323"/>
      <c r="D1135" s="326"/>
      <c r="E1135" s="326"/>
    </row>
    <row r="1136" spans="2:5" ht="12.75">
      <c r="B1136" s="326"/>
      <c r="C1136" s="323"/>
      <c r="D1136" s="326"/>
      <c r="E1136" s="326"/>
    </row>
    <row r="1137" spans="2:5" ht="12.75">
      <c r="B1137" s="326"/>
      <c r="C1137" s="323"/>
      <c r="D1137" s="326"/>
      <c r="E1137" s="326"/>
    </row>
    <row r="1138" spans="2:5" ht="12.75">
      <c r="B1138" s="326"/>
      <c r="C1138" s="323"/>
      <c r="D1138" s="326"/>
      <c r="E1138" s="326"/>
    </row>
    <row r="1139" spans="2:5" ht="12.75">
      <c r="B1139" s="326"/>
      <c r="C1139" s="323"/>
      <c r="D1139" s="326"/>
      <c r="E1139" s="326"/>
    </row>
    <row r="1140" spans="2:5" ht="12.75">
      <c r="B1140" s="326"/>
      <c r="C1140" s="323"/>
      <c r="D1140" s="326"/>
      <c r="E1140" s="326"/>
    </row>
    <row r="1141" spans="2:5" ht="12.75">
      <c r="B1141" s="326"/>
      <c r="C1141" s="323"/>
      <c r="D1141" s="326"/>
      <c r="E1141" s="326"/>
    </row>
    <row r="1142" spans="2:5" ht="12.75">
      <c r="B1142" s="326"/>
      <c r="C1142" s="323"/>
      <c r="D1142" s="326"/>
      <c r="E1142" s="326"/>
    </row>
    <row r="1143" spans="2:5" ht="12.75">
      <c r="B1143" s="326"/>
      <c r="C1143" s="323"/>
      <c r="D1143" s="326"/>
      <c r="E1143" s="326"/>
    </row>
    <row r="1144" spans="2:5" ht="12.75">
      <c r="B1144" s="326"/>
      <c r="C1144" s="323"/>
      <c r="D1144" s="326"/>
      <c r="E1144" s="326"/>
    </row>
    <row r="1145" spans="2:5" ht="12.75">
      <c r="B1145" s="326"/>
      <c r="C1145" s="323"/>
      <c r="D1145" s="326"/>
      <c r="E1145" s="326"/>
    </row>
    <row r="1146" spans="2:5" ht="12.75">
      <c r="B1146" s="326"/>
      <c r="C1146" s="323"/>
      <c r="D1146" s="326"/>
      <c r="E1146" s="326"/>
    </row>
    <row r="1147" spans="2:5" ht="12.75">
      <c r="B1147" s="326"/>
      <c r="C1147" s="323"/>
      <c r="D1147" s="326"/>
      <c r="E1147" s="326"/>
    </row>
    <row r="1148" spans="2:5" ht="12.75">
      <c r="B1148" s="326"/>
      <c r="C1148" s="323"/>
      <c r="D1148" s="326"/>
      <c r="E1148" s="326"/>
    </row>
    <row r="1149" spans="2:5" ht="12.75">
      <c r="B1149" s="326"/>
      <c r="C1149" s="323"/>
      <c r="D1149" s="326"/>
      <c r="E1149" s="326"/>
    </row>
    <row r="1150" spans="2:5" ht="12.75">
      <c r="B1150" s="326"/>
      <c r="C1150" s="323"/>
      <c r="D1150" s="326"/>
      <c r="E1150" s="326"/>
    </row>
    <row r="1151" spans="2:5" ht="12.75">
      <c r="B1151" s="326"/>
      <c r="C1151" s="323"/>
      <c r="D1151" s="326"/>
      <c r="E1151" s="326"/>
    </row>
    <row r="1152" spans="2:5" ht="12.75">
      <c r="B1152" s="326"/>
      <c r="C1152" s="323"/>
      <c r="D1152" s="326"/>
      <c r="E1152" s="326"/>
    </row>
    <row r="1153" spans="2:5" ht="12.75">
      <c r="B1153" s="326"/>
      <c r="C1153" s="323"/>
      <c r="D1153" s="326"/>
      <c r="E1153" s="326"/>
    </row>
    <row r="1154" spans="2:5" ht="12.75">
      <c r="B1154" s="326"/>
      <c r="C1154" s="323"/>
      <c r="D1154" s="326"/>
      <c r="E1154" s="326"/>
    </row>
    <row r="1155" spans="2:5" ht="12.75">
      <c r="B1155" s="326"/>
      <c r="C1155" s="323"/>
      <c r="D1155" s="326"/>
      <c r="E1155" s="326"/>
    </row>
    <row r="1156" spans="2:5" ht="12.75">
      <c r="B1156" s="326"/>
      <c r="C1156" s="323"/>
      <c r="D1156" s="326"/>
      <c r="E1156" s="326"/>
    </row>
    <row r="1157" spans="2:5" ht="12.75">
      <c r="B1157" s="326"/>
      <c r="C1157" s="323"/>
      <c r="D1157" s="326"/>
      <c r="E1157" s="326"/>
    </row>
    <row r="1158" spans="2:5" ht="12.75">
      <c r="B1158" s="326"/>
      <c r="C1158" s="323"/>
      <c r="D1158" s="326"/>
      <c r="E1158" s="326"/>
    </row>
    <row r="1159" spans="2:5" ht="12.75">
      <c r="B1159" s="326"/>
      <c r="C1159" s="323"/>
      <c r="D1159" s="326"/>
      <c r="E1159" s="326"/>
    </row>
    <row r="1160" spans="2:5" ht="12.75">
      <c r="B1160" s="326"/>
      <c r="C1160" s="323"/>
      <c r="D1160" s="326"/>
      <c r="E1160" s="326"/>
    </row>
    <row r="1161" spans="2:5" ht="12.75">
      <c r="B1161" s="326"/>
      <c r="C1161" s="323"/>
      <c r="D1161" s="326"/>
      <c r="E1161" s="326"/>
    </row>
    <row r="1162" spans="2:5" ht="12.75">
      <c r="B1162" s="326"/>
      <c r="C1162" s="323"/>
      <c r="D1162" s="326"/>
      <c r="E1162" s="326"/>
    </row>
    <row r="1163" spans="2:5" ht="12.75">
      <c r="B1163" s="326"/>
      <c r="C1163" s="323"/>
      <c r="D1163" s="326"/>
      <c r="E1163" s="326"/>
    </row>
    <row r="1164" spans="2:5" ht="12.75">
      <c r="B1164" s="326"/>
      <c r="C1164" s="323"/>
      <c r="D1164" s="326"/>
      <c r="E1164" s="326"/>
    </row>
    <row r="1165" spans="2:5" ht="12.75">
      <c r="B1165" s="326"/>
      <c r="C1165" s="323"/>
      <c r="D1165" s="326"/>
      <c r="E1165" s="326"/>
    </row>
    <row r="1166" spans="2:5" ht="12.75">
      <c r="B1166" s="326"/>
      <c r="C1166" s="323"/>
      <c r="D1166" s="326"/>
      <c r="E1166" s="326"/>
    </row>
    <row r="1167" spans="2:5" ht="12.75">
      <c r="B1167" s="326"/>
      <c r="C1167" s="323"/>
      <c r="D1167" s="326"/>
      <c r="E1167" s="326"/>
    </row>
    <row r="1168" spans="2:5" ht="12.75">
      <c r="B1168" s="326"/>
      <c r="C1168" s="323"/>
      <c r="D1168" s="326"/>
      <c r="E1168" s="326"/>
    </row>
    <row r="1169" spans="2:5" ht="12.75">
      <c r="B1169" s="326"/>
      <c r="C1169" s="323"/>
      <c r="D1169" s="326"/>
      <c r="E1169" s="326"/>
    </row>
    <row r="1170" spans="2:5" ht="12.75">
      <c r="B1170" s="326"/>
      <c r="C1170" s="323"/>
      <c r="D1170" s="326"/>
      <c r="E1170" s="326"/>
    </row>
    <row r="1171" spans="2:5" ht="12.75">
      <c r="B1171" s="326"/>
      <c r="C1171" s="323"/>
      <c r="D1171" s="326"/>
      <c r="E1171" s="326"/>
    </row>
    <row r="1172" spans="2:5" ht="12.75">
      <c r="B1172" s="326"/>
      <c r="C1172" s="323"/>
      <c r="D1172" s="326"/>
      <c r="E1172" s="326"/>
    </row>
    <row r="1173" spans="2:5" ht="12.75">
      <c r="B1173" s="326"/>
      <c r="C1173" s="323"/>
      <c r="D1173" s="326"/>
      <c r="E1173" s="326"/>
    </row>
    <row r="1174" spans="2:5" ht="12.75">
      <c r="B1174" s="326"/>
      <c r="C1174" s="323"/>
      <c r="D1174" s="326"/>
      <c r="E1174" s="326"/>
    </row>
    <row r="1175" spans="2:5" ht="12.75">
      <c r="B1175" s="326"/>
      <c r="C1175" s="323"/>
      <c r="D1175" s="326"/>
      <c r="E1175" s="326"/>
    </row>
    <row r="1176" spans="2:5" ht="12.75">
      <c r="B1176" s="326"/>
      <c r="C1176" s="323"/>
      <c r="D1176" s="326"/>
      <c r="E1176" s="326"/>
    </row>
    <row r="1177" spans="2:5" ht="12.75">
      <c r="B1177" s="326"/>
      <c r="C1177" s="323"/>
      <c r="D1177" s="326"/>
      <c r="E1177" s="326"/>
    </row>
    <row r="1178" spans="2:5" ht="12.75">
      <c r="B1178" s="326"/>
      <c r="C1178" s="323"/>
      <c r="D1178" s="326"/>
      <c r="E1178" s="326"/>
    </row>
    <row r="1179" spans="2:5" ht="12.75">
      <c r="B1179" s="326"/>
      <c r="C1179" s="323"/>
      <c r="D1179" s="326"/>
      <c r="E1179" s="326"/>
    </row>
    <row r="1180" spans="2:5" ht="12.75">
      <c r="B1180" s="326"/>
      <c r="C1180" s="323"/>
      <c r="D1180" s="326"/>
      <c r="E1180" s="326"/>
    </row>
    <row r="1181" spans="2:5" ht="12.75">
      <c r="B1181" s="326"/>
      <c r="C1181" s="323"/>
      <c r="D1181" s="326"/>
      <c r="E1181" s="326"/>
    </row>
    <row r="1182" spans="2:5" ht="12.75">
      <c r="B1182" s="326"/>
      <c r="C1182" s="323"/>
      <c r="D1182" s="326"/>
      <c r="E1182" s="326"/>
    </row>
    <row r="1183" spans="2:5" ht="12.75">
      <c r="B1183" s="326"/>
      <c r="C1183" s="323"/>
      <c r="D1183" s="326"/>
      <c r="E1183" s="326"/>
    </row>
    <row r="1184" spans="2:5" ht="12.75">
      <c r="B1184" s="326"/>
      <c r="C1184" s="323"/>
      <c r="D1184" s="326"/>
      <c r="E1184" s="326"/>
    </row>
    <row r="1185" spans="2:5" ht="12.75">
      <c r="B1185" s="326"/>
      <c r="C1185" s="323"/>
      <c r="D1185" s="326"/>
      <c r="E1185" s="326"/>
    </row>
    <row r="1186" spans="2:5" ht="12.75">
      <c r="B1186" s="326"/>
      <c r="C1186" s="323"/>
      <c r="D1186" s="326"/>
      <c r="E1186" s="326"/>
    </row>
    <row r="1187" spans="2:5" ht="12.75">
      <c r="B1187" s="326"/>
      <c r="C1187" s="323"/>
      <c r="D1187" s="326"/>
      <c r="E1187" s="326"/>
    </row>
    <row r="1188" spans="2:5" ht="12.75">
      <c r="B1188" s="326"/>
      <c r="C1188" s="323"/>
      <c r="D1188" s="326"/>
      <c r="E1188" s="326"/>
    </row>
    <row r="1189" spans="2:5" ht="12.75">
      <c r="B1189" s="326"/>
      <c r="C1189" s="323"/>
      <c r="D1189" s="326"/>
      <c r="E1189" s="326"/>
    </row>
    <row r="1190" spans="2:5" ht="12.75">
      <c r="B1190" s="326"/>
      <c r="C1190" s="323"/>
      <c r="D1190" s="326"/>
      <c r="E1190" s="326"/>
    </row>
    <row r="1191" spans="2:5" ht="12.75">
      <c r="B1191" s="326"/>
      <c r="C1191" s="323"/>
      <c r="D1191" s="326"/>
      <c r="E1191" s="326"/>
    </row>
    <row r="1192" spans="2:5" ht="12.75">
      <c r="B1192" s="326"/>
      <c r="C1192" s="323"/>
      <c r="D1192" s="326"/>
      <c r="E1192" s="326"/>
    </row>
    <row r="1193" spans="2:5" ht="12.75">
      <c r="B1193" s="326"/>
      <c r="C1193" s="323"/>
      <c r="D1193" s="326"/>
      <c r="E1193" s="326"/>
    </row>
    <row r="1194" spans="2:5" ht="12.75">
      <c r="B1194" s="326"/>
      <c r="C1194" s="323"/>
      <c r="D1194" s="326"/>
      <c r="E1194" s="326"/>
    </row>
    <row r="1195" spans="2:5" ht="12.75">
      <c r="B1195" s="326"/>
      <c r="C1195" s="323"/>
      <c r="D1195" s="326"/>
      <c r="E1195" s="326"/>
    </row>
    <row r="1196" spans="2:5" ht="12.75">
      <c r="B1196" s="326"/>
      <c r="C1196" s="323"/>
      <c r="D1196" s="326"/>
      <c r="E1196" s="326"/>
    </row>
    <row r="1197" spans="2:5" ht="12.75">
      <c r="B1197" s="326"/>
      <c r="C1197" s="323"/>
      <c r="D1197" s="326"/>
      <c r="E1197" s="326"/>
    </row>
    <row r="1198" spans="2:5" ht="12.75">
      <c r="B1198" s="326"/>
      <c r="C1198" s="323"/>
      <c r="D1198" s="326"/>
      <c r="E1198" s="326"/>
    </row>
    <row r="1199" spans="2:5" ht="12.75">
      <c r="B1199" s="326"/>
      <c r="C1199" s="323"/>
      <c r="D1199" s="326"/>
      <c r="E1199" s="326"/>
    </row>
    <row r="1200" spans="2:5" ht="12.75">
      <c r="B1200" s="326"/>
      <c r="C1200" s="323"/>
      <c r="D1200" s="326"/>
      <c r="E1200" s="326"/>
    </row>
    <row r="1201" spans="2:5" ht="12.75">
      <c r="B1201" s="326"/>
      <c r="C1201" s="323"/>
      <c r="D1201" s="326"/>
      <c r="E1201" s="326"/>
    </row>
    <row r="1202" spans="2:5" ht="12.75">
      <c r="B1202" s="326"/>
      <c r="C1202" s="323"/>
      <c r="D1202" s="326"/>
      <c r="E1202" s="326"/>
    </row>
    <row r="1203" spans="2:5" ht="12.75">
      <c r="B1203" s="326"/>
      <c r="C1203" s="323"/>
      <c r="D1203" s="326"/>
      <c r="E1203" s="326"/>
    </row>
    <row r="1204" spans="2:5" ht="12.75">
      <c r="B1204" s="326"/>
      <c r="C1204" s="323"/>
      <c r="D1204" s="326"/>
      <c r="E1204" s="326"/>
    </row>
    <row r="1205" spans="2:5" ht="12.75">
      <c r="B1205" s="326"/>
      <c r="C1205" s="323"/>
      <c r="D1205" s="326"/>
      <c r="E1205" s="326"/>
    </row>
    <row r="1206" spans="2:5" ht="12.75">
      <c r="B1206" s="326"/>
      <c r="C1206" s="323"/>
      <c r="D1206" s="326"/>
      <c r="E1206" s="326"/>
    </row>
    <row r="1207" spans="2:5" ht="12.75">
      <c r="B1207" s="326"/>
      <c r="C1207" s="323"/>
      <c r="D1207" s="326"/>
      <c r="E1207" s="326"/>
    </row>
    <row r="1208" spans="2:5" ht="12.75">
      <c r="B1208" s="326"/>
      <c r="C1208" s="323"/>
      <c r="D1208" s="326"/>
      <c r="E1208" s="326"/>
    </row>
    <row r="1209" spans="2:5" ht="12.75">
      <c r="B1209" s="326"/>
      <c r="C1209" s="323"/>
      <c r="D1209" s="326"/>
      <c r="E1209" s="326"/>
    </row>
    <row r="1210" spans="2:5" ht="12.75">
      <c r="B1210" s="326"/>
      <c r="C1210" s="323"/>
      <c r="D1210" s="326"/>
      <c r="E1210" s="326"/>
    </row>
    <row r="1211" spans="2:5" ht="12.75">
      <c r="B1211" s="326"/>
      <c r="C1211" s="323"/>
      <c r="D1211" s="326"/>
      <c r="E1211" s="326"/>
    </row>
    <row r="1212" spans="2:5" ht="12.75">
      <c r="B1212" s="326"/>
      <c r="C1212" s="323"/>
      <c r="D1212" s="326"/>
      <c r="E1212" s="326"/>
    </row>
    <row r="1213" spans="2:5" ht="12.75">
      <c r="B1213" s="326"/>
      <c r="C1213" s="323"/>
      <c r="D1213" s="326"/>
      <c r="E1213" s="326"/>
    </row>
    <row r="1214" spans="2:5" ht="12.75">
      <c r="B1214" s="326"/>
      <c r="C1214" s="323"/>
      <c r="D1214" s="326"/>
      <c r="E1214" s="326"/>
    </row>
    <row r="1215" spans="2:5" ht="12.75">
      <c r="B1215" s="326"/>
      <c r="C1215" s="323"/>
      <c r="D1215" s="326"/>
      <c r="E1215" s="326"/>
    </row>
    <row r="1216" spans="2:5" ht="12.75">
      <c r="B1216" s="326"/>
      <c r="C1216" s="323"/>
      <c r="D1216" s="326"/>
      <c r="E1216" s="326"/>
    </row>
    <row r="1217" spans="2:5" ht="12.75">
      <c r="B1217" s="326"/>
      <c r="C1217" s="323"/>
      <c r="D1217" s="326"/>
      <c r="E1217" s="326"/>
    </row>
    <row r="1218" spans="2:5" ht="12.75">
      <c r="B1218" s="326"/>
      <c r="C1218" s="323"/>
      <c r="D1218" s="326"/>
      <c r="E1218" s="326"/>
    </row>
    <row r="1219" spans="2:5" ht="12.75">
      <c r="B1219" s="326"/>
      <c r="C1219" s="323"/>
      <c r="D1219" s="326"/>
      <c r="E1219" s="326"/>
    </row>
    <row r="1220" spans="2:5" ht="12.75">
      <c r="B1220" s="326"/>
      <c r="C1220" s="323"/>
      <c r="D1220" s="326"/>
      <c r="E1220" s="326"/>
    </row>
    <row r="1221" spans="2:5" ht="12.75">
      <c r="B1221" s="326"/>
      <c r="C1221" s="323"/>
      <c r="D1221" s="326"/>
      <c r="E1221" s="326"/>
    </row>
    <row r="1222" spans="2:5" ht="12.75">
      <c r="B1222" s="326"/>
      <c r="C1222" s="323"/>
      <c r="D1222" s="326"/>
      <c r="E1222" s="326"/>
    </row>
    <row r="1223" spans="2:5" ht="12.75">
      <c r="B1223" s="326"/>
      <c r="C1223" s="323"/>
      <c r="D1223" s="326"/>
      <c r="E1223" s="326"/>
    </row>
    <row r="1224" spans="2:5" ht="12.75">
      <c r="B1224" s="326"/>
      <c r="C1224" s="323"/>
      <c r="D1224" s="326"/>
      <c r="E1224" s="326"/>
    </row>
    <row r="1225" spans="2:5" ht="12.75">
      <c r="B1225" s="326"/>
      <c r="C1225" s="323"/>
      <c r="D1225" s="326"/>
      <c r="E1225" s="326"/>
    </row>
    <row r="1226" spans="2:5" ht="12.75">
      <c r="B1226" s="326"/>
      <c r="C1226" s="323"/>
      <c r="D1226" s="326"/>
      <c r="E1226" s="326"/>
    </row>
    <row r="1227" spans="2:5" ht="12.75">
      <c r="B1227" s="326"/>
      <c r="C1227" s="323"/>
      <c r="D1227" s="326"/>
      <c r="E1227" s="326"/>
    </row>
    <row r="1228" spans="2:5" ht="12.75">
      <c r="B1228" s="326"/>
      <c r="C1228" s="323"/>
      <c r="D1228" s="326"/>
      <c r="E1228" s="326"/>
    </row>
    <row r="1229" spans="2:5" ht="12.75">
      <c r="B1229" s="326"/>
      <c r="C1229" s="323"/>
      <c r="D1229" s="326"/>
      <c r="E1229" s="326"/>
    </row>
    <row r="1230" spans="2:5" ht="12.75">
      <c r="B1230" s="326"/>
      <c r="C1230" s="323"/>
      <c r="D1230" s="326"/>
      <c r="E1230" s="326"/>
    </row>
    <row r="1231" spans="2:5" ht="12.75">
      <c r="B1231" s="326"/>
      <c r="C1231" s="323"/>
      <c r="D1231" s="326"/>
      <c r="E1231" s="326"/>
    </row>
    <row r="1232" spans="2:5" ht="12.75">
      <c r="B1232" s="326"/>
      <c r="C1232" s="323"/>
      <c r="D1232" s="326"/>
      <c r="E1232" s="326"/>
    </row>
    <row r="1233" spans="2:5" ht="12.75">
      <c r="B1233" s="326"/>
      <c r="C1233" s="323"/>
      <c r="D1233" s="326"/>
      <c r="E1233" s="326"/>
    </row>
    <row r="1234" spans="2:5" ht="12.75">
      <c r="B1234" s="326"/>
      <c r="C1234" s="323"/>
      <c r="D1234" s="326"/>
      <c r="E1234" s="326"/>
    </row>
    <row r="1235" spans="2:5" ht="12.75">
      <c r="B1235" s="326"/>
      <c r="C1235" s="323"/>
      <c r="D1235" s="326"/>
      <c r="E1235" s="326"/>
    </row>
    <row r="1236" spans="2:5" ht="12.75">
      <c r="B1236" s="326"/>
      <c r="C1236" s="323"/>
      <c r="D1236" s="326"/>
      <c r="E1236" s="326"/>
    </row>
    <row r="1237" spans="2:5" ht="12.75">
      <c r="B1237" s="326"/>
      <c r="C1237" s="323"/>
      <c r="D1237" s="326"/>
      <c r="E1237" s="326"/>
    </row>
    <row r="1238" spans="2:5" ht="12.75">
      <c r="B1238" s="326"/>
      <c r="C1238" s="323"/>
      <c r="D1238" s="326"/>
      <c r="E1238" s="326"/>
    </row>
    <row r="1239" spans="2:5" ht="12.75">
      <c r="B1239" s="326"/>
      <c r="C1239" s="323"/>
      <c r="D1239" s="326"/>
      <c r="E1239" s="326"/>
    </row>
    <row r="1240" spans="2:5" ht="12.75">
      <c r="B1240" s="326"/>
      <c r="C1240" s="323"/>
      <c r="D1240" s="326"/>
      <c r="E1240" s="326"/>
    </row>
    <row r="1241" spans="2:5" ht="12.75">
      <c r="B1241" s="326"/>
      <c r="C1241" s="323"/>
      <c r="D1241" s="326"/>
      <c r="E1241" s="326"/>
    </row>
    <row r="1242" spans="2:5" ht="12.75">
      <c r="B1242" s="326"/>
      <c r="C1242" s="323"/>
      <c r="D1242" s="326"/>
      <c r="E1242" s="326"/>
    </row>
    <row r="1243" spans="2:5" ht="12.75">
      <c r="B1243" s="326"/>
      <c r="C1243" s="323"/>
      <c r="D1243" s="326"/>
      <c r="E1243" s="326"/>
    </row>
    <row r="1244" spans="2:5" ht="12.75">
      <c r="B1244" s="326"/>
      <c r="C1244" s="323"/>
      <c r="D1244" s="326"/>
      <c r="E1244" s="326"/>
    </row>
    <row r="1245" spans="2:5" ht="12.75">
      <c r="B1245" s="326"/>
      <c r="C1245" s="323"/>
      <c r="D1245" s="326"/>
      <c r="E1245" s="326"/>
    </row>
    <row r="1246" spans="2:5" ht="12.75">
      <c r="B1246" s="326"/>
      <c r="C1246" s="323"/>
      <c r="D1246" s="326"/>
      <c r="E1246" s="326"/>
    </row>
    <row r="1247" spans="2:5" ht="12.75">
      <c r="B1247" s="326"/>
      <c r="C1247" s="323"/>
      <c r="D1247" s="326"/>
      <c r="E1247" s="326"/>
    </row>
    <row r="1248" spans="2:5" ht="12.75">
      <c r="B1248" s="326"/>
      <c r="C1248" s="323"/>
      <c r="D1248" s="326"/>
      <c r="E1248" s="326"/>
    </row>
    <row r="1249" spans="2:5" ht="12.75">
      <c r="B1249" s="326"/>
      <c r="C1249" s="323"/>
      <c r="D1249" s="326"/>
      <c r="E1249" s="326"/>
    </row>
    <row r="1250" spans="2:5" ht="12.75">
      <c r="B1250" s="326"/>
      <c r="C1250" s="323"/>
      <c r="D1250" s="326"/>
      <c r="E1250" s="326"/>
    </row>
    <row r="1251" spans="2:5" ht="12.75">
      <c r="B1251" s="326"/>
      <c r="C1251" s="323"/>
      <c r="D1251" s="326"/>
      <c r="E1251" s="326"/>
    </row>
    <row r="1252" spans="2:5" ht="12.75">
      <c r="B1252" s="326"/>
      <c r="C1252" s="323"/>
      <c r="D1252" s="326"/>
      <c r="E1252" s="326"/>
    </row>
    <row r="1253" spans="2:5" ht="12.75">
      <c r="B1253" s="326"/>
      <c r="C1253" s="323"/>
      <c r="D1253" s="326"/>
      <c r="E1253" s="326"/>
    </row>
    <row r="1254" spans="2:5" ht="12.75">
      <c r="B1254" s="326"/>
      <c r="C1254" s="323"/>
      <c r="D1254" s="326"/>
      <c r="E1254" s="326"/>
    </row>
    <row r="1255" spans="2:5" ht="12.75">
      <c r="B1255" s="326"/>
      <c r="C1255" s="323"/>
      <c r="D1255" s="326"/>
      <c r="E1255" s="326"/>
    </row>
    <row r="1256" spans="2:5" ht="12.75">
      <c r="B1256" s="326"/>
      <c r="C1256" s="323"/>
      <c r="D1256" s="326"/>
      <c r="E1256" s="326"/>
    </row>
    <row r="1257" spans="2:5" ht="12.75">
      <c r="B1257" s="326"/>
      <c r="C1257" s="323"/>
      <c r="D1257" s="326"/>
      <c r="E1257" s="326"/>
    </row>
    <row r="1258" spans="2:5" ht="12.75">
      <c r="B1258" s="326"/>
      <c r="C1258" s="323"/>
      <c r="D1258" s="326"/>
      <c r="E1258" s="326"/>
    </row>
    <row r="1259" spans="2:5" ht="12.75">
      <c r="B1259" s="326"/>
      <c r="C1259" s="323"/>
      <c r="D1259" s="326"/>
      <c r="E1259" s="326"/>
    </row>
    <row r="1260" spans="2:5" ht="12.75">
      <c r="B1260" s="326"/>
      <c r="C1260" s="323"/>
      <c r="D1260" s="326"/>
      <c r="E1260" s="326"/>
    </row>
    <row r="1261" spans="2:5" ht="12.75">
      <c r="B1261" s="326"/>
      <c r="C1261" s="323"/>
      <c r="D1261" s="326"/>
      <c r="E1261" s="326"/>
    </row>
    <row r="1262" spans="2:5" ht="12.75">
      <c r="B1262" s="326"/>
      <c r="C1262" s="323"/>
      <c r="D1262" s="326"/>
      <c r="E1262" s="326"/>
    </row>
    <row r="1263" spans="2:5" ht="12.75">
      <c r="B1263" s="326"/>
      <c r="C1263" s="323"/>
      <c r="D1263" s="326"/>
      <c r="E1263" s="326"/>
    </row>
    <row r="1264" spans="2:5" ht="12.75">
      <c r="B1264" s="326"/>
      <c r="C1264" s="323"/>
      <c r="D1264" s="326"/>
      <c r="E1264" s="326"/>
    </row>
    <row r="1265" spans="2:5" ht="12.75">
      <c r="B1265" s="326"/>
      <c r="C1265" s="323"/>
      <c r="D1265" s="326"/>
      <c r="E1265" s="326"/>
    </row>
    <row r="1266" spans="2:5" ht="12.75">
      <c r="B1266" s="326"/>
      <c r="C1266" s="323"/>
      <c r="D1266" s="326"/>
      <c r="E1266" s="326"/>
    </row>
    <row r="1267" spans="2:5" ht="12.75">
      <c r="B1267" s="326"/>
      <c r="C1267" s="323"/>
      <c r="D1267" s="326"/>
      <c r="E1267" s="326"/>
    </row>
    <row r="1268" spans="2:5" ht="12.75">
      <c r="B1268" s="326"/>
      <c r="C1268" s="323"/>
      <c r="D1268" s="326"/>
      <c r="E1268" s="326"/>
    </row>
    <row r="1269" spans="2:5" ht="12.75">
      <c r="B1269" s="326"/>
      <c r="C1269" s="323"/>
      <c r="D1269" s="326"/>
      <c r="E1269" s="326"/>
    </row>
    <row r="1270" spans="2:5" ht="12.75">
      <c r="B1270" s="326"/>
      <c r="C1270" s="323"/>
      <c r="D1270" s="326"/>
      <c r="E1270" s="326"/>
    </row>
    <row r="1271" spans="2:5" ht="12.75">
      <c r="B1271" s="326"/>
      <c r="C1271" s="323"/>
      <c r="D1271" s="326"/>
      <c r="E1271" s="326"/>
    </row>
    <row r="1272" spans="2:5" ht="12.75">
      <c r="B1272" s="326"/>
      <c r="C1272" s="323"/>
      <c r="D1272" s="326"/>
      <c r="E1272" s="326"/>
    </row>
    <row r="1273" spans="2:5" ht="12.75">
      <c r="B1273" s="326"/>
      <c r="C1273" s="323"/>
      <c r="D1273" s="326"/>
      <c r="E1273" s="326"/>
    </row>
    <row r="1274" spans="2:5" ht="12.75">
      <c r="B1274" s="326"/>
      <c r="C1274" s="323"/>
      <c r="D1274" s="326"/>
      <c r="E1274" s="326"/>
    </row>
    <row r="1275" spans="2:5" ht="12.75">
      <c r="B1275" s="326"/>
      <c r="C1275" s="323"/>
      <c r="D1275" s="326"/>
      <c r="E1275" s="326"/>
    </row>
    <row r="1276" spans="2:5" ht="12.75">
      <c r="B1276" s="326"/>
      <c r="C1276" s="323"/>
      <c r="D1276" s="326"/>
      <c r="E1276" s="326"/>
    </row>
    <row r="1277" spans="2:5" ht="12.75">
      <c r="B1277" s="326"/>
      <c r="C1277" s="323"/>
      <c r="D1277" s="326"/>
      <c r="E1277" s="326"/>
    </row>
    <row r="1278" spans="2:5" ht="12.75">
      <c r="B1278" s="326"/>
      <c r="C1278" s="323"/>
      <c r="D1278" s="326"/>
      <c r="E1278" s="326"/>
    </row>
    <row r="1279" spans="2:5" ht="12.75">
      <c r="B1279" s="326"/>
      <c r="C1279" s="323"/>
      <c r="D1279" s="326"/>
      <c r="E1279" s="326"/>
    </row>
    <row r="1280" spans="2:5" ht="12.75">
      <c r="B1280" s="326"/>
      <c r="C1280" s="323"/>
      <c r="D1280" s="326"/>
      <c r="E1280" s="326"/>
    </row>
    <row r="1281" spans="2:5" ht="12.75">
      <c r="B1281" s="326"/>
      <c r="C1281" s="323"/>
      <c r="D1281" s="326"/>
      <c r="E1281" s="326"/>
    </row>
    <row r="1282" spans="2:5" ht="12.75">
      <c r="B1282" s="326"/>
      <c r="C1282" s="323"/>
      <c r="D1282" s="326"/>
      <c r="E1282" s="326"/>
    </row>
    <row r="1283" spans="2:5" ht="12.75">
      <c r="B1283" s="326"/>
      <c r="C1283" s="323"/>
      <c r="D1283" s="326"/>
      <c r="E1283" s="326"/>
    </row>
    <row r="1284" spans="2:5" ht="12.75">
      <c r="B1284" s="326"/>
      <c r="C1284" s="323"/>
      <c r="D1284" s="326"/>
      <c r="E1284" s="326"/>
    </row>
    <row r="1285" spans="2:5" ht="12.75">
      <c r="B1285" s="326"/>
      <c r="C1285" s="323"/>
      <c r="D1285" s="326"/>
      <c r="E1285" s="326"/>
    </row>
    <row r="1286" spans="2:5" ht="12.75">
      <c r="B1286" s="326"/>
      <c r="C1286" s="323"/>
      <c r="D1286" s="326"/>
      <c r="E1286" s="326"/>
    </row>
    <row r="1287" spans="2:5" ht="12.75">
      <c r="B1287" s="326"/>
      <c r="C1287" s="323"/>
      <c r="D1287" s="326"/>
      <c r="E1287" s="326"/>
    </row>
    <row r="1288" spans="2:5" ht="12.75">
      <c r="B1288" s="326"/>
      <c r="C1288" s="323"/>
      <c r="D1288" s="326"/>
      <c r="E1288" s="326"/>
    </row>
    <row r="1289" spans="2:5" ht="12.75">
      <c r="B1289" s="326"/>
      <c r="C1289" s="323"/>
      <c r="D1289" s="326"/>
      <c r="E1289" s="326"/>
    </row>
    <row r="1290" spans="2:5" ht="12.75">
      <c r="B1290" s="326"/>
      <c r="C1290" s="323"/>
      <c r="D1290" s="326"/>
      <c r="E1290" s="326"/>
    </row>
    <row r="1291" spans="2:5" ht="12.75">
      <c r="B1291" s="326"/>
      <c r="C1291" s="323"/>
      <c r="D1291" s="326"/>
      <c r="E1291" s="326"/>
    </row>
    <row r="1292" spans="2:5" ht="12.75">
      <c r="B1292" s="326"/>
      <c r="C1292" s="323"/>
      <c r="D1292" s="326"/>
      <c r="E1292" s="326"/>
    </row>
    <row r="1293" spans="2:5" ht="12.75">
      <c r="B1293" s="326"/>
      <c r="C1293" s="323"/>
      <c r="D1293" s="326"/>
      <c r="E1293" s="326"/>
    </row>
    <row r="1294" spans="2:5" ht="12.75">
      <c r="B1294" s="326"/>
      <c r="C1294" s="323"/>
      <c r="D1294" s="326"/>
      <c r="E1294" s="326"/>
    </row>
    <row r="1295" spans="2:5" ht="12.75">
      <c r="B1295" s="326"/>
      <c r="C1295" s="323"/>
      <c r="D1295" s="326"/>
      <c r="E1295" s="326"/>
    </row>
    <row r="1296" spans="2:5" ht="12.75">
      <c r="B1296" s="326"/>
      <c r="C1296" s="323"/>
      <c r="D1296" s="326"/>
      <c r="E1296" s="326"/>
    </row>
    <row r="1297" spans="2:5" ht="12.75">
      <c r="B1297" s="326"/>
      <c r="C1297" s="323"/>
      <c r="D1297" s="326"/>
      <c r="E1297" s="326"/>
    </row>
    <row r="1298" spans="2:5" ht="12.75">
      <c r="B1298" s="326"/>
      <c r="C1298" s="323"/>
      <c r="D1298" s="326"/>
      <c r="E1298" s="326"/>
    </row>
    <row r="1299" spans="2:5" ht="12.75">
      <c r="B1299" s="326"/>
      <c r="C1299" s="323"/>
      <c r="D1299" s="326"/>
      <c r="E1299" s="326"/>
    </row>
    <row r="1300" spans="2:5" ht="12.75">
      <c r="B1300" s="326"/>
      <c r="C1300" s="323"/>
      <c r="D1300" s="326"/>
      <c r="E1300" s="326"/>
    </row>
    <row r="1301" spans="2:5" ht="12.75">
      <c r="B1301" s="326"/>
      <c r="C1301" s="323"/>
      <c r="D1301" s="326"/>
      <c r="E1301" s="326"/>
    </row>
    <row r="1302" spans="2:5" ht="12.75">
      <c r="B1302" s="326"/>
      <c r="C1302" s="323"/>
      <c r="D1302" s="326"/>
      <c r="E1302" s="326"/>
    </row>
    <row r="1303" spans="2:5" ht="12.75">
      <c r="B1303" s="326"/>
      <c r="C1303" s="323"/>
      <c r="D1303" s="326"/>
      <c r="E1303" s="326"/>
    </row>
    <row r="1304" spans="2:5" ht="12.75">
      <c r="B1304" s="326"/>
      <c r="C1304" s="323"/>
      <c r="D1304" s="326"/>
      <c r="E1304" s="326"/>
    </row>
    <row r="1305" spans="2:5" ht="12.75">
      <c r="B1305" s="326"/>
      <c r="C1305" s="323"/>
      <c r="D1305" s="326"/>
      <c r="E1305" s="326"/>
    </row>
    <row r="1306" spans="2:5" ht="12.75">
      <c r="B1306" s="326"/>
      <c r="C1306" s="323"/>
      <c r="D1306" s="326"/>
      <c r="E1306" s="326"/>
    </row>
    <row r="1307" spans="2:5" ht="12.75">
      <c r="B1307" s="326"/>
      <c r="C1307" s="323"/>
      <c r="D1307" s="326"/>
      <c r="E1307" s="326"/>
    </row>
    <row r="1308" spans="2:5" ht="12.75">
      <c r="B1308" s="326"/>
      <c r="C1308" s="323"/>
      <c r="D1308" s="326"/>
      <c r="E1308" s="326"/>
    </row>
    <row r="1309" spans="2:5" ht="12.75">
      <c r="B1309" s="326"/>
      <c r="C1309" s="323"/>
      <c r="D1309" s="326"/>
      <c r="E1309" s="326"/>
    </row>
    <row r="1310" spans="2:5" ht="12.75">
      <c r="B1310" s="326"/>
      <c r="C1310" s="323"/>
      <c r="D1310" s="326"/>
      <c r="E1310" s="326"/>
    </row>
    <row r="1311" spans="2:5" ht="12.75">
      <c r="B1311" s="326"/>
      <c r="C1311" s="323"/>
      <c r="D1311" s="326"/>
      <c r="E1311" s="326"/>
    </row>
    <row r="1312" spans="2:5" ht="12.75">
      <c r="B1312" s="326"/>
      <c r="C1312" s="323"/>
      <c r="D1312" s="326"/>
      <c r="E1312" s="326"/>
    </row>
    <row r="1313" spans="2:5" ht="12.75">
      <c r="B1313" s="326"/>
      <c r="C1313" s="323"/>
      <c r="D1313" s="326"/>
      <c r="E1313" s="326"/>
    </row>
    <row r="1314" spans="2:5" ht="12.75">
      <c r="B1314" s="326"/>
      <c r="C1314" s="323"/>
      <c r="D1314" s="326"/>
      <c r="E1314" s="326"/>
    </row>
    <row r="1315" spans="2:5" ht="12.75">
      <c r="B1315" s="326"/>
      <c r="C1315" s="323"/>
      <c r="D1315" s="326"/>
      <c r="E1315" s="326"/>
    </row>
    <row r="1316" spans="2:5" ht="12.75">
      <c r="B1316" s="326"/>
      <c r="C1316" s="323"/>
      <c r="D1316" s="326"/>
      <c r="E1316" s="326"/>
    </row>
    <row r="1317" spans="2:5" ht="12.75">
      <c r="B1317" s="326"/>
      <c r="C1317" s="323"/>
      <c r="D1317" s="326"/>
      <c r="E1317" s="326"/>
    </row>
    <row r="1318" spans="2:5" ht="12.75">
      <c r="B1318" s="326"/>
      <c r="C1318" s="323"/>
      <c r="D1318" s="326"/>
      <c r="E1318" s="326"/>
    </row>
    <row r="1319" spans="2:5" ht="12.75">
      <c r="B1319" s="326"/>
      <c r="C1319" s="323"/>
      <c r="D1319" s="326"/>
      <c r="E1319" s="326"/>
    </row>
    <row r="1320" spans="2:5" ht="12.75">
      <c r="B1320" s="326"/>
      <c r="C1320" s="323"/>
      <c r="D1320" s="326"/>
      <c r="E1320" s="326"/>
    </row>
    <row r="1321" spans="2:5" ht="12.75">
      <c r="B1321" s="326"/>
      <c r="C1321" s="323"/>
      <c r="D1321" s="326"/>
      <c r="E1321" s="326"/>
    </row>
    <row r="1322" spans="2:5" ht="12.75">
      <c r="B1322" s="326"/>
      <c r="C1322" s="323"/>
      <c r="D1322" s="326"/>
      <c r="E1322" s="326"/>
    </row>
    <row r="1323" spans="2:5" ht="12.75">
      <c r="B1323" s="326"/>
      <c r="C1323" s="323"/>
      <c r="D1323" s="326"/>
      <c r="E1323" s="326"/>
    </row>
    <row r="1324" spans="2:5" ht="12.75">
      <c r="B1324" s="326"/>
      <c r="C1324" s="323"/>
      <c r="D1324" s="326"/>
      <c r="E1324" s="326"/>
    </row>
    <row r="1325" spans="2:5" ht="12.75">
      <c r="B1325" s="326"/>
      <c r="C1325" s="323"/>
      <c r="D1325" s="326"/>
      <c r="E1325" s="326"/>
    </row>
    <row r="1326" spans="2:5" ht="12.75">
      <c r="B1326" s="326"/>
      <c r="C1326" s="323"/>
      <c r="D1326" s="326"/>
      <c r="E1326" s="326"/>
    </row>
    <row r="1327" spans="2:5" ht="12.75">
      <c r="B1327" s="326"/>
      <c r="C1327" s="323"/>
      <c r="D1327" s="326"/>
      <c r="E1327" s="326"/>
    </row>
    <row r="1328" spans="2:5" ht="12.75">
      <c r="B1328" s="326"/>
      <c r="C1328" s="323"/>
      <c r="D1328" s="326"/>
      <c r="E1328" s="326"/>
    </row>
    <row r="1329" spans="2:5" ht="12.75">
      <c r="B1329" s="326"/>
      <c r="C1329" s="323"/>
      <c r="D1329" s="326"/>
      <c r="E1329" s="326"/>
    </row>
    <row r="1330" spans="2:5" ht="12.75">
      <c r="B1330" s="326"/>
      <c r="C1330" s="323"/>
      <c r="D1330" s="326"/>
      <c r="E1330" s="326"/>
    </row>
    <row r="1331" spans="2:5" ht="12.75">
      <c r="B1331" s="326"/>
      <c r="C1331" s="323"/>
      <c r="D1331" s="326"/>
      <c r="E1331" s="326"/>
    </row>
    <row r="1332" spans="2:5" ht="12.75">
      <c r="B1332" s="326"/>
      <c r="C1332" s="323"/>
      <c r="D1332" s="326"/>
      <c r="E1332" s="326"/>
    </row>
    <row r="1333" spans="2:5" ht="12.75">
      <c r="B1333" s="326"/>
      <c r="C1333" s="323"/>
      <c r="D1333" s="326"/>
      <c r="E1333" s="326"/>
    </row>
    <row r="1334" spans="2:5" ht="12.75">
      <c r="B1334" s="326"/>
      <c r="C1334" s="323"/>
      <c r="D1334" s="326"/>
      <c r="E1334" s="326"/>
    </row>
    <row r="1335" spans="2:5" ht="12.75">
      <c r="B1335" s="326"/>
      <c r="C1335" s="323"/>
      <c r="D1335" s="326"/>
      <c r="E1335" s="326"/>
    </row>
    <row r="1336" spans="2:5" ht="12.75">
      <c r="B1336" s="326"/>
      <c r="C1336" s="323"/>
      <c r="D1336" s="326"/>
      <c r="E1336" s="326"/>
    </row>
    <row r="1337" spans="2:5" ht="12.75">
      <c r="B1337" s="326"/>
      <c r="C1337" s="323"/>
      <c r="D1337" s="326"/>
      <c r="E1337" s="326"/>
    </row>
    <row r="1338" spans="2:5" ht="12.75">
      <c r="B1338" s="326"/>
      <c r="C1338" s="323"/>
      <c r="D1338" s="326"/>
      <c r="E1338" s="326"/>
    </row>
    <row r="1339" spans="2:5" ht="12.75">
      <c r="B1339" s="326"/>
      <c r="C1339" s="323"/>
      <c r="D1339" s="326"/>
      <c r="E1339" s="326"/>
    </row>
    <row r="1340" spans="2:5" ht="12.75">
      <c r="B1340" s="326"/>
      <c r="C1340" s="323"/>
      <c r="D1340" s="326"/>
      <c r="E1340" s="326"/>
    </row>
    <row r="1341" spans="2:5" ht="12.75">
      <c r="B1341" s="326"/>
      <c r="C1341" s="323"/>
      <c r="D1341" s="326"/>
      <c r="E1341" s="326"/>
    </row>
    <row r="1342" spans="2:5" ht="12.75">
      <c r="B1342" s="326"/>
      <c r="C1342" s="323"/>
      <c r="D1342" s="326"/>
      <c r="E1342" s="326"/>
    </row>
    <row r="1343" spans="2:5" ht="12.75">
      <c r="B1343" s="326"/>
      <c r="C1343" s="323"/>
      <c r="D1343" s="326"/>
      <c r="E1343" s="326"/>
    </row>
    <row r="1344" spans="2:5" ht="12.75">
      <c r="B1344" s="326"/>
      <c r="C1344" s="323"/>
      <c r="D1344" s="326"/>
      <c r="E1344" s="326"/>
    </row>
    <row r="1345" spans="2:5" ht="12.75">
      <c r="B1345" s="326"/>
      <c r="C1345" s="323"/>
      <c r="D1345" s="326"/>
      <c r="E1345" s="326"/>
    </row>
    <row r="1346" spans="2:5" ht="12.75">
      <c r="B1346" s="326"/>
      <c r="C1346" s="323"/>
      <c r="D1346" s="326"/>
      <c r="E1346" s="326"/>
    </row>
    <row r="1347" spans="2:5" ht="12.75">
      <c r="B1347" s="326"/>
      <c r="C1347" s="323"/>
      <c r="D1347" s="326"/>
      <c r="E1347" s="326"/>
    </row>
    <row r="1348" spans="2:5" ht="12.75">
      <c r="B1348" s="326"/>
      <c r="C1348" s="323"/>
      <c r="D1348" s="326"/>
      <c r="E1348" s="326"/>
    </row>
    <row r="1349" spans="2:5" ht="12.75">
      <c r="B1349" s="326"/>
      <c r="C1349" s="323"/>
      <c r="D1349" s="326"/>
      <c r="E1349" s="326"/>
    </row>
    <row r="1350" spans="2:5" ht="12.75">
      <c r="B1350" s="326"/>
      <c r="C1350" s="323"/>
      <c r="D1350" s="326"/>
      <c r="E1350" s="326"/>
    </row>
    <row r="1351" spans="2:5" ht="12.75">
      <c r="B1351" s="326"/>
      <c r="C1351" s="323"/>
      <c r="D1351" s="326"/>
      <c r="E1351" s="326"/>
    </row>
    <row r="1352" spans="2:5" ht="12.75">
      <c r="B1352" s="326"/>
      <c r="C1352" s="323"/>
      <c r="D1352" s="326"/>
      <c r="E1352" s="326"/>
    </row>
    <row r="1353" spans="2:5" ht="12.75">
      <c r="B1353" s="326"/>
      <c r="C1353" s="323"/>
      <c r="D1353" s="326"/>
      <c r="E1353" s="326"/>
    </row>
    <row r="1354" spans="2:5" ht="12.75">
      <c r="B1354" s="326"/>
      <c r="C1354" s="323"/>
      <c r="D1354" s="326"/>
      <c r="E1354" s="326"/>
    </row>
    <row r="1355" spans="2:5" ht="12.75">
      <c r="B1355" s="326"/>
      <c r="C1355" s="323"/>
      <c r="D1355" s="326"/>
      <c r="E1355" s="326"/>
    </row>
    <row r="1356" spans="2:5" ht="12.75">
      <c r="B1356" s="326"/>
      <c r="C1356" s="323"/>
      <c r="D1356" s="326"/>
      <c r="E1356" s="326"/>
    </row>
    <row r="1357" spans="2:5" ht="12.75">
      <c r="B1357" s="326"/>
      <c r="C1357" s="323"/>
      <c r="D1357" s="326"/>
      <c r="E1357" s="326"/>
    </row>
    <row r="1358" spans="2:5" ht="12.75">
      <c r="B1358" s="326"/>
      <c r="C1358" s="323"/>
      <c r="D1358" s="326"/>
      <c r="E1358" s="326"/>
    </row>
    <row r="1359" spans="2:5" ht="12.75">
      <c r="B1359" s="326"/>
      <c r="C1359" s="323"/>
      <c r="D1359" s="326"/>
      <c r="E1359" s="326"/>
    </row>
    <row r="1360" spans="2:5" ht="12.75">
      <c r="B1360" s="326"/>
      <c r="C1360" s="323"/>
      <c r="D1360" s="326"/>
      <c r="E1360" s="326"/>
    </row>
    <row r="1361" spans="2:5" ht="12.75">
      <c r="B1361" s="326"/>
      <c r="C1361" s="323"/>
      <c r="D1361" s="326"/>
      <c r="E1361" s="326"/>
    </row>
    <row r="1362" spans="2:5" ht="12.75">
      <c r="B1362" s="326"/>
      <c r="C1362" s="323"/>
      <c r="D1362" s="326"/>
      <c r="E1362" s="326"/>
    </row>
    <row r="1363" spans="2:5" ht="12.75">
      <c r="B1363" s="326"/>
      <c r="C1363" s="323"/>
      <c r="D1363" s="326"/>
      <c r="E1363" s="326"/>
    </row>
    <row r="1364" spans="2:5" ht="12.75">
      <c r="B1364" s="326"/>
      <c r="C1364" s="323"/>
      <c r="D1364" s="326"/>
      <c r="E1364" s="326"/>
    </row>
    <row r="1365" spans="2:5" ht="12.75">
      <c r="B1365" s="326"/>
      <c r="C1365" s="323"/>
      <c r="D1365" s="326"/>
      <c r="E1365" s="326"/>
    </row>
    <row r="1366" spans="2:5" ht="12.75">
      <c r="B1366" s="326"/>
      <c r="C1366" s="323"/>
      <c r="D1366" s="326"/>
      <c r="E1366" s="326"/>
    </row>
    <row r="1367" spans="2:5" ht="12.75">
      <c r="B1367" s="326"/>
      <c r="C1367" s="323"/>
      <c r="D1367" s="326"/>
      <c r="E1367" s="326"/>
    </row>
    <row r="1368" spans="2:5" ht="12.75">
      <c r="B1368" s="326"/>
      <c r="C1368" s="323"/>
      <c r="D1368" s="326"/>
      <c r="E1368" s="326"/>
    </row>
    <row r="1369" spans="2:5" ht="12.75">
      <c r="B1369" s="326"/>
      <c r="C1369" s="323"/>
      <c r="D1369" s="326"/>
      <c r="E1369" s="326"/>
    </row>
    <row r="1370" spans="2:5" ht="12.75">
      <c r="B1370" s="326"/>
      <c r="C1370" s="323"/>
      <c r="D1370" s="326"/>
      <c r="E1370" s="326"/>
    </row>
    <row r="1371" spans="2:5" ht="12.75">
      <c r="B1371" s="326"/>
      <c r="C1371" s="323"/>
      <c r="D1371" s="326"/>
      <c r="E1371" s="326"/>
    </row>
    <row r="1372" spans="2:5" ht="12.75">
      <c r="B1372" s="326"/>
      <c r="C1372" s="323"/>
      <c r="D1372" s="326"/>
      <c r="E1372" s="326"/>
    </row>
    <row r="1373" spans="2:5" ht="12.75">
      <c r="B1373" s="326"/>
      <c r="C1373" s="323"/>
      <c r="D1373" s="326"/>
      <c r="E1373" s="326"/>
    </row>
    <row r="1374" spans="2:5" ht="12.75">
      <c r="B1374" s="326"/>
      <c r="C1374" s="323"/>
      <c r="D1374" s="326"/>
      <c r="E1374" s="326"/>
    </row>
    <row r="1375" spans="2:5" ht="12.75">
      <c r="B1375" s="326"/>
      <c r="C1375" s="323"/>
      <c r="D1375" s="326"/>
      <c r="E1375" s="326"/>
    </row>
    <row r="1376" spans="2:5" ht="12.75">
      <c r="B1376" s="326"/>
      <c r="C1376" s="323"/>
      <c r="D1376" s="326"/>
      <c r="E1376" s="326"/>
    </row>
    <row r="1377" spans="2:5" ht="12.75">
      <c r="B1377" s="326"/>
      <c r="C1377" s="323"/>
      <c r="D1377" s="326"/>
      <c r="E1377" s="326"/>
    </row>
    <row r="1378" spans="2:5" ht="12.75">
      <c r="B1378" s="326"/>
      <c r="C1378" s="323"/>
      <c r="D1378" s="326"/>
      <c r="E1378" s="326"/>
    </row>
    <row r="1379" spans="2:5" ht="12.75">
      <c r="B1379" s="326"/>
      <c r="C1379" s="323"/>
      <c r="D1379" s="326"/>
      <c r="E1379" s="326"/>
    </row>
    <row r="1380" spans="2:5" ht="12.75">
      <c r="B1380" s="326"/>
      <c r="C1380" s="323"/>
      <c r="D1380" s="326"/>
      <c r="E1380" s="326"/>
    </row>
    <row r="1381" spans="2:5" ht="12.75">
      <c r="B1381" s="326"/>
      <c r="C1381" s="323"/>
      <c r="D1381" s="326"/>
      <c r="E1381" s="326"/>
    </row>
    <row r="1382" spans="2:5" ht="12.75">
      <c r="B1382" s="326"/>
      <c r="C1382" s="323"/>
      <c r="D1382" s="326"/>
      <c r="E1382" s="326"/>
    </row>
    <row r="1383" spans="2:5" ht="12.75">
      <c r="B1383" s="326"/>
      <c r="C1383" s="323"/>
      <c r="D1383" s="326"/>
      <c r="E1383" s="326"/>
    </row>
    <row r="1384" spans="2:5" ht="12.75">
      <c r="B1384" s="326"/>
      <c r="C1384" s="323"/>
      <c r="D1384" s="326"/>
      <c r="E1384" s="326"/>
    </row>
    <row r="1385" spans="2:5" ht="12.75">
      <c r="B1385" s="326"/>
      <c r="C1385" s="323"/>
      <c r="D1385" s="326"/>
      <c r="E1385" s="326"/>
    </row>
    <row r="1386" spans="2:5" ht="12.75">
      <c r="B1386" s="326"/>
      <c r="C1386" s="323"/>
      <c r="D1386" s="326"/>
      <c r="E1386" s="326"/>
    </row>
    <row r="1387" spans="2:5" ht="12.75">
      <c r="B1387" s="326"/>
      <c r="C1387" s="323"/>
      <c r="D1387" s="326"/>
      <c r="E1387" s="326"/>
    </row>
    <row r="1388" spans="2:5" ht="12.75">
      <c r="B1388" s="326"/>
      <c r="C1388" s="323"/>
      <c r="D1388" s="326"/>
      <c r="E1388" s="326"/>
    </row>
    <row r="1389" spans="2:5" ht="12.75">
      <c r="B1389" s="326"/>
      <c r="C1389" s="323"/>
      <c r="D1389" s="326"/>
      <c r="E1389" s="326"/>
    </row>
    <row r="1390" spans="2:5" ht="12.75">
      <c r="B1390" s="326"/>
      <c r="C1390" s="323"/>
      <c r="D1390" s="326"/>
      <c r="E1390" s="326"/>
    </row>
    <row r="1391" spans="2:5" ht="12.75">
      <c r="B1391" s="326"/>
      <c r="C1391" s="323"/>
      <c r="D1391" s="326"/>
      <c r="E1391" s="326"/>
    </row>
    <row r="1392" spans="2:5" ht="12.75">
      <c r="B1392" s="326"/>
      <c r="C1392" s="323"/>
      <c r="D1392" s="326"/>
      <c r="E1392" s="326"/>
    </row>
    <row r="1393" spans="2:5" ht="12.75">
      <c r="B1393" s="326"/>
      <c r="C1393" s="323"/>
      <c r="D1393" s="326"/>
      <c r="E1393" s="326"/>
    </row>
    <row r="1394" spans="2:5" ht="12.75">
      <c r="B1394" s="326"/>
      <c r="C1394" s="323"/>
      <c r="D1394" s="326"/>
      <c r="E1394" s="326"/>
    </row>
    <row r="1395" spans="2:5" ht="12.75">
      <c r="B1395" s="326"/>
      <c r="C1395" s="323"/>
      <c r="D1395" s="326"/>
      <c r="E1395" s="326"/>
    </row>
    <row r="1396" spans="2:5" ht="12.75">
      <c r="B1396" s="326"/>
      <c r="C1396" s="323"/>
      <c r="D1396" s="326"/>
      <c r="E1396" s="326"/>
    </row>
    <row r="1397" spans="2:5" ht="12.75">
      <c r="B1397" s="326"/>
      <c r="C1397" s="323"/>
      <c r="D1397" s="326"/>
      <c r="E1397" s="326"/>
    </row>
    <row r="1398" spans="2:5" ht="12.75">
      <c r="B1398" s="326"/>
      <c r="C1398" s="323"/>
      <c r="D1398" s="326"/>
      <c r="E1398" s="326"/>
    </row>
    <row r="1399" spans="2:5" ht="12.75">
      <c r="B1399" s="326"/>
      <c r="C1399" s="323"/>
      <c r="D1399" s="326"/>
      <c r="E1399" s="326"/>
    </row>
    <row r="1400" spans="2:5" ht="12.75">
      <c r="B1400" s="326"/>
      <c r="C1400" s="323"/>
      <c r="D1400" s="326"/>
      <c r="E1400" s="326"/>
    </row>
    <row r="1401" spans="2:5" ht="12.75">
      <c r="B1401" s="326"/>
      <c r="C1401" s="323"/>
      <c r="D1401" s="326"/>
      <c r="E1401" s="326"/>
    </row>
    <row r="1402" spans="2:5" ht="12.75">
      <c r="B1402" s="326"/>
      <c r="C1402" s="323"/>
      <c r="D1402" s="326"/>
      <c r="E1402" s="326"/>
    </row>
    <row r="1403" spans="2:5" ht="12.75">
      <c r="B1403" s="326"/>
      <c r="C1403" s="323"/>
      <c r="D1403" s="326"/>
      <c r="E1403" s="326"/>
    </row>
    <row r="1404" spans="2:5" ht="12.75">
      <c r="B1404" s="326"/>
      <c r="C1404" s="323"/>
      <c r="D1404" s="326"/>
      <c r="E1404" s="326"/>
    </row>
    <row r="1405" spans="2:5" ht="12.75">
      <c r="B1405" s="326"/>
      <c r="C1405" s="323"/>
      <c r="D1405" s="326"/>
      <c r="E1405" s="326"/>
    </row>
    <row r="1406" spans="2:5" ht="12.75">
      <c r="B1406" s="326"/>
      <c r="C1406" s="323"/>
      <c r="D1406" s="326"/>
      <c r="E1406" s="326"/>
    </row>
    <row r="1407" spans="2:5" ht="12.75">
      <c r="B1407" s="326"/>
      <c r="C1407" s="323"/>
      <c r="D1407" s="326"/>
      <c r="E1407" s="326"/>
    </row>
    <row r="1408" spans="2:5" ht="12.75">
      <c r="B1408" s="326"/>
      <c r="C1408" s="323"/>
      <c r="D1408" s="326"/>
      <c r="E1408" s="326"/>
    </row>
    <row r="1409" spans="2:5" ht="12.75">
      <c r="B1409" s="326"/>
      <c r="C1409" s="323"/>
      <c r="D1409" s="326"/>
      <c r="E1409" s="326"/>
    </row>
    <row r="1410" spans="2:5" ht="12.75">
      <c r="B1410" s="326"/>
      <c r="C1410" s="323"/>
      <c r="D1410" s="326"/>
      <c r="E1410" s="326"/>
    </row>
    <row r="1411" spans="2:5" ht="12.75">
      <c r="B1411" s="326"/>
      <c r="C1411" s="323"/>
      <c r="D1411" s="326"/>
      <c r="E1411" s="326"/>
    </row>
    <row r="1412" spans="2:5" ht="12.75">
      <c r="B1412" s="326"/>
      <c r="C1412" s="323"/>
      <c r="D1412" s="326"/>
      <c r="E1412" s="326"/>
    </row>
    <row r="1413" spans="2:5" ht="12.75">
      <c r="B1413" s="326"/>
      <c r="C1413" s="323"/>
      <c r="D1413" s="326"/>
      <c r="E1413" s="326"/>
    </row>
  </sheetData>
  <mergeCells count="10">
    <mergeCell ref="A285:D285"/>
    <mergeCell ref="A8:A10"/>
    <mergeCell ref="B8:B10"/>
    <mergeCell ref="C8:C10"/>
    <mergeCell ref="D8:D10"/>
    <mergeCell ref="F8:F10"/>
    <mergeCell ref="G8:G10"/>
    <mergeCell ref="A6:G6"/>
    <mergeCell ref="E8:E10"/>
    <mergeCell ref="A7:G7"/>
  </mergeCells>
  <printOptions horizontalCentered="1"/>
  <pageMargins left="0.2362204724409449" right="0.2362204724409449" top="0.2362204724409449" bottom="0.57" header="0.2362204724409449" footer="0.5"/>
  <pageSetup fitToHeight="5" fitToWidth="5" horizontalDpi="300" verticalDpi="300" orientation="portrait" paperSize="9" r:id="rId1"/>
  <rowBreaks count="3" manualBreakCount="3">
    <brk id="68" max="6" man="1"/>
    <brk id="137" max="6" man="1"/>
    <brk id="20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2"/>
  <sheetViews>
    <sheetView view="pageBreakPreview" zoomScaleSheetLayoutView="100" workbookViewId="0" topLeftCell="A391">
      <selection activeCell="F408" sqref="F408"/>
    </sheetView>
  </sheetViews>
  <sheetFormatPr defaultColWidth="9.00390625" defaultRowHeight="12.75"/>
  <cols>
    <col min="1" max="1" width="4.125" style="9" bestFit="1" customWidth="1"/>
    <col min="2" max="2" width="6.25390625" style="9" bestFit="1" customWidth="1"/>
    <col min="3" max="3" width="49.25390625" style="9" customWidth="1"/>
    <col min="4" max="4" width="10.875" style="9" customWidth="1"/>
    <col min="5" max="5" width="9.25390625" style="9" bestFit="1" customWidth="1"/>
    <col min="6" max="6" width="11.625" style="9" customWidth="1"/>
    <col min="7" max="16384" width="9.125" style="9" customWidth="1"/>
  </cols>
  <sheetData>
    <row r="1" spans="1:6" ht="11.25" customHeight="1">
      <c r="A1" s="35"/>
      <c r="B1" s="35"/>
      <c r="C1" s="35"/>
      <c r="E1" s="947" t="s">
        <v>408</v>
      </c>
      <c r="F1" s="947"/>
    </row>
    <row r="2" spans="1:5" ht="12">
      <c r="A2" s="35"/>
      <c r="B2" s="35"/>
      <c r="C2" s="35"/>
      <c r="E2" s="36" t="s">
        <v>89</v>
      </c>
    </row>
    <row r="3" spans="1:5" ht="12">
      <c r="A3" s="35"/>
      <c r="B3" s="35"/>
      <c r="C3" s="35"/>
      <c r="E3" s="36" t="s">
        <v>49</v>
      </c>
    </row>
    <row r="4" spans="1:5" ht="12">
      <c r="A4" s="35"/>
      <c r="B4" s="35"/>
      <c r="C4" s="35"/>
      <c r="E4" s="36" t="s">
        <v>661</v>
      </c>
    </row>
    <row r="5" spans="1:3" ht="9.75">
      <c r="A5" s="35"/>
      <c r="B5" s="35"/>
      <c r="C5" s="35"/>
    </row>
    <row r="6" spans="1:6" ht="12.75">
      <c r="A6" s="948" t="s">
        <v>550</v>
      </c>
      <c r="B6" s="948"/>
      <c r="C6" s="948"/>
      <c r="D6" s="948"/>
      <c r="E6" s="948"/>
      <c r="F6" s="948"/>
    </row>
    <row r="7" spans="1:3" ht="9" customHeight="1">
      <c r="A7" s="184"/>
      <c r="B7" s="184"/>
      <c r="C7" s="184"/>
    </row>
    <row r="8" spans="1:6" ht="13.5" customHeight="1" thickBot="1">
      <c r="A8" s="890" t="s">
        <v>446</v>
      </c>
      <c r="B8" s="890"/>
      <c r="C8" s="890"/>
      <c r="D8" s="890"/>
      <c r="E8" s="638"/>
      <c r="F8" s="638"/>
    </row>
    <row r="9" spans="1:6" ht="9.75" customHeight="1">
      <c r="A9" s="943" t="s">
        <v>58</v>
      </c>
      <c r="B9" s="945" t="s">
        <v>46</v>
      </c>
      <c r="C9" s="930" t="s">
        <v>91</v>
      </c>
      <c r="D9" s="939" t="s">
        <v>508</v>
      </c>
      <c r="E9" s="945" t="s">
        <v>594</v>
      </c>
      <c r="F9" s="937" t="s">
        <v>662</v>
      </c>
    </row>
    <row r="10" spans="1:6" ht="27.75" customHeight="1" thickBot="1">
      <c r="A10" s="944"/>
      <c r="B10" s="946"/>
      <c r="C10" s="946"/>
      <c r="D10" s="940"/>
      <c r="E10" s="946"/>
      <c r="F10" s="938"/>
    </row>
    <row r="11" spans="1:6" ht="9.75" customHeight="1" hidden="1" thickBot="1">
      <c r="A11" s="944"/>
      <c r="B11" s="946"/>
      <c r="C11" s="946"/>
      <c r="D11" s="133"/>
      <c r="E11" s="637"/>
      <c r="F11" s="570"/>
    </row>
    <row r="12" spans="1:6" ht="12" customHeight="1" thickBot="1">
      <c r="A12" s="180">
        <v>1</v>
      </c>
      <c r="B12" s="177">
        <v>2</v>
      </c>
      <c r="C12" s="177">
        <v>3</v>
      </c>
      <c r="D12" s="635">
        <v>4</v>
      </c>
      <c r="E12" s="177">
        <v>5</v>
      </c>
      <c r="F12" s="526">
        <v>6</v>
      </c>
    </row>
    <row r="13" spans="1:6" ht="12.75">
      <c r="A13" s="134"/>
      <c r="B13" s="79"/>
      <c r="C13" s="5"/>
      <c r="D13" s="636"/>
      <c r="E13" s="637"/>
      <c r="F13" s="570"/>
    </row>
    <row r="14" spans="1:6" ht="12.75" thickBot="1">
      <c r="A14" s="694" t="s">
        <v>1</v>
      </c>
      <c r="B14" s="695"/>
      <c r="C14" s="641" t="s">
        <v>92</v>
      </c>
      <c r="D14" s="642">
        <f aca="true" t="shared" si="0" ref="D14:F15">D15</f>
        <v>60646</v>
      </c>
      <c r="E14" s="183">
        <f t="shared" si="0"/>
        <v>-3002</v>
      </c>
      <c r="F14" s="643">
        <f t="shared" si="0"/>
        <v>57644</v>
      </c>
    </row>
    <row r="15" spans="1:6" ht="12">
      <c r="A15" s="696"/>
      <c r="B15" s="697"/>
      <c r="C15" s="644" t="s">
        <v>93</v>
      </c>
      <c r="D15" s="535">
        <f t="shared" si="0"/>
        <v>60646</v>
      </c>
      <c r="E15" s="181">
        <f t="shared" si="0"/>
        <v>-3002</v>
      </c>
      <c r="F15" s="537">
        <f t="shared" si="0"/>
        <v>57644</v>
      </c>
    </row>
    <row r="16" spans="1:6" ht="12">
      <c r="A16" s="696"/>
      <c r="B16" s="697"/>
      <c r="C16" s="645" t="s">
        <v>94</v>
      </c>
      <c r="D16" s="646">
        <f>D21+D25</f>
        <v>60646</v>
      </c>
      <c r="E16" s="646">
        <f>E21+E25</f>
        <v>-3002</v>
      </c>
      <c r="F16" s="647">
        <f>F21+F25</f>
        <v>57644</v>
      </c>
    </row>
    <row r="17" spans="1:6" ht="12">
      <c r="A17" s="696"/>
      <c r="B17" s="697"/>
      <c r="C17" s="648"/>
      <c r="D17" s="535"/>
      <c r="E17" s="181"/>
      <c r="F17" s="25"/>
    </row>
    <row r="18" spans="1:6" ht="12">
      <c r="A18" s="698"/>
      <c r="B18" s="699" t="s">
        <v>3</v>
      </c>
      <c r="C18" s="649" t="s">
        <v>95</v>
      </c>
      <c r="D18" s="535"/>
      <c r="E18" s="181"/>
      <c r="F18" s="25"/>
    </row>
    <row r="19" spans="1:6" ht="12">
      <c r="A19" s="698"/>
      <c r="B19" s="700"/>
      <c r="C19" s="650" t="s">
        <v>426</v>
      </c>
      <c r="D19" s="543">
        <f aca="true" t="shared" si="1" ref="D19:F20">D20</f>
        <v>44000</v>
      </c>
      <c r="E19" s="182">
        <f t="shared" si="1"/>
        <v>0</v>
      </c>
      <c r="F19" s="93">
        <f t="shared" si="1"/>
        <v>44000</v>
      </c>
    </row>
    <row r="20" spans="1:6" ht="12">
      <c r="A20" s="698"/>
      <c r="B20" s="699"/>
      <c r="C20" s="644" t="s">
        <v>93</v>
      </c>
      <c r="D20" s="543">
        <f t="shared" si="1"/>
        <v>44000</v>
      </c>
      <c r="E20" s="182">
        <f t="shared" si="1"/>
        <v>0</v>
      </c>
      <c r="F20" s="93">
        <f t="shared" si="1"/>
        <v>44000</v>
      </c>
    </row>
    <row r="21" spans="1:6" ht="12">
      <c r="A21" s="698"/>
      <c r="B21" s="699"/>
      <c r="C21" s="645" t="s">
        <v>94</v>
      </c>
      <c r="D21" s="535">
        <f>SUM('WYDATKI ukł.wyk.'!E17)</f>
        <v>44000</v>
      </c>
      <c r="E21" s="181">
        <f>SUM('WYDATKI ukł.wyk.'!F17)</f>
        <v>0</v>
      </c>
      <c r="F21" s="25">
        <f>SUM('WYDATKI ukł.wyk.'!G17)</f>
        <v>44000</v>
      </c>
    </row>
    <row r="22" spans="1:6" ht="12">
      <c r="A22" s="698"/>
      <c r="B22" s="699"/>
      <c r="C22" s="645"/>
      <c r="D22" s="535"/>
      <c r="E22" s="181"/>
      <c r="F22" s="25"/>
    </row>
    <row r="23" spans="1:6" ht="12">
      <c r="A23" s="698"/>
      <c r="B23" s="700" t="s">
        <v>788</v>
      </c>
      <c r="C23" s="779" t="s">
        <v>133</v>
      </c>
      <c r="D23" s="543">
        <f aca="true" t="shared" si="2" ref="D23:F24">D24</f>
        <v>16646</v>
      </c>
      <c r="E23" s="543">
        <f t="shared" si="2"/>
        <v>-3002</v>
      </c>
      <c r="F23" s="676">
        <f t="shared" si="2"/>
        <v>13644</v>
      </c>
    </row>
    <row r="24" spans="1:6" ht="12">
      <c r="A24" s="698"/>
      <c r="B24" s="699"/>
      <c r="C24" s="645" t="s">
        <v>93</v>
      </c>
      <c r="D24" s="535">
        <f t="shared" si="2"/>
        <v>16646</v>
      </c>
      <c r="E24" s="535">
        <f t="shared" si="2"/>
        <v>-3002</v>
      </c>
      <c r="F24" s="537">
        <f t="shared" si="2"/>
        <v>13644</v>
      </c>
    </row>
    <row r="25" spans="1:6" ht="12">
      <c r="A25" s="698"/>
      <c r="B25" s="699"/>
      <c r="C25" s="645" t="s">
        <v>94</v>
      </c>
      <c r="D25" s="535">
        <f>'WYDATKI ukł.wyk.'!E20</f>
        <v>16646</v>
      </c>
      <c r="E25" s="535">
        <f>'WYDATKI ukł.wyk.'!F20</f>
        <v>-3002</v>
      </c>
      <c r="F25" s="537">
        <f>'WYDATKI ukł.wyk.'!G20</f>
        <v>13644</v>
      </c>
    </row>
    <row r="26" spans="1:6" ht="12">
      <c r="A26" s="698"/>
      <c r="B26" s="699"/>
      <c r="C26" s="645"/>
      <c r="D26" s="535"/>
      <c r="E26" s="181"/>
      <c r="F26" s="25"/>
    </row>
    <row r="27" spans="1:6" ht="12.75" thickBot="1">
      <c r="A27" s="694" t="s">
        <v>21</v>
      </c>
      <c r="B27" s="695"/>
      <c r="C27" s="217" t="s">
        <v>96</v>
      </c>
      <c r="D27" s="642">
        <f aca="true" t="shared" si="3" ref="D27:F28">D28</f>
        <v>193335</v>
      </c>
      <c r="E27" s="183">
        <f t="shared" si="3"/>
        <v>3962</v>
      </c>
      <c r="F27" s="26">
        <f t="shared" si="3"/>
        <v>197297</v>
      </c>
    </row>
    <row r="28" spans="1:6" ht="12">
      <c r="A28" s="698"/>
      <c r="B28" s="699"/>
      <c r="C28" s="651" t="s">
        <v>93</v>
      </c>
      <c r="D28" s="535">
        <f t="shared" si="3"/>
        <v>193335</v>
      </c>
      <c r="E28" s="181">
        <f t="shared" si="3"/>
        <v>3962</v>
      </c>
      <c r="F28" s="25">
        <f t="shared" si="3"/>
        <v>197297</v>
      </c>
    </row>
    <row r="29" spans="1:6" ht="12">
      <c r="A29" s="698"/>
      <c r="B29" s="699"/>
      <c r="C29" s="204" t="s">
        <v>94</v>
      </c>
      <c r="D29" s="646">
        <f>D33+D37</f>
        <v>193335</v>
      </c>
      <c r="E29" s="480">
        <f>E33+E37</f>
        <v>3962</v>
      </c>
      <c r="F29" s="652">
        <f>F33+F37</f>
        <v>197297</v>
      </c>
    </row>
    <row r="30" spans="1:6" ht="12">
      <c r="A30" s="698"/>
      <c r="B30" s="699"/>
      <c r="C30" s="204"/>
      <c r="D30" s="535"/>
      <c r="E30" s="181"/>
      <c r="F30" s="25"/>
    </row>
    <row r="31" spans="1:6" ht="12">
      <c r="A31" s="698"/>
      <c r="B31" s="700" t="s">
        <v>43</v>
      </c>
      <c r="C31" s="651" t="s">
        <v>427</v>
      </c>
      <c r="D31" s="543">
        <f aca="true" t="shared" si="4" ref="D31:F32">D32</f>
        <v>188635</v>
      </c>
      <c r="E31" s="182">
        <f t="shared" si="4"/>
        <v>3962</v>
      </c>
      <c r="F31" s="93">
        <f t="shared" si="4"/>
        <v>192597</v>
      </c>
    </row>
    <row r="32" spans="1:6" ht="12">
      <c r="A32" s="698"/>
      <c r="B32" s="699"/>
      <c r="C32" s="651" t="s">
        <v>93</v>
      </c>
      <c r="D32" s="539">
        <f t="shared" si="4"/>
        <v>188635</v>
      </c>
      <c r="E32" s="540">
        <f t="shared" si="4"/>
        <v>3962</v>
      </c>
      <c r="F32" s="653">
        <f t="shared" si="4"/>
        <v>192597</v>
      </c>
    </row>
    <row r="33" spans="1:6" ht="12">
      <c r="A33" s="698"/>
      <c r="B33" s="699"/>
      <c r="C33" s="204" t="s">
        <v>94</v>
      </c>
      <c r="D33" s="535">
        <f>'WYDATKI ukł.wyk.'!E24</f>
        <v>188635</v>
      </c>
      <c r="E33" s="181">
        <f>'WYDATKI ukł.wyk.'!F24</f>
        <v>3962</v>
      </c>
      <c r="F33" s="25">
        <f>'WYDATKI ukł.wyk.'!G24</f>
        <v>192597</v>
      </c>
    </row>
    <row r="34" spans="1:6" ht="12">
      <c r="A34" s="698"/>
      <c r="B34" s="699"/>
      <c r="C34" s="90"/>
      <c r="D34" s="535"/>
      <c r="E34" s="181"/>
      <c r="F34" s="25"/>
    </row>
    <row r="35" spans="1:6" ht="12">
      <c r="A35" s="698"/>
      <c r="B35" s="700" t="s">
        <v>23</v>
      </c>
      <c r="C35" s="644" t="s">
        <v>98</v>
      </c>
      <c r="D35" s="535">
        <f aca="true" t="shared" si="5" ref="D35:F36">D36</f>
        <v>4700</v>
      </c>
      <c r="E35" s="181">
        <f t="shared" si="5"/>
        <v>0</v>
      </c>
      <c r="F35" s="25">
        <f t="shared" si="5"/>
        <v>4700</v>
      </c>
    </row>
    <row r="36" spans="1:6" ht="12">
      <c r="A36" s="698"/>
      <c r="B36" s="699"/>
      <c r="C36" s="651" t="s">
        <v>93</v>
      </c>
      <c r="D36" s="539">
        <f t="shared" si="5"/>
        <v>4700</v>
      </c>
      <c r="E36" s="540">
        <f t="shared" si="5"/>
        <v>0</v>
      </c>
      <c r="F36" s="653">
        <f t="shared" si="5"/>
        <v>4700</v>
      </c>
    </row>
    <row r="37" spans="1:6" ht="12">
      <c r="A37" s="698"/>
      <c r="B37" s="699"/>
      <c r="C37" s="204" t="s">
        <v>94</v>
      </c>
      <c r="D37" s="535">
        <f>'WYDATKI ukł.wyk.'!E27</f>
        <v>4700</v>
      </c>
      <c r="E37" s="181">
        <f>'WYDATKI ukł.wyk.'!F27</f>
        <v>0</v>
      </c>
      <c r="F37" s="25">
        <f>'WYDATKI ukł.wyk.'!G27</f>
        <v>4700</v>
      </c>
    </row>
    <row r="38" spans="1:6" ht="12">
      <c r="A38" s="698"/>
      <c r="B38" s="699"/>
      <c r="C38" s="645"/>
      <c r="D38" s="535"/>
      <c r="E38" s="181"/>
      <c r="F38" s="25"/>
    </row>
    <row r="39" spans="1:6" ht="12.75" thickBot="1">
      <c r="A39" s="694" t="s">
        <v>99</v>
      </c>
      <c r="B39" s="695"/>
      <c r="C39" s="217" t="s">
        <v>100</v>
      </c>
      <c r="D39" s="642">
        <f>D40+D44</f>
        <v>3824675</v>
      </c>
      <c r="E39" s="183">
        <f>E40+E44</f>
        <v>102994</v>
      </c>
      <c r="F39" s="26">
        <f>F40+F44</f>
        <v>3927669</v>
      </c>
    </row>
    <row r="40" spans="1:6" ht="12">
      <c r="A40" s="698"/>
      <c r="B40" s="699"/>
      <c r="C40" s="651" t="s">
        <v>93</v>
      </c>
      <c r="D40" s="535">
        <f>SUM(D41:D43)</f>
        <v>3372842</v>
      </c>
      <c r="E40" s="181">
        <f>SUM(E41:E43)</f>
        <v>111137</v>
      </c>
      <c r="F40" s="25">
        <f>SUM(F41:F43)</f>
        <v>3483979</v>
      </c>
    </row>
    <row r="41" spans="1:6" ht="12">
      <c r="A41" s="698"/>
      <c r="B41" s="699"/>
      <c r="C41" s="204" t="s">
        <v>101</v>
      </c>
      <c r="D41" s="646">
        <f aca="true" t="shared" si="6" ref="D41:F43">D48</f>
        <v>977017</v>
      </c>
      <c r="E41" s="480">
        <f t="shared" si="6"/>
        <v>0</v>
      </c>
      <c r="F41" s="652">
        <f t="shared" si="6"/>
        <v>977017</v>
      </c>
    </row>
    <row r="42" spans="1:6" ht="12">
      <c r="A42" s="698"/>
      <c r="B42" s="699"/>
      <c r="C42" s="654" t="s">
        <v>102</v>
      </c>
      <c r="D42" s="535">
        <f t="shared" si="6"/>
        <v>0</v>
      </c>
      <c r="E42" s="181">
        <f t="shared" si="6"/>
        <v>0</v>
      </c>
      <c r="F42" s="25">
        <f t="shared" si="6"/>
        <v>0</v>
      </c>
    </row>
    <row r="43" spans="1:6" ht="12">
      <c r="A43" s="698"/>
      <c r="B43" s="699"/>
      <c r="C43" s="204" t="s">
        <v>94</v>
      </c>
      <c r="D43" s="535">
        <f t="shared" si="6"/>
        <v>2395825</v>
      </c>
      <c r="E43" s="181">
        <f t="shared" si="6"/>
        <v>111137</v>
      </c>
      <c r="F43" s="25">
        <f t="shared" si="6"/>
        <v>2506962</v>
      </c>
    </row>
    <row r="44" spans="1:6" ht="12">
      <c r="A44" s="698"/>
      <c r="B44" s="699"/>
      <c r="C44" s="655" t="s">
        <v>103</v>
      </c>
      <c r="D44" s="543">
        <f>D51+D54</f>
        <v>451833</v>
      </c>
      <c r="E44" s="543">
        <f>E51+E54</f>
        <v>-8143</v>
      </c>
      <c r="F44" s="676">
        <f>F51+F54</f>
        <v>443690</v>
      </c>
    </row>
    <row r="45" spans="1:6" ht="12">
      <c r="A45" s="698"/>
      <c r="B45" s="699"/>
      <c r="C45" s="90"/>
      <c r="D45" s="535"/>
      <c r="E45" s="181"/>
      <c r="F45" s="25"/>
    </row>
    <row r="46" spans="1:6" ht="12">
      <c r="A46" s="698"/>
      <c r="B46" s="700" t="s">
        <v>104</v>
      </c>
      <c r="C46" s="644" t="s">
        <v>105</v>
      </c>
      <c r="D46" s="543">
        <f>D47+D51</f>
        <v>3585970</v>
      </c>
      <c r="E46" s="182">
        <f>E47+E51</f>
        <v>104384</v>
      </c>
      <c r="F46" s="93">
        <f>F47+F51</f>
        <v>3690354</v>
      </c>
    </row>
    <row r="47" spans="1:6" ht="12">
      <c r="A47" s="698"/>
      <c r="B47" s="699"/>
      <c r="C47" s="651" t="s">
        <v>93</v>
      </c>
      <c r="D47" s="539">
        <f>SUM(D48:D50)</f>
        <v>3372842</v>
      </c>
      <c r="E47" s="540">
        <f>SUM(E48:E50)</f>
        <v>111137</v>
      </c>
      <c r="F47" s="653">
        <f>SUM(F48:F50)</f>
        <v>3483979</v>
      </c>
    </row>
    <row r="48" spans="1:6" ht="12">
      <c r="A48" s="698"/>
      <c r="B48" s="699"/>
      <c r="C48" s="204" t="s">
        <v>101</v>
      </c>
      <c r="D48" s="535">
        <f>SUM('WYDATKI ukł.wyk.'!E33:E36)</f>
        <v>977017</v>
      </c>
      <c r="E48" s="181">
        <f>SUM('WYDATKI ukł.wyk.'!F33:F36)</f>
        <v>0</v>
      </c>
      <c r="F48" s="25">
        <f>SUM('WYDATKI ukł.wyk.'!G33:G36)</f>
        <v>977017</v>
      </c>
    </row>
    <row r="49" spans="1:6" ht="12">
      <c r="A49" s="698"/>
      <c r="B49" s="699"/>
      <c r="C49" s="654" t="s">
        <v>102</v>
      </c>
      <c r="D49" s="535">
        <f>'WYDATKI ukł.wyk.'!E31</f>
        <v>0</v>
      </c>
      <c r="E49" s="181">
        <f>'WYDATKI ukł.wyk.'!F31</f>
        <v>0</v>
      </c>
      <c r="F49" s="25">
        <f>'WYDATKI ukł.wyk.'!G31</f>
        <v>0</v>
      </c>
    </row>
    <row r="50" spans="1:6" ht="12">
      <c r="A50" s="698"/>
      <c r="B50" s="699"/>
      <c r="C50" s="204" t="s">
        <v>94</v>
      </c>
      <c r="D50" s="535">
        <f>SUM('WYDATKI ukł.wyk.'!E37:E48)+'WYDATKI ukł.wyk.'!E32</f>
        <v>2395825</v>
      </c>
      <c r="E50" s="181">
        <f>SUM('WYDATKI ukł.wyk.'!F37:F48)+'WYDATKI ukł.wyk.'!F32</f>
        <v>111137</v>
      </c>
      <c r="F50" s="25">
        <f>SUM('WYDATKI ukł.wyk.'!G37:G48)+'WYDATKI ukł.wyk.'!G32</f>
        <v>2506962</v>
      </c>
    </row>
    <row r="51" spans="1:6" ht="12">
      <c r="A51" s="698"/>
      <c r="B51" s="699"/>
      <c r="C51" s="655" t="s">
        <v>103</v>
      </c>
      <c r="D51" s="543">
        <f>SUM('WYDATKI ukł.wyk.'!E49:E50)</f>
        <v>213128</v>
      </c>
      <c r="E51" s="182">
        <f>SUM('WYDATKI ukł.wyk.'!F49:F50)</f>
        <v>-6753</v>
      </c>
      <c r="F51" s="93">
        <f>SUM('WYDATKI ukł.wyk.'!G49:G50)</f>
        <v>206375</v>
      </c>
    </row>
    <row r="52" spans="1:6" ht="12">
      <c r="A52" s="698"/>
      <c r="B52" s="699"/>
      <c r="C52" s="610"/>
      <c r="D52" s="535"/>
      <c r="E52" s="181"/>
      <c r="F52" s="25"/>
    </row>
    <row r="53" spans="1:6" ht="12">
      <c r="A53" s="698"/>
      <c r="B53" s="700" t="s">
        <v>778</v>
      </c>
      <c r="C53" s="655" t="s">
        <v>780</v>
      </c>
      <c r="D53" s="543">
        <f>D54</f>
        <v>238705</v>
      </c>
      <c r="E53" s="182">
        <f>E54</f>
        <v>-1390</v>
      </c>
      <c r="F53" s="93">
        <f>F54</f>
        <v>237315</v>
      </c>
    </row>
    <row r="54" spans="1:6" ht="12">
      <c r="A54" s="698"/>
      <c r="B54" s="699"/>
      <c r="C54" s="610" t="s">
        <v>779</v>
      </c>
      <c r="D54" s="535">
        <f>'WYDATKI ukł.wyk.'!E53</f>
        <v>238705</v>
      </c>
      <c r="E54" s="535">
        <f>'WYDATKI ukł.wyk.'!F53</f>
        <v>-1390</v>
      </c>
      <c r="F54" s="647">
        <f>'WYDATKI ukł.wyk.'!G53</f>
        <v>237315</v>
      </c>
    </row>
    <row r="55" spans="1:6" ht="12">
      <c r="A55" s="698"/>
      <c r="B55" s="699"/>
      <c r="C55" s="610"/>
      <c r="D55" s="535"/>
      <c r="E55" s="181"/>
      <c r="F55" s="25"/>
    </row>
    <row r="56" spans="1:6" ht="12.75" thickBot="1">
      <c r="A56" s="701" t="s">
        <v>106</v>
      </c>
      <c r="B56" s="695"/>
      <c r="C56" s="217" t="s">
        <v>107</v>
      </c>
      <c r="D56" s="642">
        <f>D57</f>
        <v>2000</v>
      </c>
      <c r="E56" s="183">
        <f>E57</f>
        <v>-200</v>
      </c>
      <c r="F56" s="26">
        <f>F57</f>
        <v>1800</v>
      </c>
    </row>
    <row r="57" spans="1:6" ht="12">
      <c r="A57" s="702"/>
      <c r="B57" s="699"/>
      <c r="C57" s="651" t="s">
        <v>93</v>
      </c>
      <c r="D57" s="535">
        <f>SUM(D58:D59)</f>
        <v>2000</v>
      </c>
      <c r="E57" s="181">
        <f>SUM(E58:E59)</f>
        <v>-200</v>
      </c>
      <c r="F57" s="25">
        <f>SUM(F58:F59)</f>
        <v>1800</v>
      </c>
    </row>
    <row r="58" spans="1:6" ht="12">
      <c r="A58" s="702"/>
      <c r="B58" s="699"/>
      <c r="C58" s="204" t="s">
        <v>108</v>
      </c>
      <c r="D58" s="646">
        <f aca="true" t="shared" si="7" ref="D58:F59">D63</f>
        <v>1000</v>
      </c>
      <c r="E58" s="480">
        <f t="shared" si="7"/>
        <v>0</v>
      </c>
      <c r="F58" s="652">
        <f t="shared" si="7"/>
        <v>1000</v>
      </c>
    </row>
    <row r="59" spans="1:6" ht="12">
      <c r="A59" s="702"/>
      <c r="B59" s="699"/>
      <c r="C59" s="204" t="s">
        <v>94</v>
      </c>
      <c r="D59" s="535">
        <f t="shared" si="7"/>
        <v>1000</v>
      </c>
      <c r="E59" s="181">
        <f t="shared" si="7"/>
        <v>-200</v>
      </c>
      <c r="F59" s="25">
        <f t="shared" si="7"/>
        <v>800</v>
      </c>
    </row>
    <row r="60" spans="1:6" ht="12">
      <c r="A60" s="702"/>
      <c r="B60" s="699"/>
      <c r="C60" s="204"/>
      <c r="D60" s="535"/>
      <c r="E60" s="181"/>
      <c r="F60" s="25"/>
    </row>
    <row r="61" spans="1:6" ht="12">
      <c r="A61" s="702"/>
      <c r="B61" s="700" t="s">
        <v>109</v>
      </c>
      <c r="C61" s="644" t="s">
        <v>110</v>
      </c>
      <c r="D61" s="543">
        <f>D62</f>
        <v>2000</v>
      </c>
      <c r="E61" s="182">
        <f>E62</f>
        <v>-200</v>
      </c>
      <c r="F61" s="93">
        <f>F62</f>
        <v>1800</v>
      </c>
    </row>
    <row r="62" spans="1:6" ht="12">
      <c r="A62" s="702"/>
      <c r="B62" s="699"/>
      <c r="C62" s="651" t="s">
        <v>93</v>
      </c>
      <c r="D62" s="539">
        <f>SUM(D63:D64)</f>
        <v>2000</v>
      </c>
      <c r="E62" s="540">
        <f>SUM(E63:E64)</f>
        <v>-200</v>
      </c>
      <c r="F62" s="653">
        <f>SUM(F63:F64)</f>
        <v>1800</v>
      </c>
    </row>
    <row r="63" spans="1:6" ht="12">
      <c r="A63" s="702"/>
      <c r="B63" s="699"/>
      <c r="C63" s="204" t="s">
        <v>108</v>
      </c>
      <c r="D63" s="535">
        <f>'WYDATKI ukł.wyk.'!E57</f>
        <v>1000</v>
      </c>
      <c r="E63" s="181">
        <f>'WYDATKI ukł.wyk.'!F57</f>
        <v>0</v>
      </c>
      <c r="F63" s="25">
        <f>'WYDATKI ukł.wyk.'!G57</f>
        <v>1000</v>
      </c>
    </row>
    <row r="64" spans="1:6" ht="12">
      <c r="A64" s="702"/>
      <c r="B64" s="699"/>
      <c r="C64" s="204" t="s">
        <v>94</v>
      </c>
      <c r="D64" s="535">
        <f>SUM('WYDATKI ukł.wyk.'!E59:E60)</f>
        <v>1000</v>
      </c>
      <c r="E64" s="181">
        <f>SUM('WYDATKI ukł.wyk.'!F59:F60)</f>
        <v>-200</v>
      </c>
      <c r="F64" s="25">
        <f>SUM('WYDATKI ukł.wyk.'!G59:G60)</f>
        <v>800</v>
      </c>
    </row>
    <row r="65" spans="1:6" ht="12">
      <c r="A65" s="702"/>
      <c r="B65" s="699"/>
      <c r="C65" s="204"/>
      <c r="D65" s="535"/>
      <c r="E65" s="181"/>
      <c r="F65" s="25"/>
    </row>
    <row r="66" spans="1:6" ht="12.75" thickBot="1">
      <c r="A66" s="701" t="s">
        <v>4</v>
      </c>
      <c r="B66" s="695"/>
      <c r="C66" s="416" t="s">
        <v>111</v>
      </c>
      <c r="D66" s="642">
        <f aca="true" t="shared" si="8" ref="D66:F67">D67</f>
        <v>96804</v>
      </c>
      <c r="E66" s="183">
        <f t="shared" si="8"/>
        <v>5620</v>
      </c>
      <c r="F66" s="26">
        <f t="shared" si="8"/>
        <v>102424</v>
      </c>
    </row>
    <row r="67" spans="1:6" ht="12">
      <c r="A67" s="702"/>
      <c r="B67" s="699"/>
      <c r="C67" s="651" t="s">
        <v>93</v>
      </c>
      <c r="D67" s="535">
        <f t="shared" si="8"/>
        <v>96804</v>
      </c>
      <c r="E67" s="181">
        <f t="shared" si="8"/>
        <v>5620</v>
      </c>
      <c r="F67" s="25">
        <f t="shared" si="8"/>
        <v>102424</v>
      </c>
    </row>
    <row r="68" spans="1:6" ht="12">
      <c r="A68" s="702"/>
      <c r="B68" s="699"/>
      <c r="C68" s="656" t="s">
        <v>94</v>
      </c>
      <c r="D68" s="646">
        <f>D72</f>
        <v>96804</v>
      </c>
      <c r="E68" s="480">
        <f>E72</f>
        <v>5620</v>
      </c>
      <c r="F68" s="652">
        <f>F72</f>
        <v>102424</v>
      </c>
    </row>
    <row r="69" spans="1:6" ht="12">
      <c r="A69" s="702"/>
      <c r="B69" s="699"/>
      <c r="C69" s="204"/>
      <c r="D69" s="535"/>
      <c r="E69" s="181"/>
      <c r="F69" s="25"/>
    </row>
    <row r="70" spans="1:6" ht="12">
      <c r="A70" s="702"/>
      <c r="B70" s="700" t="s">
        <v>6</v>
      </c>
      <c r="C70" s="644" t="s">
        <v>112</v>
      </c>
      <c r="D70" s="543">
        <f aca="true" t="shared" si="9" ref="D70:F71">D71</f>
        <v>96804</v>
      </c>
      <c r="E70" s="182">
        <f t="shared" si="9"/>
        <v>5620</v>
      </c>
      <c r="F70" s="93">
        <f t="shared" si="9"/>
        <v>102424</v>
      </c>
    </row>
    <row r="71" spans="1:6" ht="12">
      <c r="A71" s="702"/>
      <c r="B71" s="699"/>
      <c r="C71" s="651" t="s">
        <v>93</v>
      </c>
      <c r="D71" s="539">
        <f t="shared" si="9"/>
        <v>96804</v>
      </c>
      <c r="E71" s="540">
        <f t="shared" si="9"/>
        <v>5620</v>
      </c>
      <c r="F71" s="653">
        <f t="shared" si="9"/>
        <v>102424</v>
      </c>
    </row>
    <row r="72" spans="1:6" ht="12">
      <c r="A72" s="698"/>
      <c r="B72" s="699"/>
      <c r="C72" s="656" t="s">
        <v>94</v>
      </c>
      <c r="D72" s="535">
        <f>SUM('WYDATKI ukł.wyk.'!E64:E69)</f>
        <v>96804</v>
      </c>
      <c r="E72" s="535">
        <f>SUM('WYDATKI ukł.wyk.'!F64:F69)</f>
        <v>5620</v>
      </c>
      <c r="F72" s="647">
        <f>SUM('WYDATKI ukł.wyk.'!G64:G69)</f>
        <v>102424</v>
      </c>
    </row>
    <row r="73" spans="1:6" ht="12">
      <c r="A73" s="698"/>
      <c r="B73" s="699"/>
      <c r="C73" s="238"/>
      <c r="D73" s="535"/>
      <c r="E73" s="181"/>
      <c r="F73" s="25"/>
    </row>
    <row r="74" spans="1:6" ht="12.75" thickBot="1">
      <c r="A74" s="694" t="s">
        <v>8</v>
      </c>
      <c r="B74" s="695"/>
      <c r="C74" s="657" t="s">
        <v>113</v>
      </c>
      <c r="D74" s="642">
        <f>D75+D78</f>
        <v>277553</v>
      </c>
      <c r="E74" s="183">
        <f>E75+E78</f>
        <v>0</v>
      </c>
      <c r="F74" s="26">
        <f>F75+F78</f>
        <v>277553</v>
      </c>
    </row>
    <row r="75" spans="1:6" ht="12">
      <c r="A75" s="696"/>
      <c r="B75" s="697"/>
      <c r="C75" s="655" t="s">
        <v>93</v>
      </c>
      <c r="D75" s="535">
        <f>D81+D85+D89</f>
        <v>277553</v>
      </c>
      <c r="E75" s="181">
        <f>E81+E85+E89</f>
        <v>0</v>
      </c>
      <c r="F75" s="25">
        <f>F81+F85+F89</f>
        <v>277553</v>
      </c>
    </row>
    <row r="76" spans="1:6" ht="12">
      <c r="A76" s="696"/>
      <c r="B76" s="697"/>
      <c r="C76" s="238" t="s">
        <v>114</v>
      </c>
      <c r="D76" s="646">
        <f>D90</f>
        <v>166951</v>
      </c>
      <c r="E76" s="480">
        <f>E90</f>
        <v>-318</v>
      </c>
      <c r="F76" s="652">
        <f>F90</f>
        <v>166633</v>
      </c>
    </row>
    <row r="77" spans="1:6" ht="12">
      <c r="A77" s="696"/>
      <c r="B77" s="697"/>
      <c r="C77" s="238" t="s">
        <v>94</v>
      </c>
      <c r="D77" s="535">
        <f>D82+D86+D91</f>
        <v>110602</v>
      </c>
      <c r="E77" s="181">
        <f>E82+E86+E91</f>
        <v>318</v>
      </c>
      <c r="F77" s="25">
        <f>F82+F86+F91</f>
        <v>110920</v>
      </c>
    </row>
    <row r="78" spans="1:6" ht="12">
      <c r="A78" s="696"/>
      <c r="B78" s="697"/>
      <c r="C78" s="655" t="s">
        <v>103</v>
      </c>
      <c r="D78" s="543">
        <f>D92</f>
        <v>0</v>
      </c>
      <c r="E78" s="182">
        <f>E92</f>
        <v>0</v>
      </c>
      <c r="F78" s="93">
        <f>F92</f>
        <v>0</v>
      </c>
    </row>
    <row r="79" spans="1:6" ht="12">
      <c r="A79" s="696"/>
      <c r="B79" s="697"/>
      <c r="C79" s="658"/>
      <c r="D79" s="535"/>
      <c r="E79" s="181"/>
      <c r="F79" s="25"/>
    </row>
    <row r="80" spans="1:6" ht="12">
      <c r="A80" s="698"/>
      <c r="B80" s="700" t="s">
        <v>10</v>
      </c>
      <c r="C80" s="659" t="s">
        <v>115</v>
      </c>
      <c r="D80" s="543">
        <f aca="true" t="shared" si="10" ref="D80:F81">D81</f>
        <v>40000</v>
      </c>
      <c r="E80" s="182">
        <f t="shared" si="10"/>
        <v>0</v>
      </c>
      <c r="F80" s="93">
        <f t="shared" si="10"/>
        <v>40000</v>
      </c>
    </row>
    <row r="81" spans="1:6" ht="12">
      <c r="A81" s="698"/>
      <c r="B81" s="699"/>
      <c r="C81" s="655" t="s">
        <v>93</v>
      </c>
      <c r="D81" s="539">
        <f t="shared" si="10"/>
        <v>40000</v>
      </c>
      <c r="E81" s="540">
        <f t="shared" si="10"/>
        <v>0</v>
      </c>
      <c r="F81" s="653">
        <f t="shared" si="10"/>
        <v>40000</v>
      </c>
    </row>
    <row r="82" spans="1:6" ht="12">
      <c r="A82" s="698"/>
      <c r="B82" s="699"/>
      <c r="C82" s="238" t="s">
        <v>94</v>
      </c>
      <c r="D82" s="535">
        <f>'WYDATKI ukł.wyk.'!E73</f>
        <v>40000</v>
      </c>
      <c r="E82" s="181">
        <f>'WYDATKI ukł.wyk.'!F73</f>
        <v>0</v>
      </c>
      <c r="F82" s="25">
        <f>'WYDATKI ukł.wyk.'!G73</f>
        <v>40000</v>
      </c>
    </row>
    <row r="83" spans="1:6" ht="12">
      <c r="A83" s="698"/>
      <c r="B83" s="699"/>
      <c r="C83" s="133"/>
      <c r="D83" s="535"/>
      <c r="E83" s="181"/>
      <c r="F83" s="25"/>
    </row>
    <row r="84" spans="1:6" ht="12">
      <c r="A84" s="698"/>
      <c r="B84" s="700" t="s">
        <v>11</v>
      </c>
      <c r="C84" s="659" t="s">
        <v>116</v>
      </c>
      <c r="D84" s="535">
        <f aca="true" t="shared" si="11" ref="D84:F85">D85</f>
        <v>22000</v>
      </c>
      <c r="E84" s="181">
        <f t="shared" si="11"/>
        <v>0</v>
      </c>
      <c r="F84" s="25">
        <f t="shared" si="11"/>
        <v>22000</v>
      </c>
    </row>
    <row r="85" spans="1:6" ht="12">
      <c r="A85" s="698"/>
      <c r="B85" s="699"/>
      <c r="C85" s="655" t="s">
        <v>93</v>
      </c>
      <c r="D85" s="539">
        <f t="shared" si="11"/>
        <v>22000</v>
      </c>
      <c r="E85" s="540">
        <f t="shared" si="11"/>
        <v>0</v>
      </c>
      <c r="F85" s="653">
        <f t="shared" si="11"/>
        <v>22000</v>
      </c>
    </row>
    <row r="86" spans="1:6" ht="12">
      <c r="A86" s="698"/>
      <c r="B86" s="699"/>
      <c r="C86" s="238" t="s">
        <v>94</v>
      </c>
      <c r="D86" s="535">
        <f>'WYDATKI ukł.wyk.'!E76</f>
        <v>22000</v>
      </c>
      <c r="E86" s="181">
        <f>'WYDATKI ukł.wyk.'!F76</f>
        <v>0</v>
      </c>
      <c r="F86" s="647">
        <f>'WYDATKI ukł.wyk.'!G76</f>
        <v>22000</v>
      </c>
    </row>
    <row r="87" spans="1:6" ht="12">
      <c r="A87" s="698"/>
      <c r="B87" s="699"/>
      <c r="C87" s="238"/>
      <c r="D87" s="535"/>
      <c r="E87" s="181"/>
      <c r="F87" s="537"/>
    </row>
    <row r="88" spans="1:6" ht="12">
      <c r="A88" s="698"/>
      <c r="B88" s="700" t="s">
        <v>13</v>
      </c>
      <c r="C88" s="659" t="s">
        <v>117</v>
      </c>
      <c r="D88" s="535">
        <f>D89+D92</f>
        <v>215553</v>
      </c>
      <c r="E88" s="181">
        <f>E89+E92</f>
        <v>0</v>
      </c>
      <c r="F88" s="537">
        <f>F89+F92</f>
        <v>215553</v>
      </c>
    </row>
    <row r="89" spans="1:6" ht="12">
      <c r="A89" s="698"/>
      <c r="B89" s="699"/>
      <c r="C89" s="655" t="s">
        <v>93</v>
      </c>
      <c r="D89" s="539">
        <f>D90+D91</f>
        <v>215553</v>
      </c>
      <c r="E89" s="540">
        <f>E90+E91</f>
        <v>0</v>
      </c>
      <c r="F89" s="679">
        <f>F90+F91</f>
        <v>215553</v>
      </c>
    </row>
    <row r="90" spans="1:6" ht="12">
      <c r="A90" s="703"/>
      <c r="B90" s="699"/>
      <c r="C90" s="238" t="s">
        <v>114</v>
      </c>
      <c r="D90" s="535">
        <f>SUM('WYDATKI ukł.wyk.'!E79:E83)</f>
        <v>166951</v>
      </c>
      <c r="E90" s="181">
        <f>SUM('WYDATKI ukł.wyk.'!F79:F83)</f>
        <v>-318</v>
      </c>
      <c r="F90" s="537">
        <f>SUM('WYDATKI ukł.wyk.'!G79:G83)</f>
        <v>166633</v>
      </c>
    </row>
    <row r="91" spans="1:6" ht="12">
      <c r="A91" s="698"/>
      <c r="B91" s="699"/>
      <c r="C91" s="238" t="s">
        <v>94</v>
      </c>
      <c r="D91" s="535">
        <f>SUM('WYDATKI ukł.wyk.'!E84:E87)</f>
        <v>48602</v>
      </c>
      <c r="E91" s="181">
        <f>SUM('WYDATKI ukł.wyk.'!F84:F87)</f>
        <v>318</v>
      </c>
      <c r="F91" s="537">
        <f>SUM('WYDATKI ukł.wyk.'!G84:G87)</f>
        <v>48920</v>
      </c>
    </row>
    <row r="92" spans="1:6" ht="12">
      <c r="A92" s="698"/>
      <c r="B92" s="699"/>
      <c r="C92" s="655" t="s">
        <v>103</v>
      </c>
      <c r="D92" s="543">
        <f>'WYDATKI ukł.wyk.'!E88</f>
        <v>0</v>
      </c>
      <c r="E92" s="182">
        <f>'WYDATKI ukł.wyk.'!F88</f>
        <v>0</v>
      </c>
      <c r="F92" s="676">
        <f>'WYDATKI ukł.wyk.'!G88</f>
        <v>0</v>
      </c>
    </row>
    <row r="93" spans="1:6" ht="12">
      <c r="A93" s="698"/>
      <c r="B93" s="699"/>
      <c r="C93" s="610"/>
      <c r="D93" s="535"/>
      <c r="E93" s="181"/>
      <c r="F93" s="537"/>
    </row>
    <row r="94" spans="1:6" ht="12.75" thickBot="1">
      <c r="A94" s="701" t="s">
        <v>118</v>
      </c>
      <c r="B94" s="695"/>
      <c r="C94" s="234" t="s">
        <v>119</v>
      </c>
      <c r="D94" s="642">
        <f>D95+D98</f>
        <v>4100357</v>
      </c>
      <c r="E94" s="183">
        <f>E95+E98</f>
        <v>-152186</v>
      </c>
      <c r="F94" s="643">
        <f>F95+F98</f>
        <v>3948171</v>
      </c>
    </row>
    <row r="95" spans="1:6" ht="12">
      <c r="A95" s="696"/>
      <c r="B95" s="697"/>
      <c r="C95" s="655" t="s">
        <v>93</v>
      </c>
      <c r="D95" s="535">
        <f>SUM(D96:D97)</f>
        <v>3955892</v>
      </c>
      <c r="E95" s="181">
        <f>SUM(E96:E97)</f>
        <v>-82186</v>
      </c>
      <c r="F95" s="537">
        <f>SUM(F96:F97)</f>
        <v>3873706</v>
      </c>
    </row>
    <row r="96" spans="1:6" ht="12">
      <c r="A96" s="696"/>
      <c r="B96" s="697"/>
      <c r="C96" s="238" t="s">
        <v>101</v>
      </c>
      <c r="D96" s="646">
        <f>D102+D111+D117+D122</f>
        <v>2645385</v>
      </c>
      <c r="E96" s="646">
        <f>E102+E111+E117+E122</f>
        <v>-77003</v>
      </c>
      <c r="F96" s="647">
        <f>F102+F111+F117+F122</f>
        <v>2568382</v>
      </c>
    </row>
    <row r="97" spans="1:6" ht="12">
      <c r="A97" s="696"/>
      <c r="B97" s="697"/>
      <c r="C97" s="238" t="s">
        <v>94</v>
      </c>
      <c r="D97" s="535">
        <f>D103+D107+D112+D118+D123</f>
        <v>1310507</v>
      </c>
      <c r="E97" s="535">
        <f>E103+E107+E112+E118+E123</f>
        <v>-5183</v>
      </c>
      <c r="F97" s="537">
        <f>F103+F107+F112+F118+F123</f>
        <v>1305324</v>
      </c>
    </row>
    <row r="98" spans="1:6" ht="12">
      <c r="A98" s="696"/>
      <c r="B98" s="697"/>
      <c r="C98" s="655" t="s">
        <v>103</v>
      </c>
      <c r="D98" s="543">
        <f>D113+D124</f>
        <v>144465</v>
      </c>
      <c r="E98" s="543">
        <f>E113+E124</f>
        <v>-70000</v>
      </c>
      <c r="F98" s="676">
        <f>F113+F124</f>
        <v>74465</v>
      </c>
    </row>
    <row r="99" spans="1:6" ht="12">
      <c r="A99" s="696"/>
      <c r="B99" s="697"/>
      <c r="C99" s="660"/>
      <c r="D99" s="535"/>
      <c r="E99" s="181"/>
      <c r="F99" s="537"/>
    </row>
    <row r="100" spans="1:6" ht="12">
      <c r="A100" s="698"/>
      <c r="B100" s="704" t="s">
        <v>120</v>
      </c>
      <c r="C100" s="659" t="s">
        <v>121</v>
      </c>
      <c r="D100" s="543">
        <f>D101</f>
        <v>256034</v>
      </c>
      <c r="E100" s="182">
        <f>E101</f>
        <v>-7744</v>
      </c>
      <c r="F100" s="676">
        <f>F101</f>
        <v>248290</v>
      </c>
    </row>
    <row r="101" spans="1:6" ht="12">
      <c r="A101" s="698"/>
      <c r="B101" s="699"/>
      <c r="C101" s="655" t="s">
        <v>93</v>
      </c>
      <c r="D101" s="539">
        <f>SUM(D102:D103)</f>
        <v>256034</v>
      </c>
      <c r="E101" s="540">
        <f>SUM(E102:E103)</f>
        <v>-7744</v>
      </c>
      <c r="F101" s="679">
        <f>SUM(F102:F103)</f>
        <v>248290</v>
      </c>
    </row>
    <row r="102" spans="1:6" ht="12">
      <c r="A102" s="698"/>
      <c r="B102" s="699"/>
      <c r="C102" s="238" t="s">
        <v>101</v>
      </c>
      <c r="D102" s="535">
        <f>SUM('WYDATKI ukł.wyk.'!E93:E97)</f>
        <v>210245</v>
      </c>
      <c r="E102" s="181">
        <f>SUM('WYDATKI ukł.wyk.'!F93:F97)</f>
        <v>2686</v>
      </c>
      <c r="F102" s="537">
        <f>SUM('WYDATKI ukł.wyk.'!G93:G97)</f>
        <v>212931</v>
      </c>
    </row>
    <row r="103" spans="1:6" ht="12">
      <c r="A103" s="698"/>
      <c r="B103" s="699"/>
      <c r="C103" s="610" t="s">
        <v>94</v>
      </c>
      <c r="D103" s="535">
        <f>SUM('WYDATKI ukł.wyk.'!E98:E105)+'WYDATKI ukł.wyk.'!E92</f>
        <v>45789</v>
      </c>
      <c r="E103" s="181">
        <f>SUM('WYDATKI ukł.wyk.'!F98:F105)+'WYDATKI ukł.wyk.'!F92</f>
        <v>-10430</v>
      </c>
      <c r="F103" s="537">
        <f>SUM('WYDATKI ukł.wyk.'!G98:G105)+'WYDATKI ukł.wyk.'!G92</f>
        <v>35359</v>
      </c>
    </row>
    <row r="104" spans="1:6" ht="12">
      <c r="A104" s="698"/>
      <c r="B104" s="699"/>
      <c r="C104" s="238"/>
      <c r="D104" s="535"/>
      <c r="E104" s="181"/>
      <c r="F104" s="537"/>
    </row>
    <row r="105" spans="1:6" ht="12">
      <c r="A105" s="698"/>
      <c r="B105" s="700" t="s">
        <v>122</v>
      </c>
      <c r="C105" s="659" t="s">
        <v>123</v>
      </c>
      <c r="D105" s="535">
        <f aca="true" t="shared" si="12" ref="D105:F106">D106</f>
        <v>240312</v>
      </c>
      <c r="E105" s="181">
        <f t="shared" si="12"/>
        <v>-13090</v>
      </c>
      <c r="F105" s="25">
        <f t="shared" si="12"/>
        <v>227222</v>
      </c>
    </row>
    <row r="106" spans="1:6" ht="12">
      <c r="A106" s="698"/>
      <c r="B106" s="699"/>
      <c r="C106" s="655" t="s">
        <v>93</v>
      </c>
      <c r="D106" s="539">
        <f t="shared" si="12"/>
        <v>240312</v>
      </c>
      <c r="E106" s="540">
        <f t="shared" si="12"/>
        <v>-13090</v>
      </c>
      <c r="F106" s="653">
        <f t="shared" si="12"/>
        <v>227222</v>
      </c>
    </row>
    <row r="107" spans="1:6" ht="12">
      <c r="A107" s="698"/>
      <c r="B107" s="699"/>
      <c r="C107" s="238" t="s">
        <v>94</v>
      </c>
      <c r="D107" s="535">
        <f>SUM('WYDATKI ukł.wyk.'!E108:E113)</f>
        <v>240312</v>
      </c>
      <c r="E107" s="181">
        <f>SUM('WYDATKI ukł.wyk.'!F108:F113)</f>
        <v>-13090</v>
      </c>
      <c r="F107" s="25">
        <f>SUM('WYDATKI ukł.wyk.'!G108:G113)</f>
        <v>227222</v>
      </c>
    </row>
    <row r="108" spans="1:6" ht="12">
      <c r="A108" s="698"/>
      <c r="B108" s="699"/>
      <c r="C108" s="238"/>
      <c r="D108" s="535"/>
      <c r="E108" s="181"/>
      <c r="F108" s="25"/>
    </row>
    <row r="109" spans="1:6" ht="12">
      <c r="A109" s="698"/>
      <c r="B109" s="704" t="s">
        <v>124</v>
      </c>
      <c r="C109" s="659" t="s">
        <v>125</v>
      </c>
      <c r="D109" s="535">
        <f>D110+D113</f>
        <v>3549962</v>
      </c>
      <c r="E109" s="181">
        <f>E110+E113</f>
        <v>-115292</v>
      </c>
      <c r="F109" s="25">
        <f>F110+F113</f>
        <v>3434670</v>
      </c>
    </row>
    <row r="110" spans="1:6" ht="12">
      <c r="A110" s="698"/>
      <c r="B110" s="699"/>
      <c r="C110" s="655" t="s">
        <v>93</v>
      </c>
      <c r="D110" s="539">
        <f>SUM(D111:D112)</f>
        <v>3405497</v>
      </c>
      <c r="E110" s="540">
        <f>SUM(E111:E112)</f>
        <v>-45292</v>
      </c>
      <c r="F110" s="653">
        <f>SUM(F111:F112)</f>
        <v>3360205</v>
      </c>
    </row>
    <row r="111" spans="1:6" ht="12">
      <c r="A111" s="698"/>
      <c r="B111" s="699"/>
      <c r="C111" s="238" t="s">
        <v>101</v>
      </c>
      <c r="D111" s="535">
        <f>SUM('WYDATKI ukł.wyk.'!E117:E121)</f>
        <v>2399329</v>
      </c>
      <c r="E111" s="181">
        <f>SUM('WYDATKI ukł.wyk.'!F117:F121)</f>
        <v>-62729</v>
      </c>
      <c r="F111" s="25">
        <f>SUM('WYDATKI ukł.wyk.'!G117:G121)</f>
        <v>2336600</v>
      </c>
    </row>
    <row r="112" spans="1:6" ht="12">
      <c r="A112" s="698"/>
      <c r="B112" s="699"/>
      <c r="C112" s="238" t="s">
        <v>94</v>
      </c>
      <c r="D112" s="535">
        <f>SUM('WYDATKI ukł.wyk.'!E122:E131)+'WYDATKI ukł.wyk.'!E116+'WYDATKI ukł.wyk.'!E132+'WYDATKI ukł.wyk.'!E133</f>
        <v>1006168</v>
      </c>
      <c r="E112" s="535">
        <f>SUM('WYDATKI ukł.wyk.'!F122:F131)+'WYDATKI ukł.wyk.'!F116+'WYDATKI ukł.wyk.'!F132+'WYDATKI ukł.wyk.'!F133</f>
        <v>17437</v>
      </c>
      <c r="F112" s="537">
        <f>SUM('WYDATKI ukł.wyk.'!G122:G131)+'WYDATKI ukł.wyk.'!G116+'WYDATKI ukł.wyk.'!G132+'WYDATKI ukł.wyk.'!G133</f>
        <v>1023605</v>
      </c>
    </row>
    <row r="113" spans="1:6" ht="12">
      <c r="A113" s="698"/>
      <c r="B113" s="699"/>
      <c r="C113" s="655" t="s">
        <v>103</v>
      </c>
      <c r="D113" s="543">
        <f>'WYDATKI ukł.wyk.'!E134+'WYDATKI ukł.wyk.'!E135</f>
        <v>144465</v>
      </c>
      <c r="E113" s="543">
        <f>'WYDATKI ukł.wyk.'!F134+'WYDATKI ukł.wyk.'!F135</f>
        <v>-70000</v>
      </c>
      <c r="F113" s="676">
        <f>'WYDATKI ukł.wyk.'!G134+'WYDATKI ukł.wyk.'!G135</f>
        <v>74465</v>
      </c>
    </row>
    <row r="114" spans="1:6" ht="12">
      <c r="A114" s="698"/>
      <c r="B114" s="699"/>
      <c r="C114" s="238"/>
      <c r="D114" s="535"/>
      <c r="E114" s="181"/>
      <c r="F114" s="25"/>
    </row>
    <row r="115" spans="1:6" ht="12">
      <c r="A115" s="698"/>
      <c r="B115" s="700" t="s">
        <v>126</v>
      </c>
      <c r="C115" s="659" t="s">
        <v>127</v>
      </c>
      <c r="D115" s="535">
        <f>D116</f>
        <v>15999</v>
      </c>
      <c r="E115" s="181">
        <f>E116</f>
        <v>0</v>
      </c>
      <c r="F115" s="25">
        <f>F116</f>
        <v>15999</v>
      </c>
    </row>
    <row r="116" spans="1:6" ht="12">
      <c r="A116" s="698"/>
      <c r="B116" s="699"/>
      <c r="C116" s="655" t="s">
        <v>93</v>
      </c>
      <c r="D116" s="539">
        <f>SUM(D117:D118)</f>
        <v>15999</v>
      </c>
      <c r="E116" s="540">
        <f>SUM(E117:E118)</f>
        <v>0</v>
      </c>
      <c r="F116" s="653">
        <f>SUM(F117:F118)</f>
        <v>15999</v>
      </c>
    </row>
    <row r="117" spans="1:6" ht="12">
      <c r="A117" s="698"/>
      <c r="B117" s="699"/>
      <c r="C117" s="238" t="s">
        <v>101</v>
      </c>
      <c r="D117" s="535">
        <f>SUM('WYDATKI ukł.wyk.'!E139:E141)</f>
        <v>7811</v>
      </c>
      <c r="E117" s="181">
        <f>SUM('WYDATKI ukł.wyk.'!F139:F141)</f>
        <v>0</v>
      </c>
      <c r="F117" s="647">
        <f>SUM('WYDATKI ukł.wyk.'!G139:G141)</f>
        <v>7811</v>
      </c>
    </row>
    <row r="118" spans="1:6" ht="12">
      <c r="A118" s="698"/>
      <c r="B118" s="699"/>
      <c r="C118" s="238" t="s">
        <v>94</v>
      </c>
      <c r="D118" s="535">
        <f>SUM('WYDATKI ukł.wyk.'!E142:E144)+'WYDATKI ukł.wyk.'!E138</f>
        <v>8188</v>
      </c>
      <c r="E118" s="181">
        <f>SUM('WYDATKI ukł.wyk.'!F142:F144)+'WYDATKI ukł.wyk.'!F138</f>
        <v>0</v>
      </c>
      <c r="F118" s="537">
        <f>SUM('WYDATKI ukł.wyk.'!G142:G144)+'WYDATKI ukł.wyk.'!G138</f>
        <v>8188</v>
      </c>
    </row>
    <row r="119" spans="1:6" ht="12">
      <c r="A119" s="698"/>
      <c r="B119" s="699"/>
      <c r="C119" s="238"/>
      <c r="D119" s="535"/>
      <c r="E119" s="181"/>
      <c r="F119" s="537"/>
    </row>
    <row r="120" spans="1:6" ht="12">
      <c r="A120" s="698"/>
      <c r="B120" s="700" t="s">
        <v>128</v>
      </c>
      <c r="C120" s="661" t="s">
        <v>129</v>
      </c>
      <c r="D120" s="535">
        <f>D121+D124</f>
        <v>38050</v>
      </c>
      <c r="E120" s="535">
        <f>E121+E124</f>
        <v>-16060</v>
      </c>
      <c r="F120" s="537">
        <f>F121+F124</f>
        <v>21990</v>
      </c>
    </row>
    <row r="121" spans="1:6" ht="12">
      <c r="A121" s="698"/>
      <c r="B121" s="699"/>
      <c r="C121" s="655" t="s">
        <v>93</v>
      </c>
      <c r="D121" s="539">
        <f>SUM(D122:D123)</f>
        <v>38050</v>
      </c>
      <c r="E121" s="539">
        <f>SUM(E122:E123)</f>
        <v>-16060</v>
      </c>
      <c r="F121" s="679">
        <f>SUM(F122:F123)</f>
        <v>21990</v>
      </c>
    </row>
    <row r="122" spans="1:6" ht="12">
      <c r="A122" s="698"/>
      <c r="B122" s="699"/>
      <c r="C122" s="238" t="s">
        <v>101</v>
      </c>
      <c r="D122" s="535">
        <f>SUM('WYDATKI ukł.wyk.'!E147:E147)</f>
        <v>28000</v>
      </c>
      <c r="E122" s="181">
        <f>SUM('WYDATKI ukł.wyk.'!F147:F147)</f>
        <v>-16960</v>
      </c>
      <c r="F122" s="537">
        <f>SUM('WYDATKI ukł.wyk.'!G147:G147)</f>
        <v>11040</v>
      </c>
    </row>
    <row r="123" spans="1:6" ht="12">
      <c r="A123" s="698"/>
      <c r="B123" s="699"/>
      <c r="C123" s="672" t="s">
        <v>151</v>
      </c>
      <c r="D123" s="535">
        <f>'WYDATKI ukł.wyk.'!E150+'WYDATKI ukł.wyk.'!E148+'WYDATKI ukł.wyk.'!E149</f>
        <v>10050</v>
      </c>
      <c r="E123" s="535">
        <f>'WYDATKI ukł.wyk.'!F150+'WYDATKI ukł.wyk.'!F148+'WYDATKI ukł.wyk.'!F149</f>
        <v>900</v>
      </c>
      <c r="F123" s="537">
        <f>'WYDATKI ukł.wyk.'!G150+'WYDATKI ukł.wyk.'!G148+'WYDATKI ukł.wyk.'!G149</f>
        <v>10950</v>
      </c>
    </row>
    <row r="124" spans="1:6" ht="12">
      <c r="A124" s="698"/>
      <c r="B124" s="699"/>
      <c r="C124" s="655" t="s">
        <v>103</v>
      </c>
      <c r="D124" s="543">
        <f>'WYDATKI ukł.wyk.'!E151</f>
        <v>0</v>
      </c>
      <c r="E124" s="543">
        <f>'WYDATKI ukł.wyk.'!F151</f>
        <v>0</v>
      </c>
      <c r="F124" s="676">
        <f>'WYDATKI ukł.wyk.'!G151</f>
        <v>0</v>
      </c>
    </row>
    <row r="125" spans="1:6" ht="12">
      <c r="A125" s="696"/>
      <c r="B125" s="697"/>
      <c r="C125" s="662"/>
      <c r="D125" s="663"/>
      <c r="E125" s="96"/>
      <c r="F125" s="726"/>
    </row>
    <row r="126" spans="1:6" ht="12">
      <c r="A126" s="410"/>
      <c r="B126" s="264"/>
      <c r="C126" s="413" t="s">
        <v>805</v>
      </c>
      <c r="D126" s="96"/>
      <c r="E126" s="96"/>
      <c r="F126" s="831"/>
    </row>
    <row r="127" spans="1:6" ht="12.75" thickBot="1">
      <c r="A127" s="392">
        <v>751</v>
      </c>
      <c r="B127" s="400"/>
      <c r="C127" s="413" t="s">
        <v>810</v>
      </c>
      <c r="D127" s="96">
        <f>D128</f>
        <v>18109</v>
      </c>
      <c r="E127" s="96">
        <f>E128</f>
        <v>0</v>
      </c>
      <c r="F127" s="726">
        <f>F128</f>
        <v>18109</v>
      </c>
    </row>
    <row r="128" spans="1:6" s="819" customFormat="1" ht="12">
      <c r="A128" s="817"/>
      <c r="B128" s="818"/>
      <c r="C128" s="448" t="s">
        <v>93</v>
      </c>
      <c r="D128" s="218">
        <f>SUM(D129:D130)</f>
        <v>18109</v>
      </c>
      <c r="E128" s="218">
        <f>SUM(E129:E130)</f>
        <v>0</v>
      </c>
      <c r="F128" s="742">
        <f>SUM(F129:F130)</f>
        <v>18109</v>
      </c>
    </row>
    <row r="129" spans="1:6" s="11" customFormat="1" ht="12">
      <c r="A129" s="392"/>
      <c r="B129" s="400"/>
      <c r="C129" s="820" t="s">
        <v>808</v>
      </c>
      <c r="D129" s="181">
        <f aca="true" t="shared" si="13" ref="D129:F130">D136</f>
        <v>6013</v>
      </c>
      <c r="E129" s="181">
        <f t="shared" si="13"/>
        <v>3350</v>
      </c>
      <c r="F129" s="537">
        <f t="shared" si="13"/>
        <v>9363</v>
      </c>
    </row>
    <row r="130" spans="1:6" s="11" customFormat="1" ht="12">
      <c r="A130" s="392"/>
      <c r="B130" s="400"/>
      <c r="C130" s="820" t="s">
        <v>811</v>
      </c>
      <c r="D130" s="181">
        <f t="shared" si="13"/>
        <v>12096</v>
      </c>
      <c r="E130" s="181">
        <f t="shared" si="13"/>
        <v>-3350</v>
      </c>
      <c r="F130" s="537">
        <f t="shared" si="13"/>
        <v>8746</v>
      </c>
    </row>
    <row r="131" spans="1:6" s="11" customFormat="1" ht="12">
      <c r="A131" s="392"/>
      <c r="B131" s="400"/>
      <c r="C131" s="413"/>
      <c r="D131" s="96"/>
      <c r="E131" s="96"/>
      <c r="F131" s="831"/>
    </row>
    <row r="132" spans="1:6" ht="12">
      <c r="A132" s="410"/>
      <c r="B132" s="264">
        <v>75109</v>
      </c>
      <c r="C132" s="301" t="s">
        <v>800</v>
      </c>
      <c r="D132" s="96"/>
      <c r="E132" s="96"/>
      <c r="F132" s="831"/>
    </row>
    <row r="133" spans="1:6" ht="12">
      <c r="A133" s="410"/>
      <c r="B133" s="264"/>
      <c r="C133" s="301" t="s">
        <v>806</v>
      </c>
      <c r="D133" s="96"/>
      <c r="E133" s="96"/>
      <c r="F133" s="831"/>
    </row>
    <row r="134" spans="1:6" ht="12">
      <c r="A134" s="410"/>
      <c r="B134" s="449"/>
      <c r="C134" s="450" t="s">
        <v>807</v>
      </c>
      <c r="D134" s="182">
        <f>SUM(D136:D137)</f>
        <v>18109</v>
      </c>
      <c r="E134" s="182">
        <f>SUM(E136:E137)</f>
        <v>0</v>
      </c>
      <c r="F134" s="676">
        <f>D134+E134</f>
        <v>18109</v>
      </c>
    </row>
    <row r="135" spans="1:6" ht="12">
      <c r="A135" s="696"/>
      <c r="B135" s="697"/>
      <c r="C135" s="667" t="s">
        <v>93</v>
      </c>
      <c r="D135" s="821"/>
      <c r="E135" s="822"/>
      <c r="F135" s="823"/>
    </row>
    <row r="136" spans="1:6" ht="12">
      <c r="A136" s="696"/>
      <c r="B136" s="697"/>
      <c r="C136" s="738" t="s">
        <v>808</v>
      </c>
      <c r="D136" s="535">
        <f>SUM('WYDATKI ukł.wyk.'!E159:E161)</f>
        <v>6013</v>
      </c>
      <c r="E136" s="535">
        <f>SUM('WYDATKI ukł.wyk.'!F159:F161)</f>
        <v>3350</v>
      </c>
      <c r="F136" s="537">
        <f>SUM('WYDATKI ukł.wyk.'!G159:G161)</f>
        <v>9363</v>
      </c>
    </row>
    <row r="137" spans="1:6" ht="12">
      <c r="A137" s="696"/>
      <c r="B137" s="697"/>
      <c r="C137" s="738" t="s">
        <v>809</v>
      </c>
      <c r="D137" s="535">
        <f>'WYDATKI ukł.wyk.'!E158+'WYDATKI ukł.wyk.'!E162+'WYDATKI ukł.wyk.'!E163+'WYDATKI ukł.wyk.'!E164</f>
        <v>12096</v>
      </c>
      <c r="E137" s="535">
        <f>'WYDATKI ukł.wyk.'!F158+'WYDATKI ukł.wyk.'!F162+'WYDATKI ukł.wyk.'!F163+'WYDATKI ukł.wyk.'!F164</f>
        <v>-3350</v>
      </c>
      <c r="F137" s="860">
        <f>'WYDATKI ukł.wyk.'!G158+'WYDATKI ukł.wyk.'!G162+'WYDATKI ukł.wyk.'!G163+'WYDATKI ukł.wyk.'!G164</f>
        <v>8746</v>
      </c>
    </row>
    <row r="138" spans="1:6" ht="12">
      <c r="A138" s="696"/>
      <c r="B138" s="697"/>
      <c r="C138" s="610"/>
      <c r="D138" s="535"/>
      <c r="E138" s="181"/>
      <c r="F138" s="537"/>
    </row>
    <row r="139" spans="1:6" ht="12.75" thickBot="1">
      <c r="A139" s="694" t="s">
        <v>130</v>
      </c>
      <c r="B139" s="695"/>
      <c r="C139" s="664" t="s">
        <v>131</v>
      </c>
      <c r="D139" s="642">
        <f>D140</f>
        <v>15300</v>
      </c>
      <c r="E139" s="183">
        <f>E140</f>
        <v>-3584</v>
      </c>
      <c r="F139" s="643">
        <f>F140</f>
        <v>11716</v>
      </c>
    </row>
    <row r="140" spans="1:6" ht="12">
      <c r="A140" s="698"/>
      <c r="B140" s="699"/>
      <c r="C140" s="655" t="s">
        <v>93</v>
      </c>
      <c r="D140" s="674">
        <f>D143+D142+D141</f>
        <v>15300</v>
      </c>
      <c r="E140" s="674">
        <f>E143+E142+E141</f>
        <v>-3584</v>
      </c>
      <c r="F140" s="742">
        <f>F143+F142+F141</f>
        <v>11716</v>
      </c>
    </row>
    <row r="141" spans="1:6" ht="12">
      <c r="A141" s="698"/>
      <c r="B141" s="699"/>
      <c r="C141" s="610" t="s">
        <v>101</v>
      </c>
      <c r="D141" s="535">
        <f>D150</f>
        <v>0</v>
      </c>
      <c r="E141" s="535">
        <f>E150</f>
        <v>848</v>
      </c>
      <c r="F141" s="647">
        <f>F150</f>
        <v>848</v>
      </c>
    </row>
    <row r="142" spans="1:6" ht="12">
      <c r="A142" s="698"/>
      <c r="B142" s="699"/>
      <c r="C142" s="738" t="s">
        <v>717</v>
      </c>
      <c r="D142" s="535">
        <f>D146+D151</f>
        <v>8000</v>
      </c>
      <c r="E142" s="535">
        <f>E146+E151</f>
        <v>0</v>
      </c>
      <c r="F142" s="537">
        <f>F146+F151</f>
        <v>8000</v>
      </c>
    </row>
    <row r="143" spans="1:6" ht="12">
      <c r="A143" s="698"/>
      <c r="B143" s="699"/>
      <c r="C143" s="610" t="s">
        <v>94</v>
      </c>
      <c r="D143" s="535">
        <f>D152</f>
        <v>7300</v>
      </c>
      <c r="E143" s="181">
        <f>E152</f>
        <v>-4432</v>
      </c>
      <c r="F143" s="537">
        <f>F152</f>
        <v>2868</v>
      </c>
    </row>
    <row r="144" spans="1:6" ht="12">
      <c r="A144" s="698"/>
      <c r="B144" s="699"/>
      <c r="C144" s="610"/>
      <c r="D144" s="535"/>
      <c r="E144" s="181"/>
      <c r="F144" s="537"/>
    </row>
    <row r="145" spans="1:6" ht="12">
      <c r="A145" s="698"/>
      <c r="B145" s="700" t="s">
        <v>716</v>
      </c>
      <c r="C145" s="655" t="s">
        <v>718</v>
      </c>
      <c r="D145" s="543">
        <f>D146</f>
        <v>5000</v>
      </c>
      <c r="E145" s="543">
        <f>E146</f>
        <v>0</v>
      </c>
      <c r="F145" s="676">
        <f>F146</f>
        <v>5000</v>
      </c>
    </row>
    <row r="146" spans="1:6" ht="12">
      <c r="A146" s="698"/>
      <c r="B146" s="699"/>
      <c r="C146" s="738" t="s">
        <v>717</v>
      </c>
      <c r="D146" s="535">
        <f>'WYDATKI ukł.wyk.'!E168</f>
        <v>5000</v>
      </c>
      <c r="E146" s="535">
        <f>'WYDATKI ukł.wyk.'!F168</f>
        <v>0</v>
      </c>
      <c r="F146" s="537">
        <f>'WYDATKI ukł.wyk.'!G168</f>
        <v>5000</v>
      </c>
    </row>
    <row r="147" spans="1:6" ht="12">
      <c r="A147" s="698"/>
      <c r="B147" s="699"/>
      <c r="C147" s="610"/>
      <c r="D147" s="535"/>
      <c r="E147" s="181"/>
      <c r="F147" s="537"/>
    </row>
    <row r="148" spans="1:6" ht="12">
      <c r="A148" s="698"/>
      <c r="B148" s="700" t="s">
        <v>132</v>
      </c>
      <c r="C148" s="655" t="s">
        <v>133</v>
      </c>
      <c r="D148" s="543">
        <f>D149</f>
        <v>10300</v>
      </c>
      <c r="E148" s="182">
        <f>E149</f>
        <v>-3584</v>
      </c>
      <c r="F148" s="676">
        <f>F149</f>
        <v>6716</v>
      </c>
    </row>
    <row r="149" spans="1:6" ht="12">
      <c r="A149" s="698"/>
      <c r="B149" s="699"/>
      <c r="C149" s="655" t="s">
        <v>93</v>
      </c>
      <c r="D149" s="539">
        <f>SUM(D150:D152)</f>
        <v>10300</v>
      </c>
      <c r="E149" s="539">
        <f>SUM(E150:E152)</f>
        <v>-3584</v>
      </c>
      <c r="F149" s="679">
        <f>D149+E149</f>
        <v>6716</v>
      </c>
    </row>
    <row r="150" spans="1:6" ht="12">
      <c r="A150" s="698"/>
      <c r="B150" s="699"/>
      <c r="C150" s="610" t="s">
        <v>101</v>
      </c>
      <c r="D150" s="535">
        <f>'WYDATKI ukł.wyk.'!E172</f>
        <v>0</v>
      </c>
      <c r="E150" s="535">
        <f>'WYDATKI ukł.wyk.'!F172</f>
        <v>848</v>
      </c>
      <c r="F150" s="647">
        <f>'WYDATKI ukł.wyk.'!G172</f>
        <v>848</v>
      </c>
    </row>
    <row r="151" spans="1:6" ht="12">
      <c r="A151" s="698"/>
      <c r="B151" s="699"/>
      <c r="C151" s="610" t="s">
        <v>102</v>
      </c>
      <c r="D151" s="535">
        <f>'WYDATKI ukł.wyk.'!E171</f>
        <v>3000</v>
      </c>
      <c r="E151" s="535">
        <f>'WYDATKI ukł.wyk.'!F171</f>
        <v>0</v>
      </c>
      <c r="F151" s="537">
        <f>'WYDATKI ukł.wyk.'!G171</f>
        <v>3000</v>
      </c>
    </row>
    <row r="152" spans="1:6" ht="12">
      <c r="A152" s="698"/>
      <c r="B152" s="699"/>
      <c r="C152" s="610" t="s">
        <v>94</v>
      </c>
      <c r="D152" s="535">
        <f>SUM('WYDATKI ukł.wyk.'!E173:E175)</f>
        <v>7300</v>
      </c>
      <c r="E152" s="535">
        <f>SUM('WYDATKI ukł.wyk.'!F173:F175)</f>
        <v>-4432</v>
      </c>
      <c r="F152" s="537">
        <f>SUM('WYDATKI ukł.wyk.'!G173:G175)</f>
        <v>2868</v>
      </c>
    </row>
    <row r="153" spans="1:6" ht="12">
      <c r="A153" s="698"/>
      <c r="B153" s="699"/>
      <c r="C153" s="610"/>
      <c r="D153" s="663"/>
      <c r="E153" s="96"/>
      <c r="F153" s="198"/>
    </row>
    <row r="154" spans="1:6" ht="12.75" thickBot="1">
      <c r="A154" s="701" t="s">
        <v>134</v>
      </c>
      <c r="B154" s="695"/>
      <c r="C154" s="234" t="s">
        <v>135</v>
      </c>
      <c r="D154" s="642">
        <f aca="true" t="shared" si="14" ref="D154:F155">D155</f>
        <v>774444</v>
      </c>
      <c r="E154" s="183">
        <f t="shared" si="14"/>
        <v>-174444</v>
      </c>
      <c r="F154" s="26">
        <f t="shared" si="14"/>
        <v>600000</v>
      </c>
    </row>
    <row r="155" spans="1:6" ht="12">
      <c r="A155" s="702"/>
      <c r="B155" s="699"/>
      <c r="C155" s="655" t="s">
        <v>93</v>
      </c>
      <c r="D155" s="535">
        <f t="shared" si="14"/>
        <v>774444</v>
      </c>
      <c r="E155" s="181">
        <f t="shared" si="14"/>
        <v>-174444</v>
      </c>
      <c r="F155" s="25">
        <f t="shared" si="14"/>
        <v>600000</v>
      </c>
    </row>
    <row r="156" spans="1:6" ht="12">
      <c r="A156" s="702"/>
      <c r="B156" s="699"/>
      <c r="C156" s="665" t="s">
        <v>136</v>
      </c>
      <c r="D156" s="646">
        <f>D161+D166</f>
        <v>774444</v>
      </c>
      <c r="E156" s="480">
        <f>E161+E166</f>
        <v>-174444</v>
      </c>
      <c r="F156" s="652">
        <f>F161+F166</f>
        <v>600000</v>
      </c>
    </row>
    <row r="157" spans="1:6" ht="12">
      <c r="A157" s="702"/>
      <c r="B157" s="699"/>
      <c r="C157" s="665"/>
      <c r="D157" s="535"/>
      <c r="E157" s="181"/>
      <c r="F157" s="25"/>
    </row>
    <row r="158" spans="1:6" ht="12">
      <c r="A158" s="702"/>
      <c r="B158" s="699" t="s">
        <v>137</v>
      </c>
      <c r="C158" s="665" t="s">
        <v>138</v>
      </c>
      <c r="D158" s="535"/>
      <c r="E158" s="181"/>
      <c r="F158" s="25"/>
    </row>
    <row r="159" spans="1:6" ht="12">
      <c r="A159" s="702"/>
      <c r="B159" s="700"/>
      <c r="C159" s="659" t="s">
        <v>139</v>
      </c>
      <c r="D159" s="543">
        <f aca="true" t="shared" si="15" ref="D159:F160">D160</f>
        <v>630000</v>
      </c>
      <c r="E159" s="182">
        <f t="shared" si="15"/>
        <v>-30000</v>
      </c>
      <c r="F159" s="93">
        <f t="shared" si="15"/>
        <v>600000</v>
      </c>
    </row>
    <row r="160" spans="1:6" ht="12">
      <c r="A160" s="702"/>
      <c r="B160" s="699"/>
      <c r="C160" s="655" t="s">
        <v>93</v>
      </c>
      <c r="D160" s="539">
        <f t="shared" si="15"/>
        <v>630000</v>
      </c>
      <c r="E160" s="540">
        <f t="shared" si="15"/>
        <v>-30000</v>
      </c>
      <c r="F160" s="653">
        <f t="shared" si="15"/>
        <v>600000</v>
      </c>
    </row>
    <row r="161" spans="1:6" ht="12">
      <c r="A161" s="702"/>
      <c r="B161" s="699"/>
      <c r="C161" s="665" t="s">
        <v>140</v>
      </c>
      <c r="D161" s="535">
        <f>'WYDATKI ukł.wyk.'!E180</f>
        <v>630000</v>
      </c>
      <c r="E161" s="181">
        <f>'WYDATKI ukł.wyk.'!F180</f>
        <v>-30000</v>
      </c>
      <c r="F161" s="25">
        <f>'WYDATKI ukł.wyk.'!G180</f>
        <v>600000</v>
      </c>
    </row>
    <row r="162" spans="1:6" ht="12">
      <c r="A162" s="705"/>
      <c r="B162" s="699"/>
      <c r="C162" s="665"/>
      <c r="D162" s="535"/>
      <c r="E162" s="181"/>
      <c r="F162" s="25"/>
    </row>
    <row r="163" spans="1:6" ht="12">
      <c r="A163" s="705"/>
      <c r="B163" s="699" t="s">
        <v>478</v>
      </c>
      <c r="C163" s="238" t="s">
        <v>476</v>
      </c>
      <c r="D163" s="535"/>
      <c r="E163" s="181"/>
      <c r="F163" s="25"/>
    </row>
    <row r="164" spans="1:6" ht="12">
      <c r="A164" s="705"/>
      <c r="B164" s="700"/>
      <c r="C164" s="661" t="s">
        <v>479</v>
      </c>
      <c r="D164" s="543">
        <f aca="true" t="shared" si="16" ref="D164:F165">D165</f>
        <v>144444</v>
      </c>
      <c r="E164" s="182">
        <f t="shared" si="16"/>
        <v>-144444</v>
      </c>
      <c r="F164" s="93">
        <f t="shared" si="16"/>
        <v>0</v>
      </c>
    </row>
    <row r="165" spans="1:6" ht="12">
      <c r="A165" s="705"/>
      <c r="B165" s="699"/>
      <c r="C165" s="655" t="s">
        <v>93</v>
      </c>
      <c r="D165" s="539">
        <f t="shared" si="16"/>
        <v>144444</v>
      </c>
      <c r="E165" s="540">
        <f t="shared" si="16"/>
        <v>-144444</v>
      </c>
      <c r="F165" s="653">
        <f t="shared" si="16"/>
        <v>0</v>
      </c>
    </row>
    <row r="166" spans="1:6" ht="12">
      <c r="A166" s="705"/>
      <c r="B166" s="699"/>
      <c r="C166" s="665" t="s">
        <v>598</v>
      </c>
      <c r="D166" s="535">
        <f>'WYDATKI ukł.wyk.'!E184</f>
        <v>144444</v>
      </c>
      <c r="E166" s="181">
        <f>'WYDATKI ukł.wyk.'!F184</f>
        <v>-144444</v>
      </c>
      <c r="F166" s="25">
        <f>'WYDATKI ukł.wyk.'!G184</f>
        <v>0</v>
      </c>
    </row>
    <row r="167" spans="1:6" ht="12">
      <c r="A167" s="705"/>
      <c r="B167" s="699"/>
      <c r="C167" s="666"/>
      <c r="D167" s="663"/>
      <c r="E167" s="96"/>
      <c r="F167" s="198"/>
    </row>
    <row r="168" spans="1:6" ht="12.75" thickBot="1">
      <c r="A168" s="701" t="s">
        <v>141</v>
      </c>
      <c r="B168" s="695"/>
      <c r="C168" s="234" t="s">
        <v>142</v>
      </c>
      <c r="D168" s="642">
        <f>D169</f>
        <v>1179335</v>
      </c>
      <c r="E168" s="183">
        <f>E169</f>
        <v>-1179335</v>
      </c>
      <c r="F168" s="26">
        <f>F169</f>
        <v>0</v>
      </c>
    </row>
    <row r="169" spans="1:6" ht="12">
      <c r="A169" s="702"/>
      <c r="B169" s="699"/>
      <c r="C169" s="655" t="s">
        <v>93</v>
      </c>
      <c r="D169" s="535">
        <f aca="true" t="shared" si="17" ref="D169:F170">D173</f>
        <v>1179335</v>
      </c>
      <c r="E169" s="181">
        <f t="shared" si="17"/>
        <v>-1179335</v>
      </c>
      <c r="F169" s="25">
        <f t="shared" si="17"/>
        <v>0</v>
      </c>
    </row>
    <row r="170" spans="1:6" ht="12">
      <c r="A170" s="702"/>
      <c r="B170" s="699"/>
      <c r="C170" s="610" t="s">
        <v>94</v>
      </c>
      <c r="D170" s="646">
        <f t="shared" si="17"/>
        <v>1179335</v>
      </c>
      <c r="E170" s="480">
        <f t="shared" si="17"/>
        <v>-1179335</v>
      </c>
      <c r="F170" s="652">
        <f t="shared" si="17"/>
        <v>0</v>
      </c>
    </row>
    <row r="171" spans="1:6" ht="12">
      <c r="A171" s="702"/>
      <c r="B171" s="699"/>
      <c r="C171" s="610"/>
      <c r="D171" s="535"/>
      <c r="E171" s="181"/>
      <c r="F171" s="25"/>
    </row>
    <row r="172" spans="1:6" ht="12">
      <c r="A172" s="702"/>
      <c r="B172" s="700" t="s">
        <v>143</v>
      </c>
      <c r="C172" s="659" t="s">
        <v>144</v>
      </c>
      <c r="D172" s="543">
        <f aca="true" t="shared" si="18" ref="D172:F173">D173</f>
        <v>1179335</v>
      </c>
      <c r="E172" s="182">
        <f t="shared" si="18"/>
        <v>-1179335</v>
      </c>
      <c r="F172" s="93">
        <f t="shared" si="18"/>
        <v>0</v>
      </c>
    </row>
    <row r="173" spans="1:6" ht="12">
      <c r="A173" s="702"/>
      <c r="B173" s="699"/>
      <c r="C173" s="667" t="s">
        <v>93</v>
      </c>
      <c r="D173" s="539">
        <f t="shared" si="18"/>
        <v>1179335</v>
      </c>
      <c r="E173" s="540">
        <f t="shared" si="18"/>
        <v>-1179335</v>
      </c>
      <c r="F173" s="653">
        <f t="shared" si="18"/>
        <v>0</v>
      </c>
    </row>
    <row r="174" spans="1:6" ht="12">
      <c r="A174" s="702"/>
      <c r="B174" s="706"/>
      <c r="C174" s="610" t="s">
        <v>94</v>
      </c>
      <c r="D174" s="535">
        <f>'WYDATKI ukł.wyk.'!E188</f>
        <v>1179335</v>
      </c>
      <c r="E174" s="181">
        <f>'WYDATKI ukł.wyk.'!F188</f>
        <v>-1179335</v>
      </c>
      <c r="F174" s="25">
        <f>'WYDATKI ukł.wyk.'!G188</f>
        <v>0</v>
      </c>
    </row>
    <row r="175" spans="1:6" ht="12">
      <c r="A175" s="134"/>
      <c r="B175" s="668"/>
      <c r="C175" s="668"/>
      <c r="D175" s="535"/>
      <c r="E175" s="181"/>
      <c r="F175" s="25"/>
    </row>
    <row r="176" spans="1:6" ht="12.75" thickBot="1">
      <c r="A176" s="80">
        <v>801</v>
      </c>
      <c r="B176" s="82"/>
      <c r="C176" s="669" t="s">
        <v>145</v>
      </c>
      <c r="D176" s="642">
        <f>D177+D181</f>
        <v>9208469</v>
      </c>
      <c r="E176" s="183">
        <f>E177+E181</f>
        <v>2397</v>
      </c>
      <c r="F176" s="26">
        <f>F177+F181</f>
        <v>9210866</v>
      </c>
    </row>
    <row r="177" spans="1:6" ht="12">
      <c r="A177" s="212"/>
      <c r="B177" s="707"/>
      <c r="C177" s="655" t="s">
        <v>93</v>
      </c>
      <c r="D177" s="727">
        <f>D184+D189+D194+D200+D206+D211+D217</f>
        <v>7033224</v>
      </c>
      <c r="E177" s="218">
        <f>E184+E189+E194+E200+E206+E211+E217</f>
        <v>519</v>
      </c>
      <c r="F177" s="215">
        <f>F184+F189+F194+F200+F206+F211+F217</f>
        <v>7033743</v>
      </c>
    </row>
    <row r="178" spans="1:6" ht="12">
      <c r="A178" s="212"/>
      <c r="B178" s="707"/>
      <c r="C178" s="610" t="s">
        <v>101</v>
      </c>
      <c r="D178" s="616">
        <f>D185+D190+D195+D201+D212+D218+D207</f>
        <v>5254236</v>
      </c>
      <c r="E178" s="616">
        <f>E185+E190+E195+E201+E212+E218+E207</f>
        <v>-39856</v>
      </c>
      <c r="F178" s="559">
        <f>F185+F190+F195+F201+F212+F218+F207</f>
        <v>5214380</v>
      </c>
    </row>
    <row r="179" spans="1:6" ht="12">
      <c r="A179" s="212"/>
      <c r="B179" s="707"/>
      <c r="C179" s="610" t="s">
        <v>102</v>
      </c>
      <c r="D179" s="616">
        <f>D213</f>
        <v>0</v>
      </c>
      <c r="E179" s="294">
        <f>E213</f>
        <v>0</v>
      </c>
      <c r="F179" s="476">
        <f>F213</f>
        <v>0</v>
      </c>
    </row>
    <row r="180" spans="1:6" ht="12">
      <c r="A180" s="212"/>
      <c r="B180" s="707"/>
      <c r="C180" s="610" t="s">
        <v>94</v>
      </c>
      <c r="D180" s="616">
        <f>D186+D191+D196+D202+D214+D208</f>
        <v>1778988</v>
      </c>
      <c r="E180" s="294">
        <f>E186+E191+E196+E202+E214+E208</f>
        <v>40375</v>
      </c>
      <c r="F180" s="476">
        <f>F186+F191+F196+F202+F214+F208</f>
        <v>1819363</v>
      </c>
    </row>
    <row r="181" spans="1:6" ht="12">
      <c r="A181" s="212"/>
      <c r="B181" s="707"/>
      <c r="C181" s="655" t="s">
        <v>103</v>
      </c>
      <c r="D181" s="543">
        <f>D197+D203</f>
        <v>2175245</v>
      </c>
      <c r="E181" s="182">
        <f>E197+E203</f>
        <v>1878</v>
      </c>
      <c r="F181" s="93">
        <f>F197+F203</f>
        <v>2177123</v>
      </c>
    </row>
    <row r="182" spans="1:6" ht="12">
      <c r="A182" s="212"/>
      <c r="B182" s="707"/>
      <c r="C182" s="670"/>
      <c r="D182" s="535"/>
      <c r="E182" s="181"/>
      <c r="F182" s="25"/>
    </row>
    <row r="183" spans="1:6" ht="12">
      <c r="A183" s="89"/>
      <c r="B183" s="77">
        <v>80101</v>
      </c>
      <c r="C183" s="659" t="s">
        <v>146</v>
      </c>
      <c r="D183" s="543">
        <f>D184</f>
        <v>79874</v>
      </c>
      <c r="E183" s="182">
        <f>E184</f>
        <v>703</v>
      </c>
      <c r="F183" s="93">
        <f>F184</f>
        <v>80577</v>
      </c>
    </row>
    <row r="184" spans="1:6" ht="12">
      <c r="A184" s="89"/>
      <c r="B184" s="75"/>
      <c r="C184" s="661" t="s">
        <v>93</v>
      </c>
      <c r="D184" s="539">
        <f>SUM(D185:D186)</f>
        <v>79874</v>
      </c>
      <c r="E184" s="540">
        <f>SUM(E185:E186)</f>
        <v>703</v>
      </c>
      <c r="F184" s="653">
        <f>SUM(F185:F186)</f>
        <v>80577</v>
      </c>
    </row>
    <row r="185" spans="1:6" ht="12">
      <c r="A185" s="89"/>
      <c r="B185" s="75"/>
      <c r="C185" s="238" t="s">
        <v>101</v>
      </c>
      <c r="D185" s="535">
        <f>SUM('WYDATKI ukł.wyk.'!E193:E196)</f>
        <v>67166</v>
      </c>
      <c r="E185" s="181">
        <f>SUM('WYDATKI ukł.wyk.'!F193:F196)</f>
        <v>2365</v>
      </c>
      <c r="F185" s="25">
        <f>SUM('WYDATKI ukł.wyk.'!G193:G196)</f>
        <v>69531</v>
      </c>
    </row>
    <row r="186" spans="1:6" ht="12">
      <c r="A186" s="89"/>
      <c r="B186" s="75"/>
      <c r="C186" s="238" t="s">
        <v>94</v>
      </c>
      <c r="D186" s="535">
        <f>SUM('WYDATKI ukł.wyk.'!E197:E203)+'WYDATKI ukł.wyk.'!E192</f>
        <v>12708</v>
      </c>
      <c r="E186" s="181">
        <f>SUM('WYDATKI ukł.wyk.'!F197:F203)+'WYDATKI ukł.wyk.'!F192</f>
        <v>-1662</v>
      </c>
      <c r="F186" s="25">
        <f>SUM('WYDATKI ukł.wyk.'!G197:G203)+'WYDATKI ukł.wyk.'!G192</f>
        <v>11046</v>
      </c>
    </row>
    <row r="187" spans="1:6" ht="12">
      <c r="A187" s="89"/>
      <c r="B187" s="75"/>
      <c r="C187" s="10"/>
      <c r="D187" s="535"/>
      <c r="E187" s="181"/>
      <c r="F187" s="25"/>
    </row>
    <row r="188" spans="1:6" ht="12">
      <c r="A188" s="89"/>
      <c r="B188" s="77">
        <v>80110</v>
      </c>
      <c r="C188" s="659" t="s">
        <v>147</v>
      </c>
      <c r="D188" s="535">
        <f>D189</f>
        <v>374145</v>
      </c>
      <c r="E188" s="181">
        <f>E189</f>
        <v>3551</v>
      </c>
      <c r="F188" s="25">
        <f>F189</f>
        <v>377696</v>
      </c>
    </row>
    <row r="189" spans="1:6" ht="12">
      <c r="A189" s="89"/>
      <c r="B189" s="75"/>
      <c r="C189" s="661" t="s">
        <v>93</v>
      </c>
      <c r="D189" s="539">
        <f>SUM(D190:D191)</f>
        <v>374145</v>
      </c>
      <c r="E189" s="540">
        <f>SUM(E190:E191)</f>
        <v>3551</v>
      </c>
      <c r="F189" s="653">
        <f>SUM(F190:F191)</f>
        <v>377696</v>
      </c>
    </row>
    <row r="190" spans="1:6" ht="12">
      <c r="A190" s="89"/>
      <c r="B190" s="75"/>
      <c r="C190" s="238" t="s">
        <v>101</v>
      </c>
      <c r="D190" s="535">
        <f>SUM('WYDATKI ukł.wyk.'!E207:E210)</f>
        <v>294158</v>
      </c>
      <c r="E190" s="181">
        <f>SUM('WYDATKI ukł.wyk.'!F207:F210)</f>
        <v>3899</v>
      </c>
      <c r="F190" s="25">
        <f>SUM('WYDATKI ukł.wyk.'!G207:G210)</f>
        <v>298057</v>
      </c>
    </row>
    <row r="191" spans="1:6" ht="12">
      <c r="A191" s="89"/>
      <c r="B191" s="75"/>
      <c r="C191" s="238" t="s">
        <v>94</v>
      </c>
      <c r="D191" s="535">
        <f>SUM('WYDATKI ukł.wyk.'!E211:E217)+'WYDATKI ukł.wyk.'!E206</f>
        <v>79987</v>
      </c>
      <c r="E191" s="181">
        <f>SUM('WYDATKI ukł.wyk.'!F211:F217)+'WYDATKI ukł.wyk.'!F206</f>
        <v>-348</v>
      </c>
      <c r="F191" s="25">
        <f>SUM('WYDATKI ukł.wyk.'!G211:G217)+'WYDATKI ukł.wyk.'!G206</f>
        <v>79639</v>
      </c>
    </row>
    <row r="192" spans="1:6" ht="12">
      <c r="A192" s="89"/>
      <c r="B192" s="88"/>
      <c r="C192" s="10"/>
      <c r="D192" s="535"/>
      <c r="E192" s="181"/>
      <c r="F192" s="25"/>
    </row>
    <row r="193" spans="1:6" ht="12">
      <c r="A193" s="76"/>
      <c r="B193" s="77">
        <v>80120</v>
      </c>
      <c r="C193" s="659" t="s">
        <v>148</v>
      </c>
      <c r="D193" s="535">
        <f>D194+D197</f>
        <v>4172816</v>
      </c>
      <c r="E193" s="181">
        <f>E194+E197</f>
        <v>103803</v>
      </c>
      <c r="F193" s="25">
        <f>F194+F197</f>
        <v>4276619</v>
      </c>
    </row>
    <row r="194" spans="1:6" ht="12">
      <c r="A194" s="76"/>
      <c r="B194" s="75"/>
      <c r="C194" s="661" t="s">
        <v>93</v>
      </c>
      <c r="D194" s="539">
        <f>SUM(D195:D196)</f>
        <v>2072816</v>
      </c>
      <c r="E194" s="540">
        <f>SUM(E195:E196)</f>
        <v>101907</v>
      </c>
      <c r="F194" s="653">
        <f>SUM(F195:F196)</f>
        <v>2174723</v>
      </c>
    </row>
    <row r="195" spans="1:6" ht="12">
      <c r="A195" s="76"/>
      <c r="B195" s="75"/>
      <c r="C195" s="238" t="s">
        <v>101</v>
      </c>
      <c r="D195" s="535">
        <f>SUM('WYDATKI ukł.wyk.'!E221:E225)</f>
        <v>1690669</v>
      </c>
      <c r="E195" s="181">
        <f>SUM('WYDATKI ukł.wyk.'!F221:F225)</f>
        <v>66706</v>
      </c>
      <c r="F195" s="25">
        <f>SUM('WYDATKI ukł.wyk.'!G221:G225)</f>
        <v>1757375</v>
      </c>
    </row>
    <row r="196" spans="1:6" ht="12">
      <c r="A196" s="76"/>
      <c r="B196" s="75"/>
      <c r="C196" s="238" t="s">
        <v>94</v>
      </c>
      <c r="D196" s="535">
        <f>SUM('WYDATKI ukł.wyk.'!E226:E235)+'WYDATKI ukł.wyk.'!E220</f>
        <v>382147</v>
      </c>
      <c r="E196" s="181">
        <f>SUM('WYDATKI ukł.wyk.'!F226:F235)+'WYDATKI ukł.wyk.'!F220</f>
        <v>35201</v>
      </c>
      <c r="F196" s="25">
        <f>SUM('WYDATKI ukł.wyk.'!G226:G235)+'WYDATKI ukł.wyk.'!G220</f>
        <v>417348</v>
      </c>
    </row>
    <row r="197" spans="1:6" ht="12">
      <c r="A197" s="76"/>
      <c r="B197" s="75"/>
      <c r="C197" s="655" t="s">
        <v>103</v>
      </c>
      <c r="D197" s="543">
        <f>SUM('WYDATKI ukł.wyk.'!E236:E236)</f>
        <v>2100000</v>
      </c>
      <c r="E197" s="182">
        <f>SUM('WYDATKI ukł.wyk.'!F236:F236)</f>
        <v>1896</v>
      </c>
      <c r="F197" s="93">
        <f>SUM('WYDATKI ukł.wyk.'!G236:G236)</f>
        <v>2101896</v>
      </c>
    </row>
    <row r="198" spans="1:6" ht="12">
      <c r="A198" s="76"/>
      <c r="B198" s="75"/>
      <c r="C198" s="238"/>
      <c r="D198" s="535"/>
      <c r="E198" s="181"/>
      <c r="F198" s="25"/>
    </row>
    <row r="199" spans="1:6" ht="12">
      <c r="A199" s="76"/>
      <c r="B199" s="77">
        <v>80130</v>
      </c>
      <c r="C199" s="659" t="s">
        <v>149</v>
      </c>
      <c r="D199" s="535">
        <f>D200+D203</f>
        <v>4321477</v>
      </c>
      <c r="E199" s="181">
        <f>E200+E203</f>
        <v>-47878</v>
      </c>
      <c r="F199" s="25">
        <f>F200+F203</f>
        <v>4273599</v>
      </c>
    </row>
    <row r="200" spans="1:6" ht="12">
      <c r="A200" s="89"/>
      <c r="B200" s="75"/>
      <c r="C200" s="661" t="s">
        <v>93</v>
      </c>
      <c r="D200" s="539">
        <f>SUM(D201:D202)</f>
        <v>4246232</v>
      </c>
      <c r="E200" s="540">
        <f>SUM(E201:E202)</f>
        <v>-47860</v>
      </c>
      <c r="F200" s="653">
        <f>SUM(F201:F202)</f>
        <v>4198372</v>
      </c>
    </row>
    <row r="201" spans="1:6" ht="12">
      <c r="A201" s="89"/>
      <c r="B201" s="75"/>
      <c r="C201" s="238" t="s">
        <v>101</v>
      </c>
      <c r="D201" s="535">
        <f>SUM('WYDATKI ukł.wyk.'!E240:E244)</f>
        <v>3146303</v>
      </c>
      <c r="E201" s="181">
        <f>SUM('WYDATKI ukł.wyk.'!F240:F244)</f>
        <v>-96988</v>
      </c>
      <c r="F201" s="25">
        <f>SUM('WYDATKI ukł.wyk.'!G240:G244)</f>
        <v>3049315</v>
      </c>
    </row>
    <row r="202" spans="1:6" ht="12">
      <c r="A202" s="89"/>
      <c r="B202" s="75"/>
      <c r="C202" s="238" t="s">
        <v>94</v>
      </c>
      <c r="D202" s="535">
        <f>SUM('WYDATKI ukł.wyk.'!E245:E255)+'WYDATKI ukł.wyk.'!E239</f>
        <v>1099929</v>
      </c>
      <c r="E202" s="181">
        <f>SUM('WYDATKI ukł.wyk.'!F245:F255)+'WYDATKI ukł.wyk.'!F239</f>
        <v>49128</v>
      </c>
      <c r="F202" s="25">
        <f>SUM('WYDATKI ukł.wyk.'!G245:G255)+'WYDATKI ukł.wyk.'!G239</f>
        <v>1149057</v>
      </c>
    </row>
    <row r="203" spans="1:6" ht="12">
      <c r="A203" s="89"/>
      <c r="B203" s="75"/>
      <c r="C203" s="655" t="s">
        <v>103</v>
      </c>
      <c r="D203" s="543">
        <f>SUM('WYDATKI ukł.wyk.'!E256:E257)</f>
        <v>75245</v>
      </c>
      <c r="E203" s="543">
        <f>SUM('WYDATKI ukł.wyk.'!F256:F257)</f>
        <v>-18</v>
      </c>
      <c r="F203" s="676">
        <f>SUM('WYDATKI ukł.wyk.'!G256:G257)</f>
        <v>75227</v>
      </c>
    </row>
    <row r="204" spans="1:6" ht="12">
      <c r="A204" s="89"/>
      <c r="B204" s="75"/>
      <c r="C204" s="10"/>
      <c r="D204" s="535"/>
      <c r="E204" s="181"/>
      <c r="F204" s="25"/>
    </row>
    <row r="205" spans="1:6" ht="12">
      <c r="A205" s="89"/>
      <c r="B205" s="77">
        <v>80146</v>
      </c>
      <c r="C205" s="661" t="s">
        <v>428</v>
      </c>
      <c r="D205" s="535">
        <f>D206</f>
        <v>43420</v>
      </c>
      <c r="E205" s="181">
        <f>E206</f>
        <v>-8514</v>
      </c>
      <c r="F205" s="25">
        <f>F206</f>
        <v>34906</v>
      </c>
    </row>
    <row r="206" spans="1:6" ht="12">
      <c r="A206" s="89"/>
      <c r="B206" s="75"/>
      <c r="C206" s="671" t="s">
        <v>93</v>
      </c>
      <c r="D206" s="539">
        <f>D208+D207</f>
        <v>43420</v>
      </c>
      <c r="E206" s="539">
        <f>E208+E207</f>
        <v>-8514</v>
      </c>
      <c r="F206" s="679">
        <f>F208+F207</f>
        <v>34906</v>
      </c>
    </row>
    <row r="207" spans="1:6" ht="12">
      <c r="A207" s="89"/>
      <c r="B207" s="75"/>
      <c r="C207" s="238" t="s">
        <v>101</v>
      </c>
      <c r="D207" s="535">
        <f>'WYDATKI ukł.wyk.'!E260</f>
        <v>500</v>
      </c>
      <c r="E207" s="535">
        <f>'WYDATKI ukł.wyk.'!F260</f>
        <v>600</v>
      </c>
      <c r="F207" s="647">
        <f>'WYDATKI ukł.wyk.'!G260</f>
        <v>1100</v>
      </c>
    </row>
    <row r="208" spans="1:6" ht="12">
      <c r="A208" s="89"/>
      <c r="B208" s="75"/>
      <c r="C208" s="672" t="s">
        <v>151</v>
      </c>
      <c r="D208" s="535">
        <f>'WYDATKI ukł.wyk.'!E261+'WYDATKI ukł.wyk.'!E262</f>
        <v>42920</v>
      </c>
      <c r="E208" s="535">
        <f>'WYDATKI ukł.wyk.'!F261+'WYDATKI ukł.wyk.'!F262</f>
        <v>-9114</v>
      </c>
      <c r="F208" s="537">
        <f>'WYDATKI ukł.wyk.'!G261+'WYDATKI ukł.wyk.'!G262</f>
        <v>33806</v>
      </c>
    </row>
    <row r="209" spans="1:6" ht="12">
      <c r="A209" s="89"/>
      <c r="B209" s="75"/>
      <c r="C209" s="10"/>
      <c r="D209" s="535"/>
      <c r="E209" s="181"/>
      <c r="F209" s="25"/>
    </row>
    <row r="210" spans="1:6" ht="12">
      <c r="A210" s="89"/>
      <c r="B210" s="77">
        <v>80195</v>
      </c>
      <c r="C210" s="661" t="s">
        <v>152</v>
      </c>
      <c r="D210" s="543">
        <f>D211</f>
        <v>186697</v>
      </c>
      <c r="E210" s="182">
        <f>E211</f>
        <v>-49268</v>
      </c>
      <c r="F210" s="93">
        <f>F211</f>
        <v>137429</v>
      </c>
    </row>
    <row r="211" spans="1:6" ht="12">
      <c r="A211" s="89"/>
      <c r="B211" s="75"/>
      <c r="C211" s="671" t="s">
        <v>93</v>
      </c>
      <c r="D211" s="543">
        <f>SUM(D212:D214)</f>
        <v>186697</v>
      </c>
      <c r="E211" s="182">
        <f>SUM(E212:E214)</f>
        <v>-49268</v>
      </c>
      <c r="F211" s="93">
        <f>SUM(F212:F214)</f>
        <v>137429</v>
      </c>
    </row>
    <row r="212" spans="1:6" ht="12">
      <c r="A212" s="89"/>
      <c r="B212" s="75"/>
      <c r="C212" s="238" t="s">
        <v>101</v>
      </c>
      <c r="D212" s="535">
        <f>'WYDATKI ukł.wyk.'!E268+'WYDATKI ukł.wyk.'!E269+'WYDATKI ukł.wyk.'!E270+'WYDATKI ukł.wyk.'!E271</f>
        <v>25400</v>
      </c>
      <c r="E212" s="535">
        <f>'WYDATKI ukł.wyk.'!F268+'WYDATKI ukł.wyk.'!F269+'WYDATKI ukł.wyk.'!F270+'WYDATKI ukł.wyk.'!F271</f>
        <v>-16438</v>
      </c>
      <c r="F212" s="647">
        <f>'WYDATKI ukł.wyk.'!G268+'WYDATKI ukł.wyk.'!G269+'WYDATKI ukł.wyk.'!G270+'WYDATKI ukł.wyk.'!G271</f>
        <v>8962</v>
      </c>
    </row>
    <row r="213" spans="1:6" ht="12">
      <c r="A213" s="89"/>
      <c r="B213" s="75"/>
      <c r="C213" s="238" t="s">
        <v>102</v>
      </c>
      <c r="D213" s="535">
        <f>'WYDATKI ukł.wyk.'!E265</f>
        <v>0</v>
      </c>
      <c r="E213" s="181">
        <f>'WYDATKI ukł.wyk.'!F265</f>
        <v>0</v>
      </c>
      <c r="F213" s="25">
        <f>'WYDATKI ukł.wyk.'!G265</f>
        <v>0</v>
      </c>
    </row>
    <row r="214" spans="1:6" ht="12">
      <c r="A214" s="89"/>
      <c r="B214" s="75"/>
      <c r="C214" s="672" t="s">
        <v>151</v>
      </c>
      <c r="D214" s="535">
        <f>'WYDATKI ukł.wyk.'!E267+'WYDATKI ukł.wyk.'!E277+'WYDATKI ukł.wyk.'!E274+'WYDATKI ukł.wyk.'!E272+'WYDATKI ukł.wyk.'!E276+'WYDATKI ukł.wyk.'!E273+'WYDATKI ukł.wyk.'!E275</f>
        <v>161297</v>
      </c>
      <c r="E214" s="535">
        <f>'WYDATKI ukł.wyk.'!F267+'WYDATKI ukł.wyk.'!F277+'WYDATKI ukł.wyk.'!F274+'WYDATKI ukł.wyk.'!F272+'WYDATKI ukł.wyk.'!F276+'WYDATKI ukł.wyk.'!F273+'WYDATKI ukł.wyk.'!F275</f>
        <v>-32830</v>
      </c>
      <c r="F214" s="537">
        <f>'WYDATKI ukł.wyk.'!G267+'WYDATKI ukł.wyk.'!G277+'WYDATKI ukł.wyk.'!G274+'WYDATKI ukł.wyk.'!G272+'WYDATKI ukł.wyk.'!G276+'WYDATKI ukł.wyk.'!G273+'WYDATKI ukł.wyk.'!G275</f>
        <v>128467</v>
      </c>
    </row>
    <row r="215" spans="1:6" ht="12">
      <c r="A215" s="89"/>
      <c r="B215" s="75"/>
      <c r="C215" s="672"/>
      <c r="D215" s="535"/>
      <c r="E215" s="181"/>
      <c r="F215" s="25"/>
    </row>
    <row r="216" spans="1:6" ht="12">
      <c r="A216" s="89"/>
      <c r="B216" s="75">
        <v>80197</v>
      </c>
      <c r="C216" s="672" t="s">
        <v>674</v>
      </c>
      <c r="D216" s="535">
        <f>D217</f>
        <v>30040</v>
      </c>
      <c r="E216" s="181">
        <f>E217</f>
        <v>0</v>
      </c>
      <c r="F216" s="25">
        <f>E216+D216</f>
        <v>30040</v>
      </c>
    </row>
    <row r="217" spans="1:6" ht="12">
      <c r="A217" s="89"/>
      <c r="B217" s="75"/>
      <c r="C217" s="671" t="s">
        <v>93</v>
      </c>
      <c r="D217" s="539">
        <f>D218</f>
        <v>30040</v>
      </c>
      <c r="E217" s="540">
        <f>E218</f>
        <v>0</v>
      </c>
      <c r="F217" s="653">
        <f>E217+D217</f>
        <v>30040</v>
      </c>
    </row>
    <row r="218" spans="1:6" ht="12">
      <c r="A218" s="89"/>
      <c r="B218" s="75"/>
      <c r="C218" s="238" t="s">
        <v>101</v>
      </c>
      <c r="D218" s="535">
        <f>'WYDATKI ukł.wyk.'!E280</f>
        <v>30040</v>
      </c>
      <c r="E218" s="181">
        <f>'WYDATKI ukł.wyk.'!F280</f>
        <v>0</v>
      </c>
      <c r="F218" s="25">
        <f>E218+D218</f>
        <v>30040</v>
      </c>
    </row>
    <row r="219" spans="1:6" ht="12">
      <c r="A219" s="89"/>
      <c r="B219" s="75"/>
      <c r="C219" s="672"/>
      <c r="D219" s="535"/>
      <c r="E219" s="181"/>
      <c r="F219" s="25"/>
    </row>
    <row r="220" spans="1:6" ht="12.75" thickBot="1">
      <c r="A220" s="80">
        <v>803</v>
      </c>
      <c r="B220" s="82"/>
      <c r="C220" s="673" t="s">
        <v>485</v>
      </c>
      <c r="D220" s="642">
        <f aca="true" t="shared" si="19" ref="D220:F221">D221</f>
        <v>388183</v>
      </c>
      <c r="E220" s="183">
        <f t="shared" si="19"/>
        <v>0</v>
      </c>
      <c r="F220" s="26">
        <f t="shared" si="19"/>
        <v>388183</v>
      </c>
    </row>
    <row r="221" spans="1:6" ht="12">
      <c r="A221" s="89"/>
      <c r="B221" s="75"/>
      <c r="C221" s="661" t="s">
        <v>93</v>
      </c>
      <c r="D221" s="674">
        <f t="shared" si="19"/>
        <v>388183</v>
      </c>
      <c r="E221" s="218">
        <f t="shared" si="19"/>
        <v>0</v>
      </c>
      <c r="F221" s="215">
        <f t="shared" si="19"/>
        <v>388183</v>
      </c>
    </row>
    <row r="222" spans="1:6" ht="12">
      <c r="A222" s="89"/>
      <c r="B222" s="75"/>
      <c r="C222" s="238" t="s">
        <v>94</v>
      </c>
      <c r="D222" s="535">
        <f>D226</f>
        <v>388183</v>
      </c>
      <c r="E222" s="181">
        <f>E226</f>
        <v>0</v>
      </c>
      <c r="F222" s="25">
        <f>F226</f>
        <v>388183</v>
      </c>
    </row>
    <row r="223" spans="1:6" ht="12">
      <c r="A223" s="89"/>
      <c r="B223" s="75"/>
      <c r="C223" s="238"/>
      <c r="D223" s="535"/>
      <c r="E223" s="181"/>
      <c r="F223" s="537"/>
    </row>
    <row r="224" spans="1:6" ht="12">
      <c r="A224" s="89"/>
      <c r="B224" s="77">
        <v>80309</v>
      </c>
      <c r="C224" s="675" t="s">
        <v>484</v>
      </c>
      <c r="D224" s="543">
        <f aca="true" t="shared" si="20" ref="D224:F225">D225</f>
        <v>388183</v>
      </c>
      <c r="E224" s="182">
        <f t="shared" si="20"/>
        <v>0</v>
      </c>
      <c r="F224" s="676">
        <f t="shared" si="20"/>
        <v>388183</v>
      </c>
    </row>
    <row r="225" spans="1:6" ht="12">
      <c r="A225" s="89"/>
      <c r="B225" s="75"/>
      <c r="C225" s="655" t="s">
        <v>93</v>
      </c>
      <c r="D225" s="543">
        <f t="shared" si="20"/>
        <v>388183</v>
      </c>
      <c r="E225" s="182">
        <f t="shared" si="20"/>
        <v>0</v>
      </c>
      <c r="F225" s="676">
        <f t="shared" si="20"/>
        <v>388183</v>
      </c>
    </row>
    <row r="226" spans="1:6" ht="12">
      <c r="A226" s="89"/>
      <c r="B226" s="75"/>
      <c r="C226" s="10" t="s">
        <v>94</v>
      </c>
      <c r="D226" s="535">
        <f>SUM('WYDATKI ukł.wyk.'!E284:E292)</f>
        <v>388183</v>
      </c>
      <c r="E226" s="535">
        <f>SUM('WYDATKI ukł.wyk.'!F284:F292)</f>
        <v>0</v>
      </c>
      <c r="F226" s="537">
        <f>SUM('WYDATKI ukł.wyk.'!G284:G292)</f>
        <v>388183</v>
      </c>
    </row>
    <row r="227" spans="1:6" ht="12">
      <c r="A227" s="703"/>
      <c r="B227" s="699"/>
      <c r="C227" s="677"/>
      <c r="D227" s="535"/>
      <c r="E227" s="181"/>
      <c r="F227" s="537"/>
    </row>
    <row r="228" spans="1:6" ht="12.75" thickBot="1">
      <c r="A228" s="701" t="s">
        <v>153</v>
      </c>
      <c r="B228" s="695"/>
      <c r="C228" s="657" t="s">
        <v>429</v>
      </c>
      <c r="D228" s="642">
        <f>D229</f>
        <v>3322598</v>
      </c>
      <c r="E228" s="183">
        <f>E229</f>
        <v>-37251</v>
      </c>
      <c r="F228" s="643">
        <f>F229</f>
        <v>3285347</v>
      </c>
    </row>
    <row r="229" spans="1:6" ht="12">
      <c r="A229" s="702"/>
      <c r="B229" s="699"/>
      <c r="C229" s="661" t="s">
        <v>93</v>
      </c>
      <c r="D229" s="674">
        <f>SUM(D230:D232)</f>
        <v>3322598</v>
      </c>
      <c r="E229" s="674">
        <f>SUM(E230:E232)</f>
        <v>-37251</v>
      </c>
      <c r="F229" s="742">
        <f>SUM(F230:F232)</f>
        <v>3285347</v>
      </c>
    </row>
    <row r="230" spans="1:6" ht="12">
      <c r="A230" s="702"/>
      <c r="B230" s="699"/>
      <c r="C230" s="238" t="s">
        <v>101</v>
      </c>
      <c r="D230" s="535">
        <f>D248</f>
        <v>592</v>
      </c>
      <c r="E230" s="535">
        <f>E248</f>
        <v>0</v>
      </c>
      <c r="F230" s="647">
        <f>F248</f>
        <v>592</v>
      </c>
    </row>
    <row r="231" spans="1:6" ht="12">
      <c r="A231" s="702"/>
      <c r="B231" s="699"/>
      <c r="C231" s="238" t="s">
        <v>94</v>
      </c>
      <c r="D231" s="535">
        <f>D244+D249+D255</f>
        <v>2634525</v>
      </c>
      <c r="E231" s="181">
        <f>E244+E249+E255</f>
        <v>-2251</v>
      </c>
      <c r="F231" s="537">
        <f>F244+F249+F255</f>
        <v>2632274</v>
      </c>
    </row>
    <row r="232" spans="1:6" ht="12">
      <c r="A232" s="702"/>
      <c r="B232" s="708"/>
      <c r="C232" s="610" t="s">
        <v>102</v>
      </c>
      <c r="D232" s="535">
        <f>D236+D240</f>
        <v>687481</v>
      </c>
      <c r="E232" s="181">
        <f>E236+E240</f>
        <v>-35000</v>
      </c>
      <c r="F232" s="537">
        <f>F236+F240</f>
        <v>652481</v>
      </c>
    </row>
    <row r="233" spans="1:6" ht="12">
      <c r="A233" s="702"/>
      <c r="B233" s="708"/>
      <c r="C233" s="238"/>
      <c r="D233" s="535"/>
      <c r="E233" s="181"/>
      <c r="F233" s="537"/>
    </row>
    <row r="234" spans="1:6" ht="12">
      <c r="A234" s="702"/>
      <c r="B234" s="700" t="s">
        <v>505</v>
      </c>
      <c r="C234" s="661" t="s">
        <v>506</v>
      </c>
      <c r="D234" s="543">
        <f>D236</f>
        <v>652481</v>
      </c>
      <c r="E234" s="182">
        <f>E236</f>
        <v>0</v>
      </c>
      <c r="F234" s="676">
        <f>F236</f>
        <v>652481</v>
      </c>
    </row>
    <row r="235" spans="1:6" ht="12">
      <c r="A235" s="702"/>
      <c r="B235" s="708"/>
      <c r="C235" s="655" t="s">
        <v>93</v>
      </c>
      <c r="D235" s="539">
        <f>D236</f>
        <v>652481</v>
      </c>
      <c r="E235" s="540">
        <f>E236</f>
        <v>0</v>
      </c>
      <c r="F235" s="679">
        <f>F236</f>
        <v>652481</v>
      </c>
    </row>
    <row r="236" spans="1:6" ht="12">
      <c r="A236" s="702"/>
      <c r="B236" s="708"/>
      <c r="C236" s="610" t="s">
        <v>102</v>
      </c>
      <c r="D236" s="535">
        <f>SUM('WYDATKI ukł.wyk.'!E296:E296)+'WYDATKI ukł.wyk.'!E298</f>
        <v>652481</v>
      </c>
      <c r="E236" s="535">
        <f>SUM('WYDATKI ukł.wyk.'!F296:F296)+'WYDATKI ukł.wyk.'!F298</f>
        <v>0</v>
      </c>
      <c r="F236" s="537">
        <f>SUM('WYDATKI ukł.wyk.'!G296:G296)+'WYDATKI ukł.wyk.'!G298</f>
        <v>652481</v>
      </c>
    </row>
    <row r="237" spans="1:6" ht="12">
      <c r="A237" s="702"/>
      <c r="B237" s="708"/>
      <c r="C237" s="238"/>
      <c r="D237" s="535"/>
      <c r="E237" s="181"/>
      <c r="F237" s="537"/>
    </row>
    <row r="238" spans="1:6" ht="12">
      <c r="A238" s="702"/>
      <c r="B238" s="700" t="s">
        <v>520</v>
      </c>
      <c r="C238" s="661" t="s">
        <v>521</v>
      </c>
      <c r="D238" s="543">
        <f aca="true" t="shared" si="21" ref="D238:F239">D239</f>
        <v>35000</v>
      </c>
      <c r="E238" s="182">
        <f t="shared" si="21"/>
        <v>-35000</v>
      </c>
      <c r="F238" s="676">
        <f t="shared" si="21"/>
        <v>0</v>
      </c>
    </row>
    <row r="239" spans="1:6" ht="12">
      <c r="A239" s="702"/>
      <c r="B239" s="708"/>
      <c r="C239" s="655" t="s">
        <v>93</v>
      </c>
      <c r="D239" s="539">
        <f t="shared" si="21"/>
        <v>35000</v>
      </c>
      <c r="E239" s="540">
        <f t="shared" si="21"/>
        <v>-35000</v>
      </c>
      <c r="F239" s="679">
        <f t="shared" si="21"/>
        <v>0</v>
      </c>
    </row>
    <row r="240" spans="1:6" ht="12">
      <c r="A240" s="702"/>
      <c r="B240" s="708"/>
      <c r="C240" s="610" t="s">
        <v>102</v>
      </c>
      <c r="D240" s="535">
        <f>SUM('WYDATKI ukł.wyk.'!E302:E302)</f>
        <v>35000</v>
      </c>
      <c r="E240" s="535">
        <f>SUM('WYDATKI ukł.wyk.'!F302:F302)</f>
        <v>-35000</v>
      </c>
      <c r="F240" s="537">
        <f>SUM('WYDATKI ukł.wyk.'!G302:G302)</f>
        <v>0</v>
      </c>
    </row>
    <row r="241" spans="1:6" ht="12">
      <c r="A241" s="702"/>
      <c r="B241" s="708"/>
      <c r="C241" s="238"/>
      <c r="D241" s="535"/>
      <c r="E241" s="181"/>
      <c r="F241" s="537"/>
    </row>
    <row r="242" spans="1:6" ht="12">
      <c r="A242" s="702"/>
      <c r="B242" s="700" t="s">
        <v>409</v>
      </c>
      <c r="C242" s="661" t="s">
        <v>430</v>
      </c>
      <c r="D242" s="543">
        <f aca="true" t="shared" si="22" ref="D242:F243">D243</f>
        <v>3000</v>
      </c>
      <c r="E242" s="182">
        <f t="shared" si="22"/>
        <v>-2251</v>
      </c>
      <c r="F242" s="676">
        <f t="shared" si="22"/>
        <v>749</v>
      </c>
    </row>
    <row r="243" spans="1:6" ht="12">
      <c r="A243" s="702"/>
      <c r="B243" s="709"/>
      <c r="C243" s="655" t="s">
        <v>93</v>
      </c>
      <c r="D243" s="543">
        <f t="shared" si="22"/>
        <v>3000</v>
      </c>
      <c r="E243" s="182">
        <f t="shared" si="22"/>
        <v>-2251</v>
      </c>
      <c r="F243" s="676">
        <f t="shared" si="22"/>
        <v>749</v>
      </c>
    </row>
    <row r="244" spans="1:6" ht="12">
      <c r="A244" s="702"/>
      <c r="B244" s="708"/>
      <c r="C244" s="610" t="s">
        <v>94</v>
      </c>
      <c r="D244" s="535">
        <f>'WYDATKI ukł.wyk.'!E305</f>
        <v>3000</v>
      </c>
      <c r="E244" s="181">
        <f>'WYDATKI ukł.wyk.'!F305</f>
        <v>-2251</v>
      </c>
      <c r="F244" s="537">
        <f>'WYDATKI ukł.wyk.'!G305</f>
        <v>749</v>
      </c>
    </row>
    <row r="245" spans="1:6" ht="12">
      <c r="A245" s="702"/>
      <c r="B245" s="708"/>
      <c r="C245" s="238"/>
      <c r="D245" s="535"/>
      <c r="E245" s="181"/>
      <c r="F245" s="537"/>
    </row>
    <row r="246" spans="1:6" ht="12">
      <c r="A246" s="702"/>
      <c r="B246" s="77">
        <v>85154</v>
      </c>
      <c r="C246" s="661" t="s">
        <v>154</v>
      </c>
      <c r="D246" s="535">
        <f>D247</f>
        <v>25425</v>
      </c>
      <c r="E246" s="181">
        <f>E247</f>
        <v>0</v>
      </c>
      <c r="F246" s="25">
        <f>F247</f>
        <v>25425</v>
      </c>
    </row>
    <row r="247" spans="1:6" ht="12">
      <c r="A247" s="702"/>
      <c r="B247" s="75"/>
      <c r="C247" s="655" t="s">
        <v>93</v>
      </c>
      <c r="D247" s="539">
        <f>SUM(D248:D249)</f>
        <v>25425</v>
      </c>
      <c r="E247" s="539">
        <f>SUM(E248:E249)</f>
        <v>0</v>
      </c>
      <c r="F247" s="679">
        <f>SUM(F248:F249)</f>
        <v>25425</v>
      </c>
    </row>
    <row r="248" spans="1:6" ht="12">
      <c r="A248" s="702"/>
      <c r="B248" s="75"/>
      <c r="C248" s="238" t="s">
        <v>101</v>
      </c>
      <c r="D248" s="535">
        <f>'WYDATKI ukł.wyk.'!E309</f>
        <v>592</v>
      </c>
      <c r="E248" s="535">
        <f>'WYDATKI ukł.wyk.'!F309</f>
        <v>0</v>
      </c>
      <c r="F248" s="647">
        <f>'WYDATKI ukł.wyk.'!G309</f>
        <v>592</v>
      </c>
    </row>
    <row r="249" spans="1:6" ht="12">
      <c r="A249" s="702"/>
      <c r="B249" s="75"/>
      <c r="C249" s="10" t="s">
        <v>94</v>
      </c>
      <c r="D249" s="535">
        <f>'WYDATKI ukł.wyk.'!E310</f>
        <v>24833</v>
      </c>
      <c r="E249" s="181">
        <f>'WYDATKI ukł.wyk.'!F310</f>
        <v>0</v>
      </c>
      <c r="F249" s="25">
        <f>'WYDATKI ukł.wyk.'!G310</f>
        <v>24833</v>
      </c>
    </row>
    <row r="250" spans="1:6" ht="12">
      <c r="A250" s="702"/>
      <c r="B250" s="708"/>
      <c r="C250" s="238"/>
      <c r="D250" s="535"/>
      <c r="E250" s="181"/>
      <c r="F250" s="25"/>
    </row>
    <row r="251" spans="1:6" ht="12">
      <c r="A251" s="702"/>
      <c r="B251" s="79">
        <v>85156</v>
      </c>
      <c r="C251" s="238" t="s">
        <v>72</v>
      </c>
      <c r="D251" s="535"/>
      <c r="E251" s="181"/>
      <c r="F251" s="25"/>
    </row>
    <row r="252" spans="1:6" ht="12">
      <c r="A252" s="702"/>
      <c r="B252" s="79"/>
      <c r="C252" s="238" t="s">
        <v>155</v>
      </c>
      <c r="D252" s="535"/>
      <c r="E252" s="181"/>
      <c r="F252" s="25"/>
    </row>
    <row r="253" spans="1:6" ht="12">
      <c r="A253" s="702"/>
      <c r="B253" s="77"/>
      <c r="C253" s="661" t="s">
        <v>156</v>
      </c>
      <c r="D253" s="543">
        <f aca="true" t="shared" si="23" ref="D253:F254">D254</f>
        <v>2606692</v>
      </c>
      <c r="E253" s="182">
        <f t="shared" si="23"/>
        <v>0</v>
      </c>
      <c r="F253" s="93">
        <f t="shared" si="23"/>
        <v>2606692</v>
      </c>
    </row>
    <row r="254" spans="1:6" ht="12">
      <c r="A254" s="702"/>
      <c r="B254" s="75"/>
      <c r="C254" s="655" t="s">
        <v>93</v>
      </c>
      <c r="D254" s="543">
        <f t="shared" si="23"/>
        <v>2606692</v>
      </c>
      <c r="E254" s="182">
        <f t="shared" si="23"/>
        <v>0</v>
      </c>
      <c r="F254" s="93">
        <f t="shared" si="23"/>
        <v>2606692</v>
      </c>
    </row>
    <row r="255" spans="1:6" ht="12">
      <c r="A255" s="702"/>
      <c r="B255" s="75"/>
      <c r="C255" s="610" t="s">
        <v>94</v>
      </c>
      <c r="D255" s="535">
        <f>'WYDATKI ukł.wyk.'!E312</f>
        <v>2606692</v>
      </c>
      <c r="E255" s="181">
        <f>'WYDATKI ukł.wyk.'!F312</f>
        <v>0</v>
      </c>
      <c r="F255" s="25">
        <f>'WYDATKI ukł.wyk.'!G312</f>
        <v>2606692</v>
      </c>
    </row>
    <row r="256" spans="1:6" ht="12">
      <c r="A256" s="702"/>
      <c r="B256" s="75"/>
      <c r="C256" s="238"/>
      <c r="D256" s="535"/>
      <c r="E256" s="181"/>
      <c r="F256" s="25"/>
    </row>
    <row r="257" spans="1:6" ht="12.75" thickBot="1">
      <c r="A257" s="701" t="s">
        <v>249</v>
      </c>
      <c r="B257" s="82"/>
      <c r="C257" s="657" t="s">
        <v>431</v>
      </c>
      <c r="D257" s="642">
        <f>D258+D262</f>
        <v>9012413</v>
      </c>
      <c r="E257" s="183">
        <f>E258+E262</f>
        <v>-144249</v>
      </c>
      <c r="F257" s="26">
        <f>F258+F262</f>
        <v>8868164</v>
      </c>
    </row>
    <row r="258" spans="1:6" ht="12">
      <c r="A258" s="702"/>
      <c r="B258" s="75"/>
      <c r="C258" s="661" t="s">
        <v>93</v>
      </c>
      <c r="D258" s="535">
        <f>SUM(D259:D261)</f>
        <v>8850998</v>
      </c>
      <c r="E258" s="181">
        <f>SUM(E259:E261)</f>
        <v>-134693</v>
      </c>
      <c r="F258" s="678">
        <f>SUM(F259:F261)</f>
        <v>8716305</v>
      </c>
    </row>
    <row r="259" spans="1:6" ht="12">
      <c r="A259" s="702"/>
      <c r="B259" s="75"/>
      <c r="C259" s="238" t="s">
        <v>101</v>
      </c>
      <c r="D259" s="646">
        <f>D266+D273+D291+D279+D285</f>
        <v>3764474</v>
      </c>
      <c r="E259" s="480">
        <f>E266+E273+E291+E279+E285</f>
        <v>-4049</v>
      </c>
      <c r="F259" s="647">
        <f>F266+F273+F291+F279+F285</f>
        <v>3760425</v>
      </c>
    </row>
    <row r="260" spans="1:6" ht="12">
      <c r="A260" s="702"/>
      <c r="B260" s="75"/>
      <c r="C260" s="238" t="s">
        <v>102</v>
      </c>
      <c r="D260" s="535">
        <f>D286+D267+D306</f>
        <v>748100</v>
      </c>
      <c r="E260" s="181">
        <f>E286+E267+E306</f>
        <v>-203500</v>
      </c>
      <c r="F260" s="537">
        <f>F286+F267+F306</f>
        <v>544600</v>
      </c>
    </row>
    <row r="261" spans="1:6" ht="12">
      <c r="A261" s="702"/>
      <c r="B261" s="75"/>
      <c r="C261" s="610" t="s">
        <v>94</v>
      </c>
      <c r="D261" s="291">
        <f>D268+D274+D287+D292+D298+D280+D302+D307</f>
        <v>4338424</v>
      </c>
      <c r="E261" s="291">
        <f>E268+E274+E287+E292+E298+E280+E302+E307</f>
        <v>72856</v>
      </c>
      <c r="F261" s="566">
        <f>F268+F274+F287+F292+F298+F280+F302+F307</f>
        <v>4411280</v>
      </c>
    </row>
    <row r="262" spans="1:6" ht="12">
      <c r="A262" s="702"/>
      <c r="B262" s="75"/>
      <c r="C262" s="655" t="s">
        <v>103</v>
      </c>
      <c r="D262" s="543">
        <f>D275+D269+D281+D293</f>
        <v>161415</v>
      </c>
      <c r="E262" s="543">
        <f>E275+E269+E281+E293</f>
        <v>-9556</v>
      </c>
      <c r="F262" s="676">
        <f>F275+F269+F281+F293</f>
        <v>151859</v>
      </c>
    </row>
    <row r="263" spans="1:6" ht="12">
      <c r="A263" s="702"/>
      <c r="B263" s="75"/>
      <c r="C263" s="238"/>
      <c r="D263" s="535"/>
      <c r="E263" s="181"/>
      <c r="F263" s="537"/>
    </row>
    <row r="264" spans="1:6" ht="12">
      <c r="A264" s="702"/>
      <c r="B264" s="449">
        <v>85201</v>
      </c>
      <c r="C264" s="659" t="s">
        <v>157</v>
      </c>
      <c r="D264" s="535">
        <f>D265+D269</f>
        <v>2082601</v>
      </c>
      <c r="E264" s="181">
        <f>E265+E269</f>
        <v>-142500</v>
      </c>
      <c r="F264" s="676">
        <f>F265+F269</f>
        <v>1940101</v>
      </c>
    </row>
    <row r="265" spans="1:6" ht="12">
      <c r="A265" s="702"/>
      <c r="B265" s="75"/>
      <c r="C265" s="661" t="s">
        <v>93</v>
      </c>
      <c r="D265" s="539">
        <f>SUM(D266:D268)</f>
        <v>2013601</v>
      </c>
      <c r="E265" s="540">
        <f>SUM(E266:E268)</f>
        <v>-142500</v>
      </c>
      <c r="F265" s="653">
        <f>SUM(F266:F268)</f>
        <v>1871101</v>
      </c>
    </row>
    <row r="266" spans="1:6" ht="12">
      <c r="A266" s="702"/>
      <c r="B266" s="75"/>
      <c r="C266" s="238" t="s">
        <v>101</v>
      </c>
      <c r="D266" s="535">
        <f>SUM('WYDATKI ukł.wyk.'!E320:E324)</f>
        <v>807592</v>
      </c>
      <c r="E266" s="181">
        <f>SUM('WYDATKI ukł.wyk.'!F320:F324)</f>
        <v>-6262</v>
      </c>
      <c r="F266" s="25">
        <f>SUM('WYDATKI ukł.wyk.'!G320:G324)</f>
        <v>801330</v>
      </c>
    </row>
    <row r="267" spans="1:10" ht="12.75">
      <c r="A267" s="702"/>
      <c r="B267" s="75"/>
      <c r="C267" s="238" t="s">
        <v>102</v>
      </c>
      <c r="D267" s="535">
        <f>'WYDATKI ukł.wyk.'!E317</f>
        <v>639500</v>
      </c>
      <c r="E267" s="181">
        <f>'WYDATKI ukł.wyk.'!F317</f>
        <v>-203500</v>
      </c>
      <c r="F267" s="25">
        <f>'WYDATKI ukł.wyk.'!G317</f>
        <v>436000</v>
      </c>
      <c r="I267"/>
      <c r="J267"/>
    </row>
    <row r="268" spans="1:10" ht="12.75">
      <c r="A268" s="702"/>
      <c r="B268" s="75"/>
      <c r="C268" s="610" t="s">
        <v>94</v>
      </c>
      <c r="D268" s="291">
        <f>SUM('WYDATKI ukł.wyk.'!E325:E337)+'WYDATKI ukł.wyk.'!E318+'WYDATKI ukł.wyk.'!E319</f>
        <v>566509</v>
      </c>
      <c r="E268" s="291">
        <f>SUM('WYDATKI ukł.wyk.'!F325:F337)+'WYDATKI ukł.wyk.'!F318+'WYDATKI ukł.wyk.'!F319</f>
        <v>67262</v>
      </c>
      <c r="F268" s="861">
        <f>SUM('WYDATKI ukł.wyk.'!G325:G337)+'WYDATKI ukł.wyk.'!G318+'WYDATKI ukł.wyk.'!G319</f>
        <v>633771</v>
      </c>
      <c r="I268"/>
      <c r="J268"/>
    </row>
    <row r="269" spans="1:6" ht="12">
      <c r="A269" s="702"/>
      <c r="B269" s="75"/>
      <c r="C269" s="655" t="s">
        <v>103</v>
      </c>
      <c r="D269" s="543">
        <f>SUM('WYDATKI ukł.wyk.'!E338:E339)</f>
        <v>69000</v>
      </c>
      <c r="E269" s="543">
        <f>SUM('WYDATKI ukł.wyk.'!F338:F339)</f>
        <v>0</v>
      </c>
      <c r="F269" s="676">
        <f>SUM('WYDATKI ukł.wyk.'!G338:G339)</f>
        <v>69000</v>
      </c>
    </row>
    <row r="270" spans="1:6" ht="12">
      <c r="A270" s="702"/>
      <c r="B270" s="75"/>
      <c r="C270" s="238"/>
      <c r="D270" s="535"/>
      <c r="E270" s="181"/>
      <c r="F270" s="25"/>
    </row>
    <row r="271" spans="1:6" ht="12">
      <c r="A271" s="702"/>
      <c r="B271" s="77">
        <v>85202</v>
      </c>
      <c r="C271" s="659" t="s">
        <v>158</v>
      </c>
      <c r="D271" s="535">
        <f>D272+D275</f>
        <v>4357051</v>
      </c>
      <c r="E271" s="181">
        <f>E272+E275</f>
        <v>13660</v>
      </c>
      <c r="F271" s="25">
        <f>F272+F275</f>
        <v>4370711</v>
      </c>
    </row>
    <row r="272" spans="1:6" ht="12">
      <c r="A272" s="702"/>
      <c r="B272" s="75"/>
      <c r="C272" s="661" t="s">
        <v>93</v>
      </c>
      <c r="D272" s="539">
        <f>SUM(D273:D274)</f>
        <v>4264636</v>
      </c>
      <c r="E272" s="540">
        <f>SUM(E273:E274)</f>
        <v>23216</v>
      </c>
      <c r="F272" s="653">
        <f>SUM(F273:F274)</f>
        <v>4287852</v>
      </c>
    </row>
    <row r="273" spans="1:6" ht="12">
      <c r="A273" s="702"/>
      <c r="B273" s="75"/>
      <c r="C273" s="238" t="s">
        <v>101</v>
      </c>
      <c r="D273" s="535">
        <f>SUM('WYDATKI ukł.wyk.'!E343:E346)+'WYDATKI ukł.wyk.'!E347</f>
        <v>2435965</v>
      </c>
      <c r="E273" s="480">
        <f>SUM('WYDATKI ukł.wyk.'!F343:F346)+'WYDATKI ukł.wyk.'!F347</f>
        <v>4213</v>
      </c>
      <c r="F273" s="25">
        <f>SUM('WYDATKI ukł.wyk.'!G343:G346)+'WYDATKI ukł.wyk.'!G347</f>
        <v>2440178</v>
      </c>
    </row>
    <row r="274" spans="1:6" ht="12">
      <c r="A274" s="702"/>
      <c r="B274" s="75"/>
      <c r="C274" s="610" t="s">
        <v>94</v>
      </c>
      <c r="D274" s="535">
        <f>SUM('WYDATKI ukł.wyk.'!E348:E360)+'WYDATKI ukł.wyk.'!E342</f>
        <v>1828671</v>
      </c>
      <c r="E274" s="181">
        <f>SUM('WYDATKI ukł.wyk.'!F348:F360)+'WYDATKI ukł.wyk.'!F342</f>
        <v>19003</v>
      </c>
      <c r="F274" s="25">
        <f>SUM('WYDATKI ukł.wyk.'!G348:G360)+'WYDATKI ukł.wyk.'!G342</f>
        <v>1847674</v>
      </c>
    </row>
    <row r="275" spans="1:6" ht="12">
      <c r="A275" s="702"/>
      <c r="B275" s="75"/>
      <c r="C275" s="655" t="s">
        <v>103</v>
      </c>
      <c r="D275" s="543">
        <f>'WYDATKI ukł.wyk.'!E362+'WYDATKI ukł.wyk.'!E361</f>
        <v>92415</v>
      </c>
      <c r="E275" s="543">
        <f>'WYDATKI ukł.wyk.'!F362+'WYDATKI ukł.wyk.'!F361</f>
        <v>-9556</v>
      </c>
      <c r="F275" s="676">
        <f>'WYDATKI ukł.wyk.'!G362+'WYDATKI ukł.wyk.'!G361</f>
        <v>82859</v>
      </c>
    </row>
    <row r="276" spans="1:6" ht="12">
      <c r="A276" s="702"/>
      <c r="B276" s="75"/>
      <c r="C276" s="238"/>
      <c r="D276" s="535"/>
      <c r="E276" s="181"/>
      <c r="F276" s="25"/>
    </row>
    <row r="277" spans="1:6" ht="12">
      <c r="A277" s="702"/>
      <c r="B277" s="77">
        <v>85203</v>
      </c>
      <c r="C277" s="655" t="s">
        <v>432</v>
      </c>
      <c r="D277" s="543">
        <f>D278+D281</f>
        <v>250844</v>
      </c>
      <c r="E277" s="182">
        <f>E278+E281</f>
        <v>0</v>
      </c>
      <c r="F277" s="93">
        <f>F278+F281</f>
        <v>250844</v>
      </c>
    </row>
    <row r="278" spans="1:6" ht="12">
      <c r="A278" s="702"/>
      <c r="B278" s="75"/>
      <c r="C278" s="661" t="s">
        <v>93</v>
      </c>
      <c r="D278" s="539">
        <f>D280+D279</f>
        <v>250844</v>
      </c>
      <c r="E278" s="540">
        <f>E280+E279</f>
        <v>0</v>
      </c>
      <c r="F278" s="653">
        <f>F280+F279</f>
        <v>250844</v>
      </c>
    </row>
    <row r="279" spans="1:6" ht="12">
      <c r="A279" s="702"/>
      <c r="B279" s="75"/>
      <c r="C279" s="238" t="s">
        <v>101</v>
      </c>
      <c r="D279" s="646">
        <f>SUM('WYDATKI ukł.wyk.'!E365:E368)</f>
        <v>118776</v>
      </c>
      <c r="E279" s="480">
        <f>SUM('WYDATKI ukł.wyk.'!F365:F368)</f>
        <v>0</v>
      </c>
      <c r="F279" s="652">
        <f>SUM('WYDATKI ukł.wyk.'!G365:G368)</f>
        <v>118776</v>
      </c>
    </row>
    <row r="280" spans="1:6" ht="12">
      <c r="A280" s="702"/>
      <c r="B280" s="75"/>
      <c r="C280" s="610" t="s">
        <v>94</v>
      </c>
      <c r="D280" s="535">
        <f>SUM('WYDATKI ukł.wyk.'!E369:E378)</f>
        <v>132068</v>
      </c>
      <c r="E280" s="181">
        <f>SUM('WYDATKI ukł.wyk.'!F369:F378)</f>
        <v>0</v>
      </c>
      <c r="F280" s="25">
        <f>SUM('WYDATKI ukł.wyk.'!G369:G378)</f>
        <v>132068</v>
      </c>
    </row>
    <row r="281" spans="1:6" ht="12">
      <c r="A281" s="702"/>
      <c r="B281" s="75"/>
      <c r="C281" s="655" t="s">
        <v>103</v>
      </c>
      <c r="D281" s="543">
        <f>'WYDATKI ukł.wyk.'!E379</f>
        <v>0</v>
      </c>
      <c r="E281" s="543">
        <f>'WYDATKI ukł.wyk.'!F379</f>
        <v>0</v>
      </c>
      <c r="F281" s="543">
        <f>'WYDATKI ukł.wyk.'!G379</f>
        <v>0</v>
      </c>
    </row>
    <row r="282" spans="1:6" ht="12">
      <c r="A282" s="702"/>
      <c r="B282" s="75"/>
      <c r="C282" s="238"/>
      <c r="D282" s="535"/>
      <c r="E282" s="181"/>
      <c r="F282" s="25"/>
    </row>
    <row r="283" spans="1:6" ht="12">
      <c r="A283" s="702"/>
      <c r="B283" s="77">
        <v>85204</v>
      </c>
      <c r="C283" s="659" t="s">
        <v>159</v>
      </c>
      <c r="D283" s="535">
        <f>D284</f>
        <v>1376401</v>
      </c>
      <c r="E283" s="181">
        <f>E284</f>
        <v>0</v>
      </c>
      <c r="F283" s="25">
        <f>F284</f>
        <v>1376401</v>
      </c>
    </row>
    <row r="284" spans="1:6" ht="12">
      <c r="A284" s="702"/>
      <c r="B284" s="75"/>
      <c r="C284" s="661" t="s">
        <v>93</v>
      </c>
      <c r="D284" s="539">
        <f>SUM(D285:D287)</f>
        <v>1376401</v>
      </c>
      <c r="E284" s="540">
        <f>SUM(E285:E287)</f>
        <v>0</v>
      </c>
      <c r="F284" s="653">
        <f>SUM(F285:F287)</f>
        <v>1376401</v>
      </c>
    </row>
    <row r="285" spans="1:6" ht="12">
      <c r="A285" s="702"/>
      <c r="B285" s="75"/>
      <c r="C285" s="238" t="s">
        <v>101</v>
      </c>
      <c r="D285" s="535">
        <f>SUM('WYDATKI ukł.wyk.'!E384:E385)</f>
        <v>4292</v>
      </c>
      <c r="E285" s="181">
        <f>SUM('WYDATKI ukł.wyk.'!F384:F385)</f>
        <v>0</v>
      </c>
      <c r="F285" s="25">
        <f>SUM('WYDATKI ukł.wyk.'!G384:G385)</f>
        <v>4292</v>
      </c>
    </row>
    <row r="286" spans="1:6" ht="12">
      <c r="A286" s="702"/>
      <c r="B286" s="75"/>
      <c r="C286" s="238" t="s">
        <v>102</v>
      </c>
      <c r="D286" s="535">
        <f>'WYDATKI ukł.wyk.'!E382</f>
        <v>107000</v>
      </c>
      <c r="E286" s="181">
        <f>'WYDATKI ukł.wyk.'!F382</f>
        <v>0</v>
      </c>
      <c r="F286" s="25">
        <f>'WYDATKI ukł.wyk.'!G382</f>
        <v>107000</v>
      </c>
    </row>
    <row r="287" spans="1:6" ht="12">
      <c r="A287" s="702"/>
      <c r="B287" s="75"/>
      <c r="C287" s="238" t="s">
        <v>94</v>
      </c>
      <c r="D287" s="535">
        <f>'WYDATKI ukł.wyk.'!E383+'WYDATKI ukł.wyk.'!E386</f>
        <v>1265109</v>
      </c>
      <c r="E287" s="181">
        <f>'WYDATKI ukł.wyk.'!F383+'WYDATKI ukł.wyk.'!F386</f>
        <v>0</v>
      </c>
      <c r="F287" s="25">
        <f>'WYDATKI ukł.wyk.'!G383+'WYDATKI ukł.wyk.'!G386</f>
        <v>1265109</v>
      </c>
    </row>
    <row r="288" spans="1:6" ht="12">
      <c r="A288" s="702"/>
      <c r="B288" s="75"/>
      <c r="C288" s="238"/>
      <c r="D288" s="535"/>
      <c r="E288" s="181"/>
      <c r="F288" s="25"/>
    </row>
    <row r="289" spans="1:6" ht="12">
      <c r="A289" s="702"/>
      <c r="B289" s="77">
        <v>85218</v>
      </c>
      <c r="C289" s="659" t="s">
        <v>160</v>
      </c>
      <c r="D289" s="535">
        <f>D290+D293</f>
        <v>548950</v>
      </c>
      <c r="E289" s="181">
        <f>E290+E293</f>
        <v>8141</v>
      </c>
      <c r="F289" s="25">
        <f>F290+F293</f>
        <v>557091</v>
      </c>
    </row>
    <row r="290" spans="1:6" ht="12">
      <c r="A290" s="702"/>
      <c r="B290" s="75"/>
      <c r="C290" s="661" t="s">
        <v>93</v>
      </c>
      <c r="D290" s="539">
        <f>SUM(D291:D292)</f>
        <v>548950</v>
      </c>
      <c r="E290" s="540">
        <f>SUM(E291:E292)</f>
        <v>8141</v>
      </c>
      <c r="F290" s="653">
        <f>SUM(F291:F292)</f>
        <v>557091</v>
      </c>
    </row>
    <row r="291" spans="1:6" ht="12">
      <c r="A291" s="702"/>
      <c r="B291" s="75"/>
      <c r="C291" s="238" t="s">
        <v>101</v>
      </c>
      <c r="D291" s="535">
        <f>SUM('WYDATKI ukł.wyk.'!E389:E392)</f>
        <v>397849</v>
      </c>
      <c r="E291" s="480">
        <f>SUM('WYDATKI ukł.wyk.'!F389:F392)</f>
        <v>-2000</v>
      </c>
      <c r="F291" s="25">
        <f>SUM('WYDATKI ukł.wyk.'!G389:G392)</f>
        <v>395849</v>
      </c>
    </row>
    <row r="292" spans="1:6" ht="12">
      <c r="A292" s="702"/>
      <c r="B292" s="75"/>
      <c r="C292" s="610" t="s">
        <v>94</v>
      </c>
      <c r="D292" s="291">
        <f>SUM('WYDATKI ukł.wyk.'!E393:E401)</f>
        <v>151101</v>
      </c>
      <c r="E292" s="291">
        <f>SUM('WYDATKI ukł.wyk.'!F393:F401)</f>
        <v>10141</v>
      </c>
      <c r="F292" s="566">
        <f>SUM('WYDATKI ukł.wyk.'!G393:G401)</f>
        <v>161242</v>
      </c>
    </row>
    <row r="293" spans="1:6" ht="12">
      <c r="A293" s="702"/>
      <c r="B293" s="75"/>
      <c r="C293" s="655" t="s">
        <v>103</v>
      </c>
      <c r="D293" s="543">
        <f>'WYDATKI ukł.wyk.'!E402</f>
        <v>0</v>
      </c>
      <c r="E293" s="182">
        <f>'WYDATKI ukł.wyk.'!F402</f>
        <v>0</v>
      </c>
      <c r="F293" s="676">
        <f>'WYDATKI ukł.wyk.'!G402</f>
        <v>0</v>
      </c>
    </row>
    <row r="294" spans="1:6" ht="12">
      <c r="A294" s="702"/>
      <c r="B294" s="75"/>
      <c r="C294" s="610"/>
      <c r="D294" s="535"/>
      <c r="E294" s="181"/>
      <c r="F294" s="537"/>
    </row>
    <row r="295" spans="1:6" ht="12">
      <c r="A295" s="702"/>
      <c r="B295" s="75">
        <v>85220</v>
      </c>
      <c r="C295" s="610" t="s">
        <v>250</v>
      </c>
      <c r="D295" s="535"/>
      <c r="E295" s="181"/>
      <c r="F295" s="537"/>
    </row>
    <row r="296" spans="1:6" ht="12">
      <c r="A296" s="702"/>
      <c r="B296" s="77"/>
      <c r="C296" s="655" t="s">
        <v>161</v>
      </c>
      <c r="D296" s="535">
        <f aca="true" t="shared" si="24" ref="D296:F297">D297</f>
        <v>134216</v>
      </c>
      <c r="E296" s="535">
        <f t="shared" si="24"/>
        <v>-23550</v>
      </c>
      <c r="F296" s="537">
        <f t="shared" si="24"/>
        <v>110666</v>
      </c>
    </row>
    <row r="297" spans="1:6" ht="12">
      <c r="A297" s="702"/>
      <c r="B297" s="75"/>
      <c r="C297" s="661" t="s">
        <v>93</v>
      </c>
      <c r="D297" s="539">
        <f t="shared" si="24"/>
        <v>134216</v>
      </c>
      <c r="E297" s="540">
        <f t="shared" si="24"/>
        <v>-23550</v>
      </c>
      <c r="F297" s="679">
        <f t="shared" si="24"/>
        <v>110666</v>
      </c>
    </row>
    <row r="298" spans="1:6" ht="12">
      <c r="A298" s="702"/>
      <c r="B298" s="75"/>
      <c r="C298" s="610" t="s">
        <v>94</v>
      </c>
      <c r="D298" s="535">
        <f>SUM('WYDATKI ukł.wyk.'!E405:E410)</f>
        <v>134216</v>
      </c>
      <c r="E298" s="181">
        <f>SUM('WYDATKI ukł.wyk.'!F405:F410)</f>
        <v>-23550</v>
      </c>
      <c r="F298" s="537">
        <f>SUM('WYDATKI ukł.wyk.'!G405:G410)</f>
        <v>110666</v>
      </c>
    </row>
    <row r="299" spans="1:6" ht="12">
      <c r="A299" s="702"/>
      <c r="B299" s="75"/>
      <c r="C299" s="610"/>
      <c r="D299" s="535"/>
      <c r="E299" s="181"/>
      <c r="F299" s="537"/>
    </row>
    <row r="300" spans="1:6" ht="12">
      <c r="A300" s="702"/>
      <c r="B300" s="77">
        <v>85233</v>
      </c>
      <c r="C300" s="655" t="s">
        <v>735</v>
      </c>
      <c r="D300" s="543">
        <f aca="true" t="shared" si="25" ref="D300:F301">D301</f>
        <v>750</v>
      </c>
      <c r="E300" s="543">
        <f t="shared" si="25"/>
        <v>0</v>
      </c>
      <c r="F300" s="676">
        <f t="shared" si="25"/>
        <v>750</v>
      </c>
    </row>
    <row r="301" spans="1:6" ht="12">
      <c r="A301" s="702"/>
      <c r="B301" s="75"/>
      <c r="C301" s="661" t="s">
        <v>93</v>
      </c>
      <c r="D301" s="539">
        <f t="shared" si="25"/>
        <v>750</v>
      </c>
      <c r="E301" s="539">
        <f t="shared" si="25"/>
        <v>0</v>
      </c>
      <c r="F301" s="679">
        <f t="shared" si="25"/>
        <v>750</v>
      </c>
    </row>
    <row r="302" spans="1:6" ht="12">
      <c r="A302" s="702"/>
      <c r="B302" s="75"/>
      <c r="C302" s="238" t="s">
        <v>151</v>
      </c>
      <c r="D302" s="535">
        <f>'WYDATKI ukł.wyk.'!E413</f>
        <v>750</v>
      </c>
      <c r="E302" s="535">
        <f>'WYDATKI ukł.wyk.'!F413</f>
        <v>0</v>
      </c>
      <c r="F302" s="537">
        <f>'WYDATKI ukł.wyk.'!G413</f>
        <v>750</v>
      </c>
    </row>
    <row r="303" spans="1:6" ht="12">
      <c r="A303" s="702"/>
      <c r="B303" s="75"/>
      <c r="C303" s="238"/>
      <c r="D303" s="535"/>
      <c r="E303" s="181"/>
      <c r="F303" s="537"/>
    </row>
    <row r="304" spans="1:6" ht="12">
      <c r="A304" s="702"/>
      <c r="B304" s="77">
        <v>85295</v>
      </c>
      <c r="C304" s="655" t="s">
        <v>133</v>
      </c>
      <c r="D304" s="543">
        <f>D305</f>
        <v>261600</v>
      </c>
      <c r="E304" s="182">
        <f>E305</f>
        <v>0</v>
      </c>
      <c r="F304" s="676">
        <f>F305</f>
        <v>261600</v>
      </c>
    </row>
    <row r="305" spans="1:6" ht="12">
      <c r="A305" s="702"/>
      <c r="B305" s="75"/>
      <c r="C305" s="661" t="s">
        <v>93</v>
      </c>
      <c r="D305" s="539">
        <f>D306+D307</f>
        <v>261600</v>
      </c>
      <c r="E305" s="539">
        <f>E306+E307</f>
        <v>0</v>
      </c>
      <c r="F305" s="679">
        <f>F306+F307</f>
        <v>261600</v>
      </c>
    </row>
    <row r="306" spans="1:6" ht="12">
      <c r="A306" s="702"/>
      <c r="B306" s="75"/>
      <c r="C306" s="610" t="s">
        <v>677</v>
      </c>
      <c r="D306" s="535">
        <f>'WYDATKI ukł.wyk.'!E417</f>
        <v>1600</v>
      </c>
      <c r="E306" s="181">
        <f>'WYDATKI ukł.wyk.'!F417</f>
        <v>0</v>
      </c>
      <c r="F306" s="25">
        <f>'WYDATKI ukł.wyk.'!G417</f>
        <v>1600</v>
      </c>
    </row>
    <row r="307" spans="1:6" ht="12">
      <c r="A307" s="702"/>
      <c r="B307" s="75"/>
      <c r="C307" s="610" t="s">
        <v>151</v>
      </c>
      <c r="D307" s="535">
        <f>'WYDATKI ukł.wyk.'!E419+'WYDATKI ukł.wyk.'!E420+'WYDATKI ukł.wyk.'!E421</f>
        <v>260000</v>
      </c>
      <c r="E307" s="535">
        <f>'WYDATKI ukł.wyk.'!F419+'WYDATKI ukł.wyk.'!F420+'WYDATKI ukł.wyk.'!F421</f>
        <v>0</v>
      </c>
      <c r="F307" s="537">
        <f>'WYDATKI ukł.wyk.'!G419+'WYDATKI ukł.wyk.'!G420+'WYDATKI ukł.wyk.'!G421</f>
        <v>260000</v>
      </c>
    </row>
    <row r="308" spans="1:6" ht="12">
      <c r="A308" s="702"/>
      <c r="B308" s="75"/>
      <c r="C308" s="610"/>
      <c r="D308" s="535"/>
      <c r="E308" s="181"/>
      <c r="F308" s="25"/>
    </row>
    <row r="309" spans="1:6" s="174" customFormat="1" ht="24.75" thickBot="1">
      <c r="A309" s="710">
        <v>853</v>
      </c>
      <c r="B309" s="711"/>
      <c r="C309" s="680" t="s">
        <v>407</v>
      </c>
      <c r="D309" s="681">
        <f>D310</f>
        <v>4116473</v>
      </c>
      <c r="E309" s="682">
        <f>E310</f>
        <v>87835</v>
      </c>
      <c r="F309" s="683">
        <f>F310</f>
        <v>4204308</v>
      </c>
    </row>
    <row r="310" spans="1:6" ht="12">
      <c r="A310" s="212"/>
      <c r="B310" s="219"/>
      <c r="C310" s="661" t="s">
        <v>93</v>
      </c>
      <c r="D310" s="674">
        <f>SUM(D311:D313)</f>
        <v>4116473</v>
      </c>
      <c r="E310" s="674">
        <f>SUM(E311:E313)</f>
        <v>87835</v>
      </c>
      <c r="F310" s="742">
        <f>SUM(F311:F313)</f>
        <v>4204308</v>
      </c>
    </row>
    <row r="311" spans="1:6" ht="12">
      <c r="A311" s="212"/>
      <c r="B311" s="707"/>
      <c r="C311" s="238" t="s">
        <v>101</v>
      </c>
      <c r="D311" s="535">
        <f>D317+D322+D331</f>
        <v>2544201</v>
      </c>
      <c r="E311" s="181">
        <f>E317+E322+E331</f>
        <v>89944</v>
      </c>
      <c r="F311" s="537">
        <f>F317+F322+F331</f>
        <v>2634145</v>
      </c>
    </row>
    <row r="312" spans="1:6" ht="12">
      <c r="A312" s="212"/>
      <c r="B312" s="707"/>
      <c r="C312" s="610" t="s">
        <v>94</v>
      </c>
      <c r="D312" s="535">
        <f>D318+D323+D332+D327</f>
        <v>1566972</v>
      </c>
      <c r="E312" s="535">
        <f>E318+E323+E332+E327</f>
        <v>-2109</v>
      </c>
      <c r="F312" s="537">
        <f>F318+F323+F332+F327</f>
        <v>1564863</v>
      </c>
    </row>
    <row r="313" spans="1:6" ht="12">
      <c r="A313" s="212"/>
      <c r="B313" s="707"/>
      <c r="C313" s="238" t="s">
        <v>102</v>
      </c>
      <c r="D313" s="535">
        <f>D333</f>
        <v>5300</v>
      </c>
      <c r="E313" s="535">
        <f>E333</f>
        <v>0</v>
      </c>
      <c r="F313" s="537">
        <f>F333</f>
        <v>5300</v>
      </c>
    </row>
    <row r="314" spans="1:6" ht="12">
      <c r="A314" s="702"/>
      <c r="B314" s="75"/>
      <c r="C314" s="301"/>
      <c r="D314" s="535"/>
      <c r="E314" s="181"/>
      <c r="F314" s="537"/>
    </row>
    <row r="315" spans="1:6" ht="12">
      <c r="A315" s="702"/>
      <c r="B315" s="77">
        <v>85321</v>
      </c>
      <c r="C315" s="92" t="s">
        <v>522</v>
      </c>
      <c r="D315" s="535">
        <f>D316</f>
        <v>283125</v>
      </c>
      <c r="E315" s="181">
        <f>E316</f>
        <v>0</v>
      </c>
      <c r="F315" s="25">
        <f>F316</f>
        <v>283125</v>
      </c>
    </row>
    <row r="316" spans="1:6" ht="12">
      <c r="A316" s="702"/>
      <c r="B316" s="75"/>
      <c r="C316" s="450" t="s">
        <v>93</v>
      </c>
      <c r="D316" s="539">
        <f>SUM(D317:D318)</f>
        <v>283125</v>
      </c>
      <c r="E316" s="540">
        <f>SUM(E317:E318)</f>
        <v>0</v>
      </c>
      <c r="F316" s="653">
        <f>SUM(F317:F318)</f>
        <v>283125</v>
      </c>
    </row>
    <row r="317" spans="1:6" ht="12">
      <c r="A317" s="702"/>
      <c r="B317" s="75"/>
      <c r="C317" s="656" t="s">
        <v>101</v>
      </c>
      <c r="D317" s="535">
        <f>SUM('WYDATKI ukł.wyk.'!E425:E428)</f>
        <v>81950</v>
      </c>
      <c r="E317" s="181">
        <f>SUM('WYDATKI ukł.wyk.'!F425:F428)</f>
        <v>-2387</v>
      </c>
      <c r="F317" s="25">
        <f>SUM('WYDATKI ukł.wyk.'!G425:G428)</f>
        <v>79563</v>
      </c>
    </row>
    <row r="318" spans="1:6" ht="12">
      <c r="A318" s="702"/>
      <c r="B318" s="233"/>
      <c r="C318" s="204" t="s">
        <v>94</v>
      </c>
      <c r="D318" s="535">
        <f>SUM('WYDATKI ukł.wyk.'!E429:E436)</f>
        <v>201175</v>
      </c>
      <c r="E318" s="181">
        <f>SUM('WYDATKI ukł.wyk.'!F429:F436)</f>
        <v>2387</v>
      </c>
      <c r="F318" s="25">
        <f>SUM('WYDATKI ukł.wyk.'!G429:G436)</f>
        <v>203562</v>
      </c>
    </row>
    <row r="319" spans="1:6" ht="12">
      <c r="A319" s="702"/>
      <c r="B319" s="233"/>
      <c r="C319" s="610"/>
      <c r="D319" s="535"/>
      <c r="E319" s="181"/>
      <c r="F319" s="25"/>
    </row>
    <row r="320" spans="1:6" ht="12">
      <c r="A320" s="76"/>
      <c r="B320" s="77">
        <v>85333</v>
      </c>
      <c r="C320" s="659" t="s">
        <v>162</v>
      </c>
      <c r="D320" s="535">
        <f>D321</f>
        <v>2557046</v>
      </c>
      <c r="E320" s="181">
        <f>E321</f>
        <v>88175</v>
      </c>
      <c r="F320" s="25">
        <f>F321</f>
        <v>2645221</v>
      </c>
    </row>
    <row r="321" spans="1:6" ht="12">
      <c r="A321" s="76"/>
      <c r="B321" s="75"/>
      <c r="C321" s="661" t="s">
        <v>93</v>
      </c>
      <c r="D321" s="539">
        <f>SUM(D322:D323)</f>
        <v>2557046</v>
      </c>
      <c r="E321" s="540">
        <f>SUM(E322:E323)</f>
        <v>88175</v>
      </c>
      <c r="F321" s="653">
        <f>SUM(F322:F323)</f>
        <v>2645221</v>
      </c>
    </row>
    <row r="322" spans="1:6" ht="12">
      <c r="A322" s="76"/>
      <c r="B322" s="75"/>
      <c r="C322" s="238" t="s">
        <v>101</v>
      </c>
      <c r="D322" s="535">
        <f>SUM('WYDATKI ukł.wyk.'!E439:E442)+'WYDATKI ukł.wyk.'!E444</f>
        <v>2216337</v>
      </c>
      <c r="E322" s="535">
        <f>SUM('WYDATKI ukł.wyk.'!F439:F442)+'WYDATKI ukł.wyk.'!F444</f>
        <v>31056</v>
      </c>
      <c r="F322" s="647">
        <f>SUM('WYDATKI ukł.wyk.'!G439:G442)+'WYDATKI ukł.wyk.'!G444</f>
        <v>2247393</v>
      </c>
    </row>
    <row r="323" spans="1:6" ht="12">
      <c r="A323" s="76"/>
      <c r="B323" s="75"/>
      <c r="C323" s="238" t="s">
        <v>94</v>
      </c>
      <c r="D323" s="291">
        <f>'WYDATKI ukł.wyk.'!E443+'WYDATKI ukł.wyk.'!E445+'WYDATKI ukł.wyk.'!E446+'WYDATKI ukł.wyk.'!E447+'WYDATKI ukł.wyk.'!E448+'WYDATKI ukł.wyk.'!E449+'WYDATKI ukł.wyk.'!E450+'WYDATKI ukł.wyk.'!E451+'WYDATKI ukł.wyk.'!E452+'WYDATKI ukł.wyk.'!E453+'WYDATKI ukł.wyk.'!E454+'WYDATKI ukł.wyk.'!E455+'WYDATKI ukł.wyk.'!E457+'WYDATKI ukł.wyk.'!E456</f>
        <v>340709</v>
      </c>
      <c r="E323" s="291">
        <f>'WYDATKI ukł.wyk.'!F443+'WYDATKI ukł.wyk.'!F445+'WYDATKI ukł.wyk.'!F446+'WYDATKI ukł.wyk.'!F447+'WYDATKI ukł.wyk.'!F448+'WYDATKI ukł.wyk.'!F449+'WYDATKI ukł.wyk.'!F450+'WYDATKI ukł.wyk.'!F451+'WYDATKI ukł.wyk.'!F452+'WYDATKI ukł.wyk.'!F453+'WYDATKI ukł.wyk.'!F454+'WYDATKI ukł.wyk.'!F455+'WYDATKI ukł.wyk.'!F457+'WYDATKI ukł.wyk.'!F456</f>
        <v>57119</v>
      </c>
      <c r="F323" s="566">
        <f>'WYDATKI ukł.wyk.'!G443+'WYDATKI ukł.wyk.'!G445+'WYDATKI ukł.wyk.'!G446+'WYDATKI ukł.wyk.'!G447+'WYDATKI ukł.wyk.'!G448+'WYDATKI ukł.wyk.'!G449+'WYDATKI ukł.wyk.'!G450+'WYDATKI ukł.wyk.'!G451+'WYDATKI ukł.wyk.'!G452+'WYDATKI ukł.wyk.'!G453+'WYDATKI ukł.wyk.'!G454+'WYDATKI ukł.wyk.'!G455+'WYDATKI ukł.wyk.'!G457+'WYDATKI ukł.wyk.'!G456</f>
        <v>397828</v>
      </c>
    </row>
    <row r="324" spans="1:6" ht="12">
      <c r="A324" s="76"/>
      <c r="B324" s="75"/>
      <c r="C324" s="238"/>
      <c r="D324" s="535"/>
      <c r="E324" s="181"/>
      <c r="F324" s="25"/>
    </row>
    <row r="325" spans="1:6" ht="12">
      <c r="A325" s="76"/>
      <c r="B325" s="77">
        <v>85334</v>
      </c>
      <c r="C325" s="661" t="s">
        <v>737</v>
      </c>
      <c r="D325" s="543">
        <f aca="true" t="shared" si="26" ref="D325:F326">D326</f>
        <v>5745</v>
      </c>
      <c r="E325" s="182">
        <f t="shared" si="26"/>
        <v>0</v>
      </c>
      <c r="F325" s="93">
        <f t="shared" si="26"/>
        <v>5745</v>
      </c>
    </row>
    <row r="326" spans="1:6" ht="12">
      <c r="A326" s="76"/>
      <c r="B326" s="75"/>
      <c r="C326" s="238" t="s">
        <v>93</v>
      </c>
      <c r="D326" s="535">
        <f t="shared" si="26"/>
        <v>5745</v>
      </c>
      <c r="E326" s="535">
        <f t="shared" si="26"/>
        <v>0</v>
      </c>
      <c r="F326" s="647">
        <f t="shared" si="26"/>
        <v>5745</v>
      </c>
    </row>
    <row r="327" spans="1:6" ht="12">
      <c r="A327" s="76"/>
      <c r="B327" s="75"/>
      <c r="C327" s="238" t="s">
        <v>738</v>
      </c>
      <c r="D327" s="535">
        <f>'WYDATKI ukł.wyk.'!E461</f>
        <v>5745</v>
      </c>
      <c r="E327" s="535">
        <f>'WYDATKI ukł.wyk.'!F461</f>
        <v>0</v>
      </c>
      <c r="F327" s="537">
        <f>'WYDATKI ukł.wyk.'!G461</f>
        <v>5745</v>
      </c>
    </row>
    <row r="328" spans="1:6" ht="12">
      <c r="A328" s="76"/>
      <c r="B328" s="75"/>
      <c r="C328" s="238"/>
      <c r="D328" s="535"/>
      <c r="E328" s="181"/>
      <c r="F328" s="25"/>
    </row>
    <row r="329" spans="1:6" ht="12">
      <c r="A329" s="76"/>
      <c r="B329" s="77">
        <v>85395</v>
      </c>
      <c r="C329" s="661" t="s">
        <v>133</v>
      </c>
      <c r="D329" s="535">
        <f>D330</f>
        <v>1270557</v>
      </c>
      <c r="E329" s="181">
        <f>E330</f>
        <v>-340</v>
      </c>
      <c r="F329" s="25">
        <f>F330</f>
        <v>1270217</v>
      </c>
    </row>
    <row r="330" spans="1:6" ht="12">
      <c r="A330" s="76"/>
      <c r="B330" s="75"/>
      <c r="C330" s="661" t="s">
        <v>93</v>
      </c>
      <c r="D330" s="539">
        <f>D332+D331+D333</f>
        <v>1270557</v>
      </c>
      <c r="E330" s="539">
        <f>E332+E331+E333</f>
        <v>-340</v>
      </c>
      <c r="F330" s="679">
        <f>F332+F331+F333</f>
        <v>1270217</v>
      </c>
    </row>
    <row r="331" spans="1:6" ht="12">
      <c r="A331" s="76"/>
      <c r="B331" s="75"/>
      <c r="C331" s="238" t="s">
        <v>101</v>
      </c>
      <c r="D331" s="535">
        <f>SUM('WYDATKI ukł.wyk.'!E468:E471)</f>
        <v>245914</v>
      </c>
      <c r="E331" s="480">
        <f>SUM('WYDATKI ukł.wyk.'!F468:F471)</f>
        <v>61275</v>
      </c>
      <c r="F331" s="537">
        <f>SUM('WYDATKI ukł.wyk.'!G468:G471)</f>
        <v>307189</v>
      </c>
    </row>
    <row r="332" spans="1:6" ht="12">
      <c r="A332" s="76"/>
      <c r="B332" s="75"/>
      <c r="C332" s="238" t="s">
        <v>94</v>
      </c>
      <c r="D332" s="535">
        <f>SUM('WYDATKI ukł.wyk.'!E472:E478)+'WYDATKI ukł.wyk.'!E467</f>
        <v>1019343</v>
      </c>
      <c r="E332" s="535">
        <f>SUM('WYDATKI ukł.wyk.'!F472:F478)+'WYDATKI ukł.wyk.'!F467</f>
        <v>-61615</v>
      </c>
      <c r="F332" s="537">
        <f>SUM('WYDATKI ukł.wyk.'!G472:G478)+'WYDATKI ukł.wyk.'!G467</f>
        <v>957728</v>
      </c>
    </row>
    <row r="333" spans="1:6" ht="12">
      <c r="A333" s="76"/>
      <c r="B333" s="75"/>
      <c r="C333" s="238" t="s">
        <v>102</v>
      </c>
      <c r="D333" s="535">
        <f>'WYDATKI ukł.wyk.'!E465</f>
        <v>5300</v>
      </c>
      <c r="E333" s="535">
        <f>'WYDATKI ukł.wyk.'!F465</f>
        <v>0</v>
      </c>
      <c r="F333" s="537">
        <f>'WYDATKI ukł.wyk.'!G465</f>
        <v>5300</v>
      </c>
    </row>
    <row r="334" spans="1:6" ht="12">
      <c r="A334" s="76"/>
      <c r="B334" s="75"/>
      <c r="C334" s="238"/>
      <c r="D334" s="535"/>
      <c r="E334" s="181"/>
      <c r="F334" s="25"/>
    </row>
    <row r="335" spans="1:6" ht="12.75" thickBot="1">
      <c r="A335" s="80">
        <v>854</v>
      </c>
      <c r="B335" s="82"/>
      <c r="C335" s="234" t="s">
        <v>163</v>
      </c>
      <c r="D335" s="642">
        <f>D336+D340</f>
        <v>3611852</v>
      </c>
      <c r="E335" s="183">
        <f>E336+E340</f>
        <v>62744</v>
      </c>
      <c r="F335" s="26">
        <f>F336+F340</f>
        <v>3674596</v>
      </c>
    </row>
    <row r="336" spans="1:6" ht="12">
      <c r="A336" s="76"/>
      <c r="B336" s="75"/>
      <c r="C336" s="661" t="s">
        <v>93</v>
      </c>
      <c r="D336" s="674">
        <f>SUM(D337:D339)</f>
        <v>3611852</v>
      </c>
      <c r="E336" s="218">
        <f>SUM(E337:E339)</f>
        <v>62744</v>
      </c>
      <c r="F336" s="215">
        <f>SUM(F337:F339)</f>
        <v>3674596</v>
      </c>
    </row>
    <row r="337" spans="1:6" ht="12">
      <c r="A337" s="76"/>
      <c r="B337" s="75"/>
      <c r="C337" s="238" t="s">
        <v>101</v>
      </c>
      <c r="D337" s="535">
        <f>D344+D350+D357+D363+D368</f>
        <v>1745006</v>
      </c>
      <c r="E337" s="181">
        <f>E344+E350+E357+E363+E368</f>
        <v>40912</v>
      </c>
      <c r="F337" s="25">
        <f>F344+F350+F357+F363+F368</f>
        <v>1785918</v>
      </c>
    </row>
    <row r="338" spans="1:6" ht="12">
      <c r="A338" s="76"/>
      <c r="B338" s="75"/>
      <c r="C338" s="610" t="s">
        <v>102</v>
      </c>
      <c r="D338" s="535">
        <f>D351</f>
        <v>120000</v>
      </c>
      <c r="E338" s="181">
        <f>E351</f>
        <v>300</v>
      </c>
      <c r="F338" s="25">
        <f>F351</f>
        <v>120300</v>
      </c>
    </row>
    <row r="339" spans="1:6" ht="12">
      <c r="A339" s="76"/>
      <c r="B339" s="75"/>
      <c r="C339" s="238" t="s">
        <v>94</v>
      </c>
      <c r="D339" s="535">
        <f>D345+D352+D358+D364+D369+D378+D374</f>
        <v>1746846</v>
      </c>
      <c r="E339" s="181">
        <f>E345+E352+E358+E364+E369+E378+E374</f>
        <v>21532</v>
      </c>
      <c r="F339" s="25">
        <f>F345+F352+F358+F364+F369+F378+F374</f>
        <v>1768378</v>
      </c>
    </row>
    <row r="340" spans="1:6" ht="12">
      <c r="A340" s="76"/>
      <c r="B340" s="75"/>
      <c r="C340" s="655" t="s">
        <v>103</v>
      </c>
      <c r="D340" s="543">
        <f>D370+D353+D359</f>
        <v>0</v>
      </c>
      <c r="E340" s="182">
        <f>E370+E353+E359</f>
        <v>0</v>
      </c>
      <c r="F340" s="93">
        <f>F370+F353+F359</f>
        <v>0</v>
      </c>
    </row>
    <row r="341" spans="1:6" ht="12">
      <c r="A341" s="703"/>
      <c r="B341" s="699"/>
      <c r="C341" s="677"/>
      <c r="D341" s="535"/>
      <c r="E341" s="181"/>
      <c r="F341" s="25"/>
    </row>
    <row r="342" spans="1:6" ht="12">
      <c r="A342" s="76"/>
      <c r="B342" s="77">
        <v>85401</v>
      </c>
      <c r="C342" s="659" t="s">
        <v>164</v>
      </c>
      <c r="D342" s="535">
        <f>D343</f>
        <v>44345</v>
      </c>
      <c r="E342" s="181">
        <f>E343</f>
        <v>-1329</v>
      </c>
      <c r="F342" s="25">
        <f>F343</f>
        <v>43016</v>
      </c>
    </row>
    <row r="343" spans="1:6" ht="12">
      <c r="A343" s="76"/>
      <c r="B343" s="75"/>
      <c r="C343" s="661" t="s">
        <v>93</v>
      </c>
      <c r="D343" s="539">
        <f>SUM(D344:D345)</f>
        <v>44345</v>
      </c>
      <c r="E343" s="540">
        <f>SUM(E344:E345)</f>
        <v>-1329</v>
      </c>
      <c r="F343" s="653">
        <f>SUM(F344:F345)</f>
        <v>43016</v>
      </c>
    </row>
    <row r="344" spans="1:6" ht="12">
      <c r="A344" s="76"/>
      <c r="B344" s="75"/>
      <c r="C344" s="238" t="s">
        <v>101</v>
      </c>
      <c r="D344" s="535">
        <f>SUM('WYDATKI ukł.wyk.'!E482:E485)</f>
        <v>40499</v>
      </c>
      <c r="E344" s="181">
        <f>SUM('WYDATKI ukł.wyk.'!F482:F485)</f>
        <v>-1329</v>
      </c>
      <c r="F344" s="25">
        <f>SUM('WYDATKI ukł.wyk.'!G482:G485)</f>
        <v>39170</v>
      </c>
    </row>
    <row r="345" spans="1:6" ht="12">
      <c r="A345" s="76"/>
      <c r="B345" s="75"/>
      <c r="C345" s="238" t="s">
        <v>94</v>
      </c>
      <c r="D345" s="535">
        <f>SUM('WYDATKI ukł.wyk.'!E486:E487)</f>
        <v>3846</v>
      </c>
      <c r="E345" s="535">
        <f>SUM('WYDATKI ukł.wyk.'!F486:F487)</f>
        <v>0</v>
      </c>
      <c r="F345" s="537">
        <f>SUM('WYDATKI ukł.wyk.'!G486:G487)</f>
        <v>3846</v>
      </c>
    </row>
    <row r="346" spans="1:6" ht="12">
      <c r="A346" s="76"/>
      <c r="B346" s="75"/>
      <c r="C346" s="238"/>
      <c r="D346" s="535"/>
      <c r="E346" s="181"/>
      <c r="F346" s="25"/>
    </row>
    <row r="347" spans="1:6" ht="12">
      <c r="A347" s="76"/>
      <c r="B347" s="75">
        <v>85406</v>
      </c>
      <c r="C347" s="238" t="s">
        <v>165</v>
      </c>
      <c r="D347" s="535"/>
      <c r="E347" s="181"/>
      <c r="F347" s="25"/>
    </row>
    <row r="348" spans="1:6" ht="12">
      <c r="A348" s="76"/>
      <c r="B348" s="77"/>
      <c r="C348" s="659" t="s">
        <v>166</v>
      </c>
      <c r="D348" s="535">
        <f>D349+D353</f>
        <v>588307</v>
      </c>
      <c r="E348" s="181">
        <f>E349+E353</f>
        <v>22385</v>
      </c>
      <c r="F348" s="25">
        <f>F349+F353</f>
        <v>610692</v>
      </c>
    </row>
    <row r="349" spans="1:6" ht="12">
      <c r="A349" s="76"/>
      <c r="B349" s="75"/>
      <c r="C349" s="661" t="s">
        <v>93</v>
      </c>
      <c r="D349" s="539">
        <f>SUM(D350:D352)</f>
        <v>588307</v>
      </c>
      <c r="E349" s="540">
        <f>SUM(E350:E352)</f>
        <v>22385</v>
      </c>
      <c r="F349" s="653">
        <f>SUM(F350:F352)</f>
        <v>610692</v>
      </c>
    </row>
    <row r="350" spans="1:6" ht="12">
      <c r="A350" s="76"/>
      <c r="B350" s="75"/>
      <c r="C350" s="238" t="s">
        <v>101</v>
      </c>
      <c r="D350" s="535">
        <f>SUM('WYDATKI ukł.wyk.'!E492:E496)</f>
        <v>394060</v>
      </c>
      <c r="E350" s="181">
        <f>SUM('WYDATKI ukł.wyk.'!F492:F496)</f>
        <v>14581</v>
      </c>
      <c r="F350" s="25">
        <f>SUM('WYDATKI ukł.wyk.'!G492:G496)</f>
        <v>408641</v>
      </c>
    </row>
    <row r="351" spans="1:6" ht="12">
      <c r="A351" s="76"/>
      <c r="B351" s="75"/>
      <c r="C351" s="610" t="s">
        <v>102</v>
      </c>
      <c r="D351" s="535">
        <f>'WYDATKI ukł.wyk.'!E490</f>
        <v>120000</v>
      </c>
      <c r="E351" s="181">
        <f>'WYDATKI ukł.wyk.'!F490</f>
        <v>300</v>
      </c>
      <c r="F351" s="25">
        <f>'WYDATKI ukł.wyk.'!G490</f>
        <v>120300</v>
      </c>
    </row>
    <row r="352" spans="1:6" ht="12">
      <c r="A352" s="76"/>
      <c r="B352" s="88"/>
      <c r="C352" s="238" t="s">
        <v>94</v>
      </c>
      <c r="D352" s="535">
        <f>SUM('WYDATKI ukł.wyk.'!E497:E506)+'WYDATKI ukł.wyk.'!E491</f>
        <v>74247</v>
      </c>
      <c r="E352" s="181">
        <f>SUM('WYDATKI ukł.wyk.'!F497:F506)+'WYDATKI ukł.wyk.'!F491</f>
        <v>7504</v>
      </c>
      <c r="F352" s="25">
        <f>SUM('WYDATKI ukł.wyk.'!G497:G506)+'WYDATKI ukł.wyk.'!G491</f>
        <v>81751</v>
      </c>
    </row>
    <row r="353" spans="1:6" ht="12">
      <c r="A353" s="76"/>
      <c r="B353" s="88"/>
      <c r="C353" s="655" t="s">
        <v>103</v>
      </c>
      <c r="D353" s="543">
        <f>'WYDATKI ukł.wyk.'!E507</f>
        <v>0</v>
      </c>
      <c r="E353" s="182">
        <f>'WYDATKI ukł.wyk.'!F507</f>
        <v>0</v>
      </c>
      <c r="F353" s="93">
        <f>'WYDATKI ukł.wyk.'!G507</f>
        <v>0</v>
      </c>
    </row>
    <row r="354" spans="1:6" ht="12">
      <c r="A354" s="76"/>
      <c r="B354" s="88"/>
      <c r="C354" s="238"/>
      <c r="D354" s="535"/>
      <c r="E354" s="181"/>
      <c r="F354" s="25"/>
    </row>
    <row r="355" spans="1:6" ht="12">
      <c r="A355" s="76"/>
      <c r="B355" s="77">
        <v>85410</v>
      </c>
      <c r="C355" s="659" t="s">
        <v>167</v>
      </c>
      <c r="D355" s="535">
        <f>D356</f>
        <v>248606</v>
      </c>
      <c r="E355" s="181">
        <f>E356</f>
        <v>9946</v>
      </c>
      <c r="F355" s="25">
        <f>F356</f>
        <v>258552</v>
      </c>
    </row>
    <row r="356" spans="1:6" ht="12">
      <c r="A356" s="76"/>
      <c r="B356" s="75"/>
      <c r="C356" s="661" t="s">
        <v>93</v>
      </c>
      <c r="D356" s="539">
        <f>SUM(D357:D358)</f>
        <v>248606</v>
      </c>
      <c r="E356" s="540">
        <f>SUM(E357:E358)</f>
        <v>9946</v>
      </c>
      <c r="F356" s="653">
        <f>SUM(F357:F358)</f>
        <v>258552</v>
      </c>
    </row>
    <row r="357" spans="1:6" ht="12">
      <c r="A357" s="76"/>
      <c r="B357" s="75"/>
      <c r="C357" s="238" t="s">
        <v>101</v>
      </c>
      <c r="D357" s="535">
        <f>SUM('WYDATKI ukł.wyk.'!E511:E514)</f>
        <v>93024</v>
      </c>
      <c r="E357" s="181">
        <f>SUM('WYDATKI ukł.wyk.'!F511:F514)</f>
        <v>-54</v>
      </c>
      <c r="F357" s="25">
        <f>SUM('WYDATKI ukł.wyk.'!G511:G514)</f>
        <v>92970</v>
      </c>
    </row>
    <row r="358" spans="1:6" ht="12">
      <c r="A358" s="76"/>
      <c r="B358" s="75"/>
      <c r="C358" s="238" t="s">
        <v>94</v>
      </c>
      <c r="D358" s="535">
        <f>SUM('WYDATKI ukł.wyk.'!E515:E522)+'WYDATKI ukł.wyk.'!E510</f>
        <v>155582</v>
      </c>
      <c r="E358" s="181">
        <f>SUM('WYDATKI ukł.wyk.'!F515:F522)+'WYDATKI ukł.wyk.'!F510</f>
        <v>10000</v>
      </c>
      <c r="F358" s="25">
        <f>SUM('WYDATKI ukł.wyk.'!G515:G522)+'WYDATKI ukł.wyk.'!G510</f>
        <v>165582</v>
      </c>
    </row>
    <row r="359" spans="1:6" ht="12">
      <c r="A359" s="76"/>
      <c r="B359" s="75"/>
      <c r="C359" s="655" t="s">
        <v>103</v>
      </c>
      <c r="D359" s="543">
        <f>'WYDATKI ukł.wyk.'!E523</f>
        <v>0</v>
      </c>
      <c r="E359" s="182">
        <f>'WYDATKI ukł.wyk.'!F523</f>
        <v>0</v>
      </c>
      <c r="F359" s="93">
        <f>'WYDATKI ukł.wyk.'!G523</f>
        <v>0</v>
      </c>
    </row>
    <row r="360" spans="1:6" ht="12">
      <c r="A360" s="76"/>
      <c r="B360" s="75"/>
      <c r="C360" s="238"/>
      <c r="D360" s="535"/>
      <c r="E360" s="181"/>
      <c r="F360" s="25"/>
    </row>
    <row r="361" spans="1:6" ht="12">
      <c r="A361" s="76"/>
      <c r="B361" s="77">
        <v>85415</v>
      </c>
      <c r="C361" s="659" t="s">
        <v>433</v>
      </c>
      <c r="D361" s="535">
        <f>D362</f>
        <v>825813</v>
      </c>
      <c r="E361" s="181">
        <f>E362</f>
        <v>-22111</v>
      </c>
      <c r="F361" s="25">
        <f>F362</f>
        <v>803702</v>
      </c>
    </row>
    <row r="362" spans="1:6" ht="12">
      <c r="A362" s="76"/>
      <c r="B362" s="75"/>
      <c r="C362" s="671" t="s">
        <v>93</v>
      </c>
      <c r="D362" s="539">
        <f>SUM(D363:D364)</f>
        <v>825813</v>
      </c>
      <c r="E362" s="540">
        <f>SUM(E363:E364)</f>
        <v>-22111</v>
      </c>
      <c r="F362" s="653">
        <f>SUM(F363:F364)</f>
        <v>803702</v>
      </c>
    </row>
    <row r="363" spans="1:6" ht="12">
      <c r="A363" s="76"/>
      <c r="B363" s="75"/>
      <c r="C363" s="238" t="s">
        <v>101</v>
      </c>
      <c r="D363" s="535">
        <f>'WYDATKI ukł.wyk.'!E529+'WYDATKI ukł.wyk.'!E532+'WYDATKI ukł.wyk.'!E536+'WYDATKI ukł.wyk.'!E537+'WYDATKI ukł.wyk.'!E530+'WYDATKI ukł.wyk.'!E531+'WYDATKI ukł.wyk.'!E533+'WYDATKI ukł.wyk.'!E534+'WYDATKI ukł.wyk.'!E535</f>
        <v>36038</v>
      </c>
      <c r="E363" s="535">
        <f>'WYDATKI ukł.wyk.'!F529+'WYDATKI ukł.wyk.'!F532+'WYDATKI ukł.wyk.'!F536+'WYDATKI ukł.wyk.'!F537+'WYDATKI ukł.wyk.'!F530+'WYDATKI ukł.wyk.'!F531+'WYDATKI ukł.wyk.'!F533+'WYDATKI ukł.wyk.'!F534+'WYDATKI ukł.wyk.'!F535</f>
        <v>4794</v>
      </c>
      <c r="F363" s="647">
        <f>'WYDATKI ukł.wyk.'!G529+'WYDATKI ukł.wyk.'!G532+'WYDATKI ukł.wyk.'!G536+'WYDATKI ukł.wyk.'!G537+'WYDATKI ukł.wyk.'!G530+'WYDATKI ukł.wyk.'!G531+'WYDATKI ukł.wyk.'!G533+'WYDATKI ukł.wyk.'!G534+'WYDATKI ukł.wyk.'!G535</f>
        <v>40832</v>
      </c>
    </row>
    <row r="364" spans="1:6" ht="12">
      <c r="A364" s="76"/>
      <c r="B364" s="75"/>
      <c r="C364" s="238" t="s">
        <v>94</v>
      </c>
      <c r="D364" s="535">
        <f>SUM('WYDATKI ukł.wyk.'!E526:E528)+'WYDATKI ukł.wyk.'!E541+'WYDATKI ukł.wyk.'!E538+'WYDATKI ukł.wyk.'!E542+'WYDATKI ukł.wyk.'!E543+'WYDATKI ukł.wyk.'!E539+'WYDATKI ukł.wyk.'!E540</f>
        <v>789775</v>
      </c>
      <c r="E364" s="535">
        <f>SUM('WYDATKI ukł.wyk.'!F526:F528)+'WYDATKI ukł.wyk.'!F541+'WYDATKI ukł.wyk.'!F538+'WYDATKI ukł.wyk.'!F542+'WYDATKI ukł.wyk.'!F543+'WYDATKI ukł.wyk.'!F539+'WYDATKI ukł.wyk.'!F540</f>
        <v>-26905</v>
      </c>
      <c r="F364" s="860">
        <f>SUM('WYDATKI ukł.wyk.'!G526:G528)+'WYDATKI ukł.wyk.'!G541+'WYDATKI ukł.wyk.'!G538+'WYDATKI ukł.wyk.'!G542+'WYDATKI ukł.wyk.'!G543+'WYDATKI ukł.wyk.'!G539+'WYDATKI ukł.wyk.'!G540</f>
        <v>762870</v>
      </c>
    </row>
    <row r="365" spans="1:6" ht="12">
      <c r="A365" s="76"/>
      <c r="B365" s="75"/>
      <c r="C365" s="238"/>
      <c r="D365" s="535"/>
      <c r="E365" s="181"/>
      <c r="F365" s="25"/>
    </row>
    <row r="366" spans="1:6" ht="12">
      <c r="A366" s="76"/>
      <c r="B366" s="77">
        <v>85420</v>
      </c>
      <c r="C366" s="661" t="s">
        <v>434</v>
      </c>
      <c r="D366" s="535">
        <f>D367+D370</f>
        <v>1894369</v>
      </c>
      <c r="E366" s="181">
        <f>E367+E370</f>
        <v>53853</v>
      </c>
      <c r="F366" s="25">
        <f>F367+F370</f>
        <v>1948222</v>
      </c>
    </row>
    <row r="367" spans="1:6" ht="12">
      <c r="A367" s="76"/>
      <c r="B367" s="75"/>
      <c r="C367" s="655" t="s">
        <v>93</v>
      </c>
      <c r="D367" s="539">
        <f>SUM(D368:D369)</f>
        <v>1894369</v>
      </c>
      <c r="E367" s="540">
        <f>SUM(E368:E369)</f>
        <v>53853</v>
      </c>
      <c r="F367" s="653">
        <f>SUM(F368:F369)</f>
        <v>1948222</v>
      </c>
    </row>
    <row r="368" spans="1:6" ht="12">
      <c r="A368" s="76"/>
      <c r="B368" s="75"/>
      <c r="C368" s="238" t="s">
        <v>101</v>
      </c>
      <c r="D368" s="535">
        <f>SUM('WYDATKI ukł.wyk.'!E548:E552)</f>
        <v>1181385</v>
      </c>
      <c r="E368" s="181">
        <f>SUM('WYDATKI ukł.wyk.'!F548:F552)</f>
        <v>22920</v>
      </c>
      <c r="F368" s="25">
        <f>SUM('WYDATKI ukł.wyk.'!G548:G552)</f>
        <v>1204305</v>
      </c>
    </row>
    <row r="369" spans="1:6" ht="12">
      <c r="A369" s="76"/>
      <c r="B369" s="75"/>
      <c r="C369" s="238" t="s">
        <v>94</v>
      </c>
      <c r="D369" s="535">
        <f>SUM('WYDATKI ukł.wyk.'!E553:E561)+'WYDATKI ukł.wyk.'!E546+'WYDATKI ukł.wyk.'!E547</f>
        <v>712984</v>
      </c>
      <c r="E369" s="181">
        <f>SUM('WYDATKI ukł.wyk.'!F553:F561)+'WYDATKI ukł.wyk.'!F546+'WYDATKI ukł.wyk.'!F547</f>
        <v>30933</v>
      </c>
      <c r="F369" s="537">
        <f>SUM('WYDATKI ukł.wyk.'!G553:G561)+'WYDATKI ukł.wyk.'!G546+'WYDATKI ukł.wyk.'!G547</f>
        <v>743917</v>
      </c>
    </row>
    <row r="370" spans="1:6" ht="12">
      <c r="A370" s="76"/>
      <c r="B370" s="75"/>
      <c r="C370" s="655" t="s">
        <v>103</v>
      </c>
      <c r="D370" s="543">
        <f>'WYDATKI ukł.wyk.'!E562</f>
        <v>0</v>
      </c>
      <c r="E370" s="543">
        <f>'WYDATKI ukł.wyk.'!F562</f>
        <v>0</v>
      </c>
      <c r="F370" s="676">
        <f>'WYDATKI ukł.wyk.'!G562</f>
        <v>0</v>
      </c>
    </row>
    <row r="371" spans="1:6" ht="12">
      <c r="A371" s="76"/>
      <c r="B371" s="75"/>
      <c r="C371" s="238"/>
      <c r="D371" s="535"/>
      <c r="E371" s="181"/>
      <c r="F371" s="537"/>
    </row>
    <row r="372" spans="1:6" ht="12">
      <c r="A372" s="76"/>
      <c r="B372" s="77">
        <v>85446</v>
      </c>
      <c r="C372" s="661" t="s">
        <v>435</v>
      </c>
      <c r="D372" s="543">
        <f aca="true" t="shared" si="27" ref="D372:F373">D373</f>
        <v>3793</v>
      </c>
      <c r="E372" s="182">
        <f t="shared" si="27"/>
        <v>0</v>
      </c>
      <c r="F372" s="676">
        <f t="shared" si="27"/>
        <v>3793</v>
      </c>
    </row>
    <row r="373" spans="1:6" ht="12">
      <c r="A373" s="76"/>
      <c r="B373" s="75"/>
      <c r="C373" s="655" t="s">
        <v>93</v>
      </c>
      <c r="D373" s="539">
        <f t="shared" si="27"/>
        <v>3793</v>
      </c>
      <c r="E373" s="540">
        <f t="shared" si="27"/>
        <v>0</v>
      </c>
      <c r="F373" s="653">
        <f t="shared" si="27"/>
        <v>3793</v>
      </c>
    </row>
    <row r="374" spans="1:6" ht="12">
      <c r="A374" s="76"/>
      <c r="B374" s="75"/>
      <c r="C374" s="238" t="s">
        <v>94</v>
      </c>
      <c r="D374" s="535">
        <f>'WYDATKI ukł.wyk.'!E565+'WYDATKI ukł.wyk.'!E566</f>
        <v>3793</v>
      </c>
      <c r="E374" s="181">
        <f>'WYDATKI ukł.wyk.'!F565+'WYDATKI ukł.wyk.'!F566</f>
        <v>0</v>
      </c>
      <c r="F374" s="25">
        <f>'WYDATKI ukł.wyk.'!G565+'WYDATKI ukł.wyk.'!G566</f>
        <v>3793</v>
      </c>
    </row>
    <row r="375" spans="1:6" ht="12">
      <c r="A375" s="76"/>
      <c r="B375" s="75"/>
      <c r="C375" s="238"/>
      <c r="D375" s="535"/>
      <c r="E375" s="181"/>
      <c r="F375" s="25"/>
    </row>
    <row r="376" spans="1:6" ht="12">
      <c r="A376" s="76"/>
      <c r="B376" s="77">
        <v>85495</v>
      </c>
      <c r="C376" s="661" t="s">
        <v>133</v>
      </c>
      <c r="D376" s="535">
        <f aca="true" t="shared" si="28" ref="D376:F377">D377</f>
        <v>6619</v>
      </c>
      <c r="E376" s="181">
        <f t="shared" si="28"/>
        <v>0</v>
      </c>
      <c r="F376" s="25">
        <f t="shared" si="28"/>
        <v>6619</v>
      </c>
    </row>
    <row r="377" spans="1:6" ht="12">
      <c r="A377" s="76"/>
      <c r="B377" s="233"/>
      <c r="C377" s="671" t="s">
        <v>93</v>
      </c>
      <c r="D377" s="539">
        <f t="shared" si="28"/>
        <v>6619</v>
      </c>
      <c r="E377" s="540">
        <f t="shared" si="28"/>
        <v>0</v>
      </c>
      <c r="F377" s="653">
        <f t="shared" si="28"/>
        <v>6619</v>
      </c>
    </row>
    <row r="378" spans="1:6" ht="12">
      <c r="A378" s="76"/>
      <c r="B378" s="75"/>
      <c r="C378" s="238" t="s">
        <v>94</v>
      </c>
      <c r="D378" s="535">
        <f>SUM('WYDATKI ukł.wyk.'!E569)</f>
        <v>6619</v>
      </c>
      <c r="E378" s="181">
        <f>SUM('WYDATKI ukł.wyk.'!F569)</f>
        <v>0</v>
      </c>
      <c r="F378" s="25">
        <f>SUM('WYDATKI ukł.wyk.'!G569)</f>
        <v>6619</v>
      </c>
    </row>
    <row r="379" spans="1:6" ht="12">
      <c r="A379" s="76"/>
      <c r="B379" s="75"/>
      <c r="C379" s="238"/>
      <c r="D379" s="535"/>
      <c r="E379" s="181"/>
      <c r="F379" s="25"/>
    </row>
    <row r="380" spans="1:6" ht="12">
      <c r="A380" s="712" t="s">
        <v>168</v>
      </c>
      <c r="B380" s="699"/>
      <c r="C380" s="658" t="s">
        <v>169</v>
      </c>
      <c r="D380" s="535"/>
      <c r="E380" s="181"/>
      <c r="F380" s="25"/>
    </row>
    <row r="381" spans="1:6" ht="12.75" thickBot="1">
      <c r="A381" s="701"/>
      <c r="B381" s="695"/>
      <c r="C381" s="657" t="s">
        <v>170</v>
      </c>
      <c r="D381" s="642">
        <f>D382</f>
        <v>55000</v>
      </c>
      <c r="E381" s="183">
        <f>E382</f>
        <v>838</v>
      </c>
      <c r="F381" s="26">
        <f>F382</f>
        <v>55838</v>
      </c>
    </row>
    <row r="382" spans="1:6" ht="12">
      <c r="A382" s="702"/>
      <c r="B382" s="699"/>
      <c r="C382" s="661" t="s">
        <v>93</v>
      </c>
      <c r="D382" s="674">
        <f>SUM(D383:D384)</f>
        <v>55000</v>
      </c>
      <c r="E382" s="218">
        <f>SUM(E383:E384)</f>
        <v>838</v>
      </c>
      <c r="F382" s="215">
        <f>SUM(F383:F384)</f>
        <v>55838</v>
      </c>
    </row>
    <row r="383" spans="1:6" ht="12">
      <c r="A383" s="702"/>
      <c r="B383" s="699"/>
      <c r="C383" s="610" t="s">
        <v>102</v>
      </c>
      <c r="D383" s="535">
        <f>D388+D393</f>
        <v>39000</v>
      </c>
      <c r="E383" s="181">
        <f>E388+E393</f>
        <v>0</v>
      </c>
      <c r="F383" s="25">
        <f>F388+F393</f>
        <v>39000</v>
      </c>
    </row>
    <row r="384" spans="1:6" ht="12">
      <c r="A384" s="702"/>
      <c r="B384" s="699"/>
      <c r="C384" s="238" t="s">
        <v>94</v>
      </c>
      <c r="D384" s="535">
        <f>D389</f>
        <v>16000</v>
      </c>
      <c r="E384" s="181">
        <f>E389</f>
        <v>838</v>
      </c>
      <c r="F384" s="25">
        <f>F389</f>
        <v>16838</v>
      </c>
    </row>
    <row r="385" spans="1:6" ht="12">
      <c r="A385" s="702"/>
      <c r="B385" s="699"/>
      <c r="C385" s="238"/>
      <c r="D385" s="535"/>
      <c r="E385" s="181"/>
      <c r="F385" s="25"/>
    </row>
    <row r="386" spans="1:6" ht="12">
      <c r="A386" s="702"/>
      <c r="B386" s="700" t="s">
        <v>171</v>
      </c>
      <c r="C386" s="661" t="s">
        <v>172</v>
      </c>
      <c r="D386" s="535">
        <f>D387</f>
        <v>20000</v>
      </c>
      <c r="E386" s="181">
        <f>E387</f>
        <v>838</v>
      </c>
      <c r="F386" s="25">
        <f>F387</f>
        <v>20838</v>
      </c>
    </row>
    <row r="387" spans="1:6" ht="12">
      <c r="A387" s="702"/>
      <c r="B387" s="699"/>
      <c r="C387" s="661" t="s">
        <v>93</v>
      </c>
      <c r="D387" s="539">
        <f>SUM(D388:D389)</f>
        <v>20000</v>
      </c>
      <c r="E387" s="540">
        <f>SUM(E388:E389)</f>
        <v>838</v>
      </c>
      <c r="F387" s="653">
        <f>SUM(F388:F389)</f>
        <v>20838</v>
      </c>
    </row>
    <row r="388" spans="1:6" ht="12">
      <c r="A388" s="702"/>
      <c r="B388" s="699"/>
      <c r="C388" s="610" t="s">
        <v>102</v>
      </c>
      <c r="D388" s="535">
        <f>'WYDATKI ukł.wyk.'!E573</f>
        <v>4000</v>
      </c>
      <c r="E388" s="181">
        <f>'WYDATKI ukł.wyk.'!F573</f>
        <v>0</v>
      </c>
      <c r="F388" s="25">
        <f>'WYDATKI ukł.wyk.'!G573</f>
        <v>4000</v>
      </c>
    </row>
    <row r="389" spans="1:6" ht="12">
      <c r="A389" s="702"/>
      <c r="B389" s="699"/>
      <c r="C389" s="238" t="s">
        <v>94</v>
      </c>
      <c r="D389" s="535">
        <f>SUM('WYDATKI ukł.wyk.'!E575:E578)</f>
        <v>16000</v>
      </c>
      <c r="E389" s="181">
        <f>SUM('WYDATKI ukł.wyk.'!F575:F578)</f>
        <v>838</v>
      </c>
      <c r="F389" s="25">
        <f>SUM('WYDATKI ukł.wyk.'!G575:G578)</f>
        <v>16838</v>
      </c>
    </row>
    <row r="390" spans="1:6" ht="12">
      <c r="A390" s="702"/>
      <c r="B390" s="699"/>
      <c r="C390" s="301"/>
      <c r="D390" s="535"/>
      <c r="E390" s="181"/>
      <c r="F390" s="25"/>
    </row>
    <row r="391" spans="1:6" ht="12">
      <c r="A391" s="702"/>
      <c r="B391" s="700" t="s">
        <v>173</v>
      </c>
      <c r="C391" s="450" t="s">
        <v>174</v>
      </c>
      <c r="D391" s="535">
        <f aca="true" t="shared" si="29" ref="D391:F392">D392</f>
        <v>35000</v>
      </c>
      <c r="E391" s="181">
        <f t="shared" si="29"/>
        <v>0</v>
      </c>
      <c r="F391" s="25">
        <f t="shared" si="29"/>
        <v>35000</v>
      </c>
    </row>
    <row r="392" spans="1:6" ht="12">
      <c r="A392" s="702"/>
      <c r="B392" s="699"/>
      <c r="C392" s="450" t="s">
        <v>93</v>
      </c>
      <c r="D392" s="539">
        <f t="shared" si="29"/>
        <v>35000</v>
      </c>
      <c r="E392" s="540">
        <f t="shared" si="29"/>
        <v>0</v>
      </c>
      <c r="F392" s="653">
        <f t="shared" si="29"/>
        <v>35000</v>
      </c>
    </row>
    <row r="393" spans="1:6" ht="12">
      <c r="A393" s="702"/>
      <c r="B393" s="699"/>
      <c r="C393" s="204" t="s">
        <v>102</v>
      </c>
      <c r="D393" s="535">
        <f>'WYDATKI ukł.wyk.'!E581</f>
        <v>35000</v>
      </c>
      <c r="E393" s="181">
        <f>'WYDATKI ukł.wyk.'!F581</f>
        <v>0</v>
      </c>
      <c r="F393" s="25">
        <f>'WYDATKI ukł.wyk.'!G581</f>
        <v>35000</v>
      </c>
    </row>
    <row r="394" spans="1:6" ht="12">
      <c r="A394" s="702"/>
      <c r="B394" s="699"/>
      <c r="C394" s="301"/>
      <c r="D394" s="535"/>
      <c r="E394" s="181"/>
      <c r="F394" s="25"/>
    </row>
    <row r="395" spans="1:6" ht="12.75" thickBot="1">
      <c r="A395" s="701" t="s">
        <v>175</v>
      </c>
      <c r="B395" s="695"/>
      <c r="C395" s="401" t="s">
        <v>176</v>
      </c>
      <c r="D395" s="642">
        <f>D396</f>
        <v>94700</v>
      </c>
      <c r="E395" s="183">
        <f>E396</f>
        <v>-278</v>
      </c>
      <c r="F395" s="26">
        <f>F396</f>
        <v>94422</v>
      </c>
    </row>
    <row r="396" spans="1:6" ht="12">
      <c r="A396" s="702"/>
      <c r="B396" s="699"/>
      <c r="C396" s="450" t="s">
        <v>93</v>
      </c>
      <c r="D396" s="674">
        <f aca="true" t="shared" si="30" ref="D396:F398">D401</f>
        <v>94700</v>
      </c>
      <c r="E396" s="218">
        <f t="shared" si="30"/>
        <v>-278</v>
      </c>
      <c r="F396" s="215">
        <f t="shared" si="30"/>
        <v>94422</v>
      </c>
    </row>
    <row r="397" spans="1:6" ht="12">
      <c r="A397" s="702"/>
      <c r="B397" s="699"/>
      <c r="C397" s="204" t="s">
        <v>102</v>
      </c>
      <c r="D397" s="535">
        <f t="shared" si="30"/>
        <v>64000</v>
      </c>
      <c r="E397" s="181">
        <f t="shared" si="30"/>
        <v>0</v>
      </c>
      <c r="F397" s="25">
        <f t="shared" si="30"/>
        <v>64000</v>
      </c>
    </row>
    <row r="398" spans="1:6" ht="12">
      <c r="A398" s="702"/>
      <c r="B398" s="699"/>
      <c r="C398" s="301" t="s">
        <v>94</v>
      </c>
      <c r="D398" s="535">
        <f t="shared" si="30"/>
        <v>30700</v>
      </c>
      <c r="E398" s="181">
        <f t="shared" si="30"/>
        <v>-278</v>
      </c>
      <c r="F398" s="25">
        <f t="shared" si="30"/>
        <v>30422</v>
      </c>
    </row>
    <row r="399" spans="1:6" ht="12">
      <c r="A399" s="702"/>
      <c r="B399" s="699"/>
      <c r="C399" s="301"/>
      <c r="D399" s="535"/>
      <c r="E399" s="181"/>
      <c r="F399" s="25"/>
    </row>
    <row r="400" spans="1:6" ht="12">
      <c r="A400" s="702"/>
      <c r="B400" s="700" t="s">
        <v>177</v>
      </c>
      <c r="C400" s="450" t="s">
        <v>700</v>
      </c>
      <c r="D400" s="535">
        <f>D401</f>
        <v>94700</v>
      </c>
      <c r="E400" s="181">
        <f>E401</f>
        <v>-278</v>
      </c>
      <c r="F400" s="25">
        <f>F401</f>
        <v>94422</v>
      </c>
    </row>
    <row r="401" spans="1:6" ht="12">
      <c r="A401" s="702"/>
      <c r="B401" s="699"/>
      <c r="C401" s="450" t="s">
        <v>93</v>
      </c>
      <c r="D401" s="539">
        <f>SUM(D402:D403)</f>
        <v>94700</v>
      </c>
      <c r="E401" s="540">
        <f>SUM(E402:E403)</f>
        <v>-278</v>
      </c>
      <c r="F401" s="653">
        <f>SUM(F402:F403)</f>
        <v>94422</v>
      </c>
    </row>
    <row r="402" spans="1:6" ht="12">
      <c r="A402" s="702"/>
      <c r="B402" s="699"/>
      <c r="C402" s="204" t="s">
        <v>102</v>
      </c>
      <c r="D402" s="535">
        <f>'WYDATKI ukł.wyk.'!E585</f>
        <v>64000</v>
      </c>
      <c r="E402" s="181">
        <f>'WYDATKI ukł.wyk.'!F585</f>
        <v>0</v>
      </c>
      <c r="F402" s="25">
        <f>'WYDATKI ukł.wyk.'!G585</f>
        <v>64000</v>
      </c>
    </row>
    <row r="403" spans="1:6" ht="12">
      <c r="A403" s="702"/>
      <c r="B403" s="699"/>
      <c r="C403" s="301" t="s">
        <v>94</v>
      </c>
      <c r="D403" s="535">
        <f>SUM('WYDATKI ukł.wyk.'!E587:E589)</f>
        <v>30700</v>
      </c>
      <c r="E403" s="181">
        <f>SUM('WYDATKI ukł.wyk.'!F587:F589)</f>
        <v>-278</v>
      </c>
      <c r="F403" s="25">
        <f>SUM('WYDATKI ukł.wyk.'!G587:G589)</f>
        <v>30422</v>
      </c>
    </row>
    <row r="404" spans="1:6" ht="12.75" thickBot="1">
      <c r="A404" s="713"/>
      <c r="B404" s="714"/>
      <c r="C404" s="612"/>
      <c r="D404" s="135"/>
      <c r="E404" s="94"/>
      <c r="F404" s="98"/>
    </row>
    <row r="405" spans="1:6" ht="9.75" customHeight="1">
      <c r="A405" s="838"/>
      <c r="B405" s="832"/>
      <c r="C405" s="941" t="s">
        <v>178</v>
      </c>
      <c r="D405" s="933">
        <f>D14+D27+D39+D56+D66+D74+D94+D139+D154+D168+D176+D228+D309+D335+D381+D395+D257+D220+D127</f>
        <v>40352246</v>
      </c>
      <c r="E405" s="933">
        <f>E14+E27+E39+E56+E66+E74+E94+E139+E154+E168+E176+E228+E309+E335+E381+E395+E257+E220+E127</f>
        <v>-1428139</v>
      </c>
      <c r="F405" s="935">
        <f>F14+F27+F39+F56+F66+F74+F94+F139+F154+F168+F176+F228+F309+F335+F381+F395+F257+F220+F127</f>
        <v>38924107</v>
      </c>
    </row>
    <row r="406" spans="1:8" ht="12.75" customHeight="1" thickBot="1">
      <c r="A406" s="839"/>
      <c r="B406" s="833"/>
      <c r="C406" s="942"/>
      <c r="D406" s="934"/>
      <c r="E406" s="934"/>
      <c r="F406" s="936"/>
      <c r="H406" s="22">
        <f>F407+F413</f>
        <v>38924107</v>
      </c>
    </row>
    <row r="407" spans="1:8" ht="13.5" thickBot="1">
      <c r="A407" s="839"/>
      <c r="B407" s="833"/>
      <c r="C407" s="684" t="s">
        <v>93</v>
      </c>
      <c r="D407" s="686">
        <f>D15+D28+D40+D57+D67+D75+D95+D140+D155+D169+D177+D229+D310+D336+D382+D396+D258+D221+D128</f>
        <v>37419288</v>
      </c>
      <c r="E407" s="686">
        <f>E15+E28+E40+E57+E67+E75+E95+E140+E155+E169+E177+E229+E310+E336+E382+E396+E258+E221+E128</f>
        <v>-1342318</v>
      </c>
      <c r="F407" s="687">
        <f>F15+F28+F40+F57+F67+F75+F95+F140+F155+F169+F177+F229+F310+F336+F382+F396+F258+F221+F128</f>
        <v>36076970</v>
      </c>
      <c r="H407" s="22">
        <f>SUM(H408:H412)</f>
        <v>36076970</v>
      </c>
    </row>
    <row r="408" spans="1:8" ht="12.75">
      <c r="A408" s="839"/>
      <c r="B408" s="833"/>
      <c r="C408" s="688" t="s">
        <v>101</v>
      </c>
      <c r="D408" s="689">
        <f>D41+D76+D96+D178+D311+D337+D259+D230+D129+D141</f>
        <v>17103875</v>
      </c>
      <c r="E408" s="689">
        <f>E41+E76+E96+E178+E311+E337+E259+E230+E129+E141</f>
        <v>13828</v>
      </c>
      <c r="F408" s="859">
        <f>F41+F76+F96+F178+F311+F337+F259+F230+F129+F141</f>
        <v>17117703</v>
      </c>
      <c r="H408" s="22">
        <f>SUM(D408:E408)</f>
        <v>17117703</v>
      </c>
    </row>
    <row r="409" spans="1:8" ht="12.75">
      <c r="A409" s="839"/>
      <c r="B409" s="833"/>
      <c r="C409" s="688" t="s">
        <v>102</v>
      </c>
      <c r="D409" s="689">
        <f>D58+D338+D383+D397+D42+D260+D179+D232+D142+D313</f>
        <v>1672881</v>
      </c>
      <c r="E409" s="689">
        <f>E58+E338+E383+E397+E42+E260+E179+E232+E142+E313</f>
        <v>-238200</v>
      </c>
      <c r="F409" s="690">
        <f>F58+F338+F383+F397+F42+F260+F179+F232+F142+F313</f>
        <v>1434681</v>
      </c>
      <c r="H409" s="22">
        <f>SUM(D409:E409)</f>
        <v>1434681</v>
      </c>
    </row>
    <row r="410" spans="1:8" ht="12.75">
      <c r="A410" s="839"/>
      <c r="B410" s="833"/>
      <c r="C410" s="691" t="s">
        <v>140</v>
      </c>
      <c r="D410" s="689">
        <f>D161</f>
        <v>630000</v>
      </c>
      <c r="E410" s="179">
        <f>E161</f>
        <v>-30000</v>
      </c>
      <c r="F410" s="690">
        <f>F161</f>
        <v>600000</v>
      </c>
      <c r="H410" s="22">
        <f>SUM(D410:E410)</f>
        <v>600000</v>
      </c>
    </row>
    <row r="411" spans="1:8" ht="12.75">
      <c r="A411" s="839"/>
      <c r="B411" s="833"/>
      <c r="C411" s="691" t="s">
        <v>598</v>
      </c>
      <c r="D411" s="689">
        <f>D166</f>
        <v>144444</v>
      </c>
      <c r="E411" s="179">
        <f>E166</f>
        <v>-144444</v>
      </c>
      <c r="F411" s="690">
        <f>F166</f>
        <v>0</v>
      </c>
      <c r="H411" s="22">
        <f>SUM(D411:E411)</f>
        <v>0</v>
      </c>
    </row>
    <row r="412" spans="1:8" ht="13.5" thickBot="1">
      <c r="A412" s="839"/>
      <c r="B412" s="833"/>
      <c r="C412" s="688" t="s">
        <v>94</v>
      </c>
      <c r="D412" s="692">
        <f>D16+D29+D43+D59+D68+D77+D97+D143+D170+D180+D231+D312+D339+D384+D398+D261+D222+D130</f>
        <v>17868088</v>
      </c>
      <c r="E412" s="692">
        <f>E16+E29+E43+E59+E68+E77+E97+E143+E170+E180+E231+E312+E339+E384+E398+E261+E222+E130</f>
        <v>-943502</v>
      </c>
      <c r="F412" s="828">
        <f>F16+F29+F43+F59+F68+F77+F97+F143+F170+F180+F231+F312+F339+F384+F398+F261+F222+F130</f>
        <v>16924586</v>
      </c>
      <c r="H412" s="22">
        <f>SUM(D412:E412)</f>
        <v>16924586</v>
      </c>
    </row>
    <row r="413" spans="1:6" ht="13.5" thickBot="1">
      <c r="A413" s="840"/>
      <c r="B413" s="841"/>
      <c r="C413" s="693" t="s">
        <v>103</v>
      </c>
      <c r="D413" s="685">
        <f>D262+D78+D340+D98+D181+D44</f>
        <v>2932958</v>
      </c>
      <c r="E413" s="685">
        <f>E262+E78+E340+E98+E181+E44</f>
        <v>-85821</v>
      </c>
      <c r="F413" s="687">
        <f>F262+F78+F340+F98+F181+F44</f>
        <v>2847137</v>
      </c>
    </row>
    <row r="414" spans="1:4" ht="12.75">
      <c r="A414" s="34"/>
      <c r="B414" s="34"/>
      <c r="C414" s="34"/>
      <c r="D414" s="34"/>
    </row>
    <row r="415" spans="1:4" ht="12.75">
      <c r="A415" s="34"/>
      <c r="B415" s="34"/>
      <c r="C415" s="34"/>
      <c r="D415" s="34"/>
    </row>
    <row r="416" spans="1:4" ht="12.75">
      <c r="A416" s="34"/>
      <c r="B416" s="34"/>
      <c r="C416" s="34"/>
      <c r="D416" s="34"/>
    </row>
    <row r="417" spans="1:4" ht="12.75">
      <c r="A417" s="34"/>
      <c r="B417" s="34"/>
      <c r="C417" s="34"/>
      <c r="D417" s="176"/>
    </row>
    <row r="418" spans="1:4" ht="12.75">
      <c r="A418" s="34"/>
      <c r="B418" s="34"/>
      <c r="C418" s="34"/>
      <c r="D418" s="176"/>
    </row>
    <row r="419" spans="1:4" ht="12.75">
      <c r="A419" s="34"/>
      <c r="B419" s="34"/>
      <c r="C419" s="34"/>
      <c r="D419" s="176"/>
    </row>
    <row r="420" spans="1:4" ht="12.75">
      <c r="A420" s="34"/>
      <c r="B420" s="34"/>
      <c r="C420" s="34"/>
      <c r="D420" s="176"/>
    </row>
    <row r="421" spans="1:4" ht="12.75">
      <c r="A421" s="34"/>
      <c r="B421" s="34"/>
      <c r="C421" s="34"/>
      <c r="D421" s="34"/>
    </row>
    <row r="422" spans="1:4" ht="12.75">
      <c r="A422" s="34"/>
      <c r="B422" s="34"/>
      <c r="C422" s="176"/>
      <c r="D422" s="34"/>
    </row>
    <row r="423" spans="1:4" ht="12.75">
      <c r="A423" s="34"/>
      <c r="B423" s="34"/>
      <c r="C423" s="34"/>
      <c r="D423" s="34"/>
    </row>
    <row r="424" spans="1:4" ht="12.75">
      <c r="A424" s="34"/>
      <c r="B424" s="34"/>
      <c r="C424" s="34"/>
      <c r="D424" s="34"/>
    </row>
    <row r="425" spans="1:4" ht="12.75">
      <c r="A425" s="34"/>
      <c r="B425" s="34"/>
      <c r="C425" s="34"/>
      <c r="D425" s="34"/>
    </row>
    <row r="426" spans="1:4" ht="12.75">
      <c r="A426" s="34"/>
      <c r="B426" s="34"/>
      <c r="C426" s="34"/>
      <c r="D426" s="34"/>
    </row>
    <row r="427" spans="1:4" ht="12.75">
      <c r="A427" s="34"/>
      <c r="B427" s="34"/>
      <c r="C427" s="34"/>
      <c r="D427" s="34"/>
    </row>
    <row r="428" spans="1:4" ht="12.75">
      <c r="A428" s="34"/>
      <c r="B428" s="34"/>
      <c r="C428" s="34"/>
      <c r="D428" s="34"/>
    </row>
    <row r="429" spans="1:4" ht="12.75">
      <c r="A429" s="34"/>
      <c r="B429" s="34"/>
      <c r="C429" s="34"/>
      <c r="D429" s="34"/>
    </row>
    <row r="430" spans="1:4" ht="12.75">
      <c r="A430" s="34"/>
      <c r="B430" s="34"/>
      <c r="C430" s="34"/>
      <c r="D430" s="34"/>
    </row>
    <row r="431" spans="1:4" ht="12.75">
      <c r="A431" s="34"/>
      <c r="B431" s="34"/>
      <c r="C431" s="34"/>
      <c r="D431" s="34"/>
    </row>
    <row r="432" spans="1:4" ht="12.75">
      <c r="A432" s="34"/>
      <c r="B432" s="34"/>
      <c r="C432" s="34"/>
      <c r="D432" s="34"/>
    </row>
    <row r="433" spans="1:4" ht="12.75">
      <c r="A433" s="34"/>
      <c r="B433" s="34"/>
      <c r="C433" s="34"/>
      <c r="D433" s="34"/>
    </row>
    <row r="434" spans="1:4" ht="12.75">
      <c r="A434" s="34"/>
      <c r="B434" s="34"/>
      <c r="C434" s="34"/>
      <c r="D434" s="34"/>
    </row>
    <row r="435" spans="1:4" ht="12.75">
      <c r="A435" s="34"/>
      <c r="B435" s="34"/>
      <c r="C435" s="34"/>
      <c r="D435" s="34"/>
    </row>
    <row r="436" spans="1:4" ht="12.75">
      <c r="A436" s="34"/>
      <c r="B436" s="34"/>
      <c r="C436" s="34"/>
      <c r="D436" s="34"/>
    </row>
    <row r="437" spans="1:4" ht="12.75">
      <c r="A437" s="34"/>
      <c r="B437" s="34"/>
      <c r="C437" s="34"/>
      <c r="D437" s="34"/>
    </row>
    <row r="438" spans="1:4" ht="12.75">
      <c r="A438" s="34"/>
      <c r="B438" s="34"/>
      <c r="C438" s="34"/>
      <c r="D438" s="34"/>
    </row>
    <row r="439" spans="1:4" ht="12.75">
      <c r="A439" s="34"/>
      <c r="B439" s="34"/>
      <c r="C439" s="34"/>
      <c r="D439" s="34"/>
    </row>
    <row r="440" spans="1:4" ht="12.75">
      <c r="A440" s="34"/>
      <c r="B440" s="34"/>
      <c r="C440" s="34"/>
      <c r="D440" s="34"/>
    </row>
    <row r="441" spans="1:4" ht="12.75">
      <c r="A441" s="34"/>
      <c r="B441" s="34"/>
      <c r="C441" s="34"/>
      <c r="D441" s="34"/>
    </row>
    <row r="442" spans="1:4" ht="12.75">
      <c r="A442" s="34"/>
      <c r="B442" s="34"/>
      <c r="C442" s="34"/>
      <c r="D442" s="34"/>
    </row>
    <row r="443" spans="1:4" ht="12.75">
      <c r="A443" s="34"/>
      <c r="B443" s="34"/>
      <c r="C443" s="34"/>
      <c r="D443" s="34"/>
    </row>
    <row r="444" spans="1:4" ht="12.75">
      <c r="A444" s="34"/>
      <c r="B444" s="34"/>
      <c r="C444" s="34"/>
      <c r="D444" s="34"/>
    </row>
    <row r="445" spans="1:4" ht="12.75">
      <c r="A445" s="34"/>
      <c r="B445" s="34"/>
      <c r="C445" s="34"/>
      <c r="D445" s="34"/>
    </row>
    <row r="446" spans="1:4" ht="12.75">
      <c r="A446" s="34"/>
      <c r="B446" s="34"/>
      <c r="C446" s="34"/>
      <c r="D446" s="34"/>
    </row>
    <row r="447" spans="1:4" ht="12.75">
      <c r="A447" s="34"/>
      <c r="B447" s="34"/>
      <c r="C447" s="34"/>
      <c r="D447" s="34"/>
    </row>
    <row r="448" spans="1:4" ht="12.75">
      <c r="A448" s="34"/>
      <c r="B448" s="34"/>
      <c r="C448" s="34"/>
      <c r="D448" s="34"/>
    </row>
    <row r="449" spans="1:4" ht="12.75">
      <c r="A449" s="34"/>
      <c r="B449" s="34"/>
      <c r="C449" s="34"/>
      <c r="D449" s="34"/>
    </row>
    <row r="450" spans="1:4" ht="12.75">
      <c r="A450" s="34"/>
      <c r="B450" s="34"/>
      <c r="C450" s="34"/>
      <c r="D450" s="34"/>
    </row>
    <row r="451" spans="1:4" ht="12.75">
      <c r="A451" s="34"/>
      <c r="B451" s="34"/>
      <c r="C451" s="34"/>
      <c r="D451" s="34"/>
    </row>
    <row r="452" spans="1:4" ht="12.75">
      <c r="A452" s="34"/>
      <c r="B452" s="34"/>
      <c r="C452" s="34"/>
      <c r="D452" s="34"/>
    </row>
    <row r="453" spans="1:4" ht="12.75">
      <c r="A453" s="34"/>
      <c r="B453" s="34"/>
      <c r="C453" s="34"/>
      <c r="D453" s="34"/>
    </row>
    <row r="454" spans="1:4" ht="12.75">
      <c r="A454" s="34"/>
      <c r="B454" s="34"/>
      <c r="C454" s="34"/>
      <c r="D454" s="34"/>
    </row>
    <row r="455" spans="1:4" ht="12.75">
      <c r="A455" s="34"/>
      <c r="B455" s="34"/>
      <c r="C455" s="34"/>
      <c r="D455" s="34"/>
    </row>
    <row r="456" spans="1:4" ht="12.75">
      <c r="A456" s="34"/>
      <c r="B456" s="34"/>
      <c r="C456" s="34"/>
      <c r="D456" s="34"/>
    </row>
    <row r="457" spans="1:4" ht="12.75">
      <c r="A457" s="34"/>
      <c r="B457" s="34"/>
      <c r="C457" s="34"/>
      <c r="D457" s="34"/>
    </row>
    <row r="458" spans="1:4" ht="12.75">
      <c r="A458" s="34"/>
      <c r="B458" s="34"/>
      <c r="C458" s="34"/>
      <c r="D458" s="34"/>
    </row>
    <row r="459" spans="1:4" ht="12.75">
      <c r="A459" s="34"/>
      <c r="B459" s="34"/>
      <c r="C459" s="34"/>
      <c r="D459" s="34"/>
    </row>
    <row r="460" spans="1:4" ht="12.75">
      <c r="A460" s="34"/>
      <c r="B460" s="34"/>
      <c r="C460" s="34"/>
      <c r="D460" s="34"/>
    </row>
    <row r="461" spans="1:4" ht="12.75">
      <c r="A461" s="34"/>
      <c r="B461" s="34"/>
      <c r="C461" s="34"/>
      <c r="D461" s="34"/>
    </row>
    <row r="462" spans="1:4" ht="12.75">
      <c r="A462" s="34"/>
      <c r="B462" s="34"/>
      <c r="C462" s="34"/>
      <c r="D462" s="34"/>
    </row>
    <row r="463" spans="1:4" ht="12.75">
      <c r="A463" s="34"/>
      <c r="B463" s="34"/>
      <c r="C463" s="34"/>
      <c r="D463" s="34"/>
    </row>
    <row r="464" spans="1:4" ht="12.75">
      <c r="A464" s="34"/>
      <c r="B464" s="34"/>
      <c r="C464" s="34"/>
      <c r="D464" s="34"/>
    </row>
    <row r="465" spans="1:4" ht="12.75">
      <c r="A465" s="34"/>
      <c r="B465" s="34"/>
      <c r="C465" s="34"/>
      <c r="D465" s="34"/>
    </row>
    <row r="466" spans="1:4" ht="12.75">
      <c r="A466" s="34"/>
      <c r="B466" s="34"/>
      <c r="C466" s="34"/>
      <c r="D466" s="34"/>
    </row>
    <row r="467" spans="1:4" ht="12.75">
      <c r="A467" s="34"/>
      <c r="B467" s="34"/>
      <c r="C467" s="34"/>
      <c r="D467" s="34"/>
    </row>
    <row r="468" spans="1:4" ht="12.75">
      <c r="A468" s="34"/>
      <c r="B468" s="34"/>
      <c r="C468" s="34"/>
      <c r="D468" s="34"/>
    </row>
    <row r="469" spans="1:4" ht="12.75">
      <c r="A469" s="34"/>
      <c r="B469" s="34"/>
      <c r="C469" s="34"/>
      <c r="D469" s="34"/>
    </row>
    <row r="470" spans="1:4" ht="12.75">
      <c r="A470" s="34"/>
      <c r="B470" s="34"/>
      <c r="C470" s="34"/>
      <c r="D470" s="34"/>
    </row>
    <row r="471" spans="1:4" ht="12.75">
      <c r="A471" s="34"/>
      <c r="B471" s="34"/>
      <c r="C471" s="34"/>
      <c r="D471" s="34"/>
    </row>
    <row r="472" spans="1:4" ht="12.75">
      <c r="A472" s="34"/>
      <c r="B472" s="34"/>
      <c r="C472" s="34"/>
      <c r="D472" s="34"/>
    </row>
    <row r="473" spans="1:4" ht="12.75">
      <c r="A473" s="34"/>
      <c r="B473" s="34"/>
      <c r="C473" s="34"/>
      <c r="D473" s="34"/>
    </row>
    <row r="474" spans="1:4" ht="12.75">
      <c r="A474" s="34"/>
      <c r="B474" s="34"/>
      <c r="C474" s="34"/>
      <c r="D474" s="34"/>
    </row>
    <row r="475" spans="1:4" ht="12.75">
      <c r="A475" s="34"/>
      <c r="B475" s="34"/>
      <c r="C475" s="34"/>
      <c r="D475" s="34"/>
    </row>
    <row r="476" spans="1:4" ht="12.75">
      <c r="A476" s="34"/>
      <c r="B476" s="34"/>
      <c r="C476" s="34"/>
      <c r="D476" s="34"/>
    </row>
    <row r="477" spans="1:4" ht="12.75">
      <c r="A477" s="34"/>
      <c r="B477" s="34"/>
      <c r="C477" s="34"/>
      <c r="D477" s="34"/>
    </row>
    <row r="478" spans="1:4" ht="12.75">
      <c r="A478" s="34"/>
      <c r="B478" s="34"/>
      <c r="C478" s="34"/>
      <c r="D478" s="34"/>
    </row>
    <row r="479" spans="1:4" ht="12.75">
      <c r="A479" s="34"/>
      <c r="B479" s="34"/>
      <c r="C479" s="34"/>
      <c r="D479" s="34"/>
    </row>
    <row r="480" spans="1:4" ht="12.75">
      <c r="A480" s="34"/>
      <c r="B480" s="34"/>
      <c r="C480" s="34"/>
      <c r="D480" s="34"/>
    </row>
    <row r="481" spans="1:4" ht="12.75">
      <c r="A481" s="34"/>
      <c r="B481" s="34"/>
      <c r="C481" s="34"/>
      <c r="D481" s="34"/>
    </row>
    <row r="482" spans="1:4" ht="12.75">
      <c r="A482" s="34"/>
      <c r="B482" s="34"/>
      <c r="C482" s="34"/>
      <c r="D482" s="34"/>
    </row>
    <row r="483" spans="1:4" ht="12.75">
      <c r="A483" s="34"/>
      <c r="B483" s="34"/>
      <c r="C483" s="34"/>
      <c r="D483" s="34"/>
    </row>
    <row r="484" spans="1:4" ht="12.75">
      <c r="A484" s="34"/>
      <c r="B484" s="34"/>
      <c r="C484" s="34"/>
      <c r="D484" s="34"/>
    </row>
    <row r="485" spans="1:4" ht="12.75">
      <c r="A485" s="34"/>
      <c r="B485" s="34"/>
      <c r="C485" s="34"/>
      <c r="D485" s="34"/>
    </row>
    <row r="486" spans="1:4" ht="12.75">
      <c r="A486" s="34"/>
      <c r="B486" s="34"/>
      <c r="C486" s="34"/>
      <c r="D486" s="34"/>
    </row>
    <row r="487" spans="1:4" ht="12.75">
      <c r="A487" s="34"/>
      <c r="B487" s="34"/>
      <c r="C487" s="34"/>
      <c r="D487" s="34"/>
    </row>
    <row r="488" spans="1:4" ht="12.75">
      <c r="A488" s="34"/>
      <c r="B488" s="34"/>
      <c r="C488" s="34"/>
      <c r="D488" s="34"/>
    </row>
    <row r="489" spans="1:4" ht="12.75">
      <c r="A489" s="34"/>
      <c r="B489" s="34"/>
      <c r="C489" s="34"/>
      <c r="D489" s="34"/>
    </row>
    <row r="490" spans="1:4" ht="12.75">
      <c r="A490" s="34"/>
      <c r="B490" s="34"/>
      <c r="C490" s="34"/>
      <c r="D490" s="34"/>
    </row>
    <row r="491" spans="1:4" ht="12.75">
      <c r="A491" s="34"/>
      <c r="B491" s="34"/>
      <c r="C491" s="34"/>
      <c r="D491" s="34"/>
    </row>
    <row r="492" spans="1:4" ht="12.75">
      <c r="A492" s="34"/>
      <c r="B492" s="34"/>
      <c r="C492" s="34"/>
      <c r="D492" s="34"/>
    </row>
    <row r="493" spans="1:4" ht="12.75">
      <c r="A493" s="34"/>
      <c r="B493" s="34"/>
      <c r="C493" s="34"/>
      <c r="D493" s="34"/>
    </row>
    <row r="494" spans="1:4" ht="12.75">
      <c r="A494" s="34"/>
      <c r="B494" s="34"/>
      <c r="C494" s="34"/>
      <c r="D494" s="34"/>
    </row>
    <row r="495" spans="1:4" ht="12.75">
      <c r="A495" s="34"/>
      <c r="B495" s="34"/>
      <c r="C495" s="34"/>
      <c r="D495" s="34"/>
    </row>
    <row r="496" spans="1:4" ht="12.75">
      <c r="A496" s="34"/>
      <c r="B496" s="34"/>
      <c r="C496" s="34"/>
      <c r="D496" s="34"/>
    </row>
    <row r="497" spans="1:4" ht="12.75">
      <c r="A497" s="34"/>
      <c r="B497" s="34"/>
      <c r="C497" s="34"/>
      <c r="D497" s="34"/>
    </row>
    <row r="498" spans="1:4" ht="12.75">
      <c r="A498" s="34"/>
      <c r="B498" s="34"/>
      <c r="C498" s="34"/>
      <c r="D498" s="34"/>
    </row>
    <row r="499" spans="1:4" ht="12.75">
      <c r="A499" s="34"/>
      <c r="B499" s="34"/>
      <c r="C499" s="34"/>
      <c r="D499" s="34"/>
    </row>
    <row r="500" spans="1:4" ht="12.75">
      <c r="A500" s="34"/>
      <c r="B500" s="34"/>
      <c r="C500" s="34"/>
      <c r="D500" s="34"/>
    </row>
    <row r="501" spans="1:4" ht="12.75">
      <c r="A501" s="34"/>
      <c r="B501" s="34"/>
      <c r="C501" s="34"/>
      <c r="D501" s="34"/>
    </row>
    <row r="502" spans="1:4" ht="12.75">
      <c r="A502" s="34"/>
      <c r="B502" s="34"/>
      <c r="C502" s="34"/>
      <c r="D502" s="34"/>
    </row>
    <row r="503" spans="1:4" ht="12.75">
      <c r="A503" s="34"/>
      <c r="B503" s="34"/>
      <c r="C503" s="34"/>
      <c r="D503" s="34"/>
    </row>
    <row r="504" spans="1:4" ht="12.75">
      <c r="A504" s="34"/>
      <c r="B504" s="34"/>
      <c r="C504" s="34"/>
      <c r="D504" s="34"/>
    </row>
    <row r="505" spans="1:4" ht="12.75">
      <c r="A505" s="34"/>
      <c r="B505" s="34"/>
      <c r="C505" s="34"/>
      <c r="D505" s="34"/>
    </row>
    <row r="506" spans="1:4" ht="12.75">
      <c r="A506" s="34"/>
      <c r="B506" s="34"/>
      <c r="C506" s="34"/>
      <c r="D506" s="34"/>
    </row>
    <row r="507" spans="1:4" ht="12.75">
      <c r="A507" s="34"/>
      <c r="B507" s="34"/>
      <c r="C507" s="34"/>
      <c r="D507" s="34"/>
    </row>
    <row r="508" spans="1:4" ht="12.75">
      <c r="A508" s="34"/>
      <c r="B508" s="34"/>
      <c r="C508" s="34"/>
      <c r="D508" s="34"/>
    </row>
    <row r="509" spans="1:4" ht="12.75">
      <c r="A509" s="34"/>
      <c r="B509" s="34"/>
      <c r="C509" s="34"/>
      <c r="D509" s="34"/>
    </row>
    <row r="510" spans="1:4" ht="12.75">
      <c r="A510" s="34"/>
      <c r="B510" s="34"/>
      <c r="C510" s="34"/>
      <c r="D510" s="34"/>
    </row>
    <row r="511" spans="1:4" ht="12.75">
      <c r="A511" s="34"/>
      <c r="B511" s="34"/>
      <c r="C511" s="34"/>
      <c r="D511" s="34"/>
    </row>
    <row r="512" spans="1:4" ht="12.75">
      <c r="A512" s="34"/>
      <c r="B512" s="34"/>
      <c r="C512" s="34"/>
      <c r="D512" s="34"/>
    </row>
    <row r="513" spans="1:4" ht="12.75">
      <c r="A513" s="34"/>
      <c r="B513" s="34"/>
      <c r="C513" s="34"/>
      <c r="D513" s="34"/>
    </row>
    <row r="514" spans="1:4" ht="12.75">
      <c r="A514" s="34"/>
      <c r="B514" s="34"/>
      <c r="C514" s="34"/>
      <c r="D514" s="34"/>
    </row>
    <row r="515" spans="1:4" ht="12.75">
      <c r="A515" s="34"/>
      <c r="B515" s="34"/>
      <c r="C515" s="34"/>
      <c r="D515" s="34"/>
    </row>
    <row r="516" spans="1:4" ht="12.75">
      <c r="A516" s="34"/>
      <c r="B516" s="34"/>
      <c r="C516" s="34"/>
      <c r="D516" s="34"/>
    </row>
    <row r="517" spans="1:4" ht="12.75">
      <c r="A517" s="34"/>
      <c r="B517" s="34"/>
      <c r="C517" s="34"/>
      <c r="D517" s="34"/>
    </row>
    <row r="518" spans="1:4" ht="12.75">
      <c r="A518" s="34"/>
      <c r="B518" s="34"/>
      <c r="C518" s="34"/>
      <c r="D518" s="34"/>
    </row>
    <row r="519" spans="1:4" ht="12.75">
      <c r="A519" s="34"/>
      <c r="B519" s="34"/>
      <c r="C519" s="34"/>
      <c r="D519" s="34"/>
    </row>
    <row r="520" spans="1:4" ht="12.75">
      <c r="A520" s="34"/>
      <c r="B520" s="34"/>
      <c r="C520" s="34"/>
      <c r="D520" s="34"/>
    </row>
    <row r="521" spans="1:4" ht="12.75">
      <c r="A521" s="34"/>
      <c r="B521" s="34"/>
      <c r="C521" s="34"/>
      <c r="D521" s="34"/>
    </row>
    <row r="522" spans="1:4" ht="12.75">
      <c r="A522" s="34"/>
      <c r="B522" s="34"/>
      <c r="C522" s="34"/>
      <c r="D522" s="34"/>
    </row>
    <row r="523" spans="1:4" ht="12.75">
      <c r="A523" s="34"/>
      <c r="B523" s="34"/>
      <c r="C523" s="34"/>
      <c r="D523" s="34"/>
    </row>
    <row r="524" spans="1:4" ht="12.75">
      <c r="A524" s="34"/>
      <c r="B524" s="34"/>
      <c r="C524" s="34"/>
      <c r="D524" s="34"/>
    </row>
    <row r="525" spans="1:4" ht="12.75">
      <c r="A525" s="34"/>
      <c r="B525" s="34"/>
      <c r="C525" s="34"/>
      <c r="D525" s="34"/>
    </row>
    <row r="526" spans="1:4" ht="12.75">
      <c r="A526" s="34"/>
      <c r="B526" s="34"/>
      <c r="C526" s="34"/>
      <c r="D526" s="34"/>
    </row>
    <row r="527" spans="1:4" ht="12.75">
      <c r="A527" s="34"/>
      <c r="B527" s="34"/>
      <c r="C527" s="34"/>
      <c r="D527" s="34"/>
    </row>
    <row r="528" spans="1:4" ht="12.75">
      <c r="A528" s="34"/>
      <c r="B528" s="34"/>
      <c r="C528" s="34"/>
      <c r="D528" s="34"/>
    </row>
    <row r="529" spans="1:4" ht="12.75">
      <c r="A529" s="34"/>
      <c r="B529" s="34"/>
      <c r="C529" s="34"/>
      <c r="D529" s="34"/>
    </row>
    <row r="530" spans="1:4" ht="12.75">
      <c r="A530" s="34"/>
      <c r="B530" s="34"/>
      <c r="C530" s="34"/>
      <c r="D530" s="34"/>
    </row>
    <row r="531" spans="1:4" ht="12.75">
      <c r="A531" s="34"/>
      <c r="B531" s="34"/>
      <c r="C531" s="34"/>
      <c r="D531" s="34"/>
    </row>
    <row r="532" spans="1:4" ht="12.75">
      <c r="A532" s="34"/>
      <c r="B532" s="34"/>
      <c r="C532" s="34"/>
      <c r="D532" s="34"/>
    </row>
    <row r="533" spans="1:4" ht="12.75">
      <c r="A533" s="34"/>
      <c r="B533" s="34"/>
      <c r="C533" s="34"/>
      <c r="D533" s="34"/>
    </row>
    <row r="534" spans="1:4" ht="12.75">
      <c r="A534" s="34"/>
      <c r="B534" s="34"/>
      <c r="C534" s="34"/>
      <c r="D534" s="34"/>
    </row>
    <row r="535" spans="1:4" ht="12.75">
      <c r="A535" s="34"/>
      <c r="B535" s="34"/>
      <c r="C535" s="34"/>
      <c r="D535" s="34"/>
    </row>
    <row r="536" spans="1:4" ht="12.75">
      <c r="A536" s="34"/>
      <c r="B536" s="34"/>
      <c r="C536" s="34"/>
      <c r="D536" s="34"/>
    </row>
    <row r="537" spans="1:4" ht="12.75">
      <c r="A537" s="34"/>
      <c r="B537" s="34"/>
      <c r="C537" s="34"/>
      <c r="D537" s="34"/>
    </row>
    <row r="538" spans="1:4" ht="12.75">
      <c r="A538" s="34"/>
      <c r="B538" s="34"/>
      <c r="C538" s="34"/>
      <c r="D538" s="34"/>
    </row>
    <row r="539" spans="1:4" ht="12.75">
      <c r="A539" s="34"/>
      <c r="B539" s="34"/>
      <c r="C539" s="34"/>
      <c r="D539" s="34"/>
    </row>
    <row r="540" spans="1:4" ht="12.75">
      <c r="A540" s="34"/>
      <c r="B540" s="34"/>
      <c r="C540" s="34"/>
      <c r="D540" s="34"/>
    </row>
    <row r="541" spans="1:4" ht="12.75">
      <c r="A541" s="34"/>
      <c r="B541" s="34"/>
      <c r="C541" s="34"/>
      <c r="D541" s="34"/>
    </row>
    <row r="542" spans="1:4" ht="12.75">
      <c r="A542" s="34"/>
      <c r="B542" s="34"/>
      <c r="C542" s="34"/>
      <c r="D542" s="34"/>
    </row>
    <row r="543" spans="1:4" ht="12.75">
      <c r="A543" s="34"/>
      <c r="B543" s="34"/>
      <c r="C543" s="34"/>
      <c r="D543" s="34"/>
    </row>
    <row r="544" spans="1:4" ht="12.75">
      <c r="A544" s="34"/>
      <c r="B544" s="34"/>
      <c r="C544" s="34"/>
      <c r="D544" s="34"/>
    </row>
    <row r="545" spans="1:4" ht="12.75">
      <c r="A545" s="34"/>
      <c r="B545" s="34"/>
      <c r="C545" s="34"/>
      <c r="D545" s="34"/>
    </row>
    <row r="546" spans="1:4" ht="12.75">
      <c r="A546" s="34"/>
      <c r="B546" s="34"/>
      <c r="C546" s="34"/>
      <c r="D546" s="34"/>
    </row>
    <row r="547" spans="1:4" ht="12.75">
      <c r="A547" s="34"/>
      <c r="B547" s="34"/>
      <c r="C547" s="34"/>
      <c r="D547" s="34"/>
    </row>
    <row r="548" spans="1:4" ht="12.75">
      <c r="A548" s="34"/>
      <c r="B548" s="34"/>
      <c r="C548" s="34"/>
      <c r="D548" s="34"/>
    </row>
    <row r="549" spans="1:4" ht="12.75">
      <c r="A549" s="34"/>
      <c r="B549" s="34"/>
      <c r="C549" s="34"/>
      <c r="D549" s="34"/>
    </row>
    <row r="550" spans="1:4" ht="12.75">
      <c r="A550" s="34"/>
      <c r="B550" s="34"/>
      <c r="C550" s="34"/>
      <c r="D550" s="34"/>
    </row>
    <row r="551" spans="1:4" ht="12.75">
      <c r="A551" s="34"/>
      <c r="B551" s="34"/>
      <c r="C551" s="34"/>
      <c r="D551" s="34"/>
    </row>
    <row r="552" spans="1:4" ht="12.75">
      <c r="A552" s="34"/>
      <c r="B552" s="34"/>
      <c r="C552" s="34"/>
      <c r="D552" s="34"/>
    </row>
    <row r="553" spans="1:4" ht="12.75">
      <c r="A553" s="34"/>
      <c r="B553" s="34"/>
      <c r="C553" s="34"/>
      <c r="D553" s="34"/>
    </row>
    <row r="554" spans="1:4" ht="12.75">
      <c r="A554" s="34"/>
      <c r="B554" s="34"/>
      <c r="C554" s="34"/>
      <c r="D554" s="34"/>
    </row>
    <row r="555" spans="1:4" ht="12.75">
      <c r="A555" s="34"/>
      <c r="B555" s="34"/>
      <c r="C555" s="34"/>
      <c r="D555" s="34"/>
    </row>
    <row r="556" spans="1:4" ht="12.75">
      <c r="A556" s="34"/>
      <c r="B556" s="34"/>
      <c r="C556" s="34"/>
      <c r="D556" s="34"/>
    </row>
    <row r="557" spans="1:4" ht="12.75">
      <c r="A557" s="34"/>
      <c r="B557" s="34"/>
      <c r="C557" s="34"/>
      <c r="D557" s="34"/>
    </row>
    <row r="558" spans="1:4" ht="12.75">
      <c r="A558" s="34"/>
      <c r="B558" s="34"/>
      <c r="C558" s="34"/>
      <c r="D558" s="34"/>
    </row>
    <row r="559" spans="1:4" ht="12.75">
      <c r="A559" s="34"/>
      <c r="B559" s="34"/>
      <c r="C559" s="34"/>
      <c r="D559" s="34"/>
    </row>
    <row r="560" spans="1:4" ht="12.75">
      <c r="A560" s="34"/>
      <c r="B560" s="34"/>
      <c r="C560" s="34"/>
      <c r="D560" s="34"/>
    </row>
    <row r="561" spans="1:4" ht="12.75">
      <c r="A561" s="34"/>
      <c r="B561" s="34"/>
      <c r="C561" s="34"/>
      <c r="D561" s="34"/>
    </row>
    <row r="562" spans="1:4" ht="12.75">
      <c r="A562" s="34"/>
      <c r="B562" s="34"/>
      <c r="C562" s="34"/>
      <c r="D562" s="34"/>
    </row>
    <row r="563" spans="1:4" ht="12.75">
      <c r="A563" s="34"/>
      <c r="B563" s="34"/>
      <c r="C563" s="34"/>
      <c r="D563" s="34"/>
    </row>
    <row r="564" spans="1:4" ht="12.75">
      <c r="A564" s="34"/>
      <c r="B564" s="34"/>
      <c r="C564" s="34"/>
      <c r="D564" s="34"/>
    </row>
    <row r="565" spans="1:4" ht="12.75">
      <c r="A565" s="34"/>
      <c r="B565" s="34"/>
      <c r="C565" s="34"/>
      <c r="D565" s="34"/>
    </row>
    <row r="566" spans="1:4" ht="12.75">
      <c r="A566" s="34"/>
      <c r="B566" s="34"/>
      <c r="C566" s="34"/>
      <c r="D566" s="34"/>
    </row>
    <row r="567" spans="1:4" ht="12.75">
      <c r="A567" s="34"/>
      <c r="B567" s="34"/>
      <c r="C567" s="34"/>
      <c r="D567" s="34"/>
    </row>
    <row r="568" spans="1:4" ht="12.75">
      <c r="A568" s="34"/>
      <c r="B568" s="34"/>
      <c r="C568" s="34"/>
      <c r="D568" s="34"/>
    </row>
    <row r="569" spans="1:4" ht="12.75">
      <c r="A569" s="34"/>
      <c r="B569" s="34"/>
      <c r="C569" s="34"/>
      <c r="D569" s="34"/>
    </row>
    <row r="570" spans="1:4" ht="12.75">
      <c r="A570" s="34"/>
      <c r="B570" s="34"/>
      <c r="C570" s="34"/>
      <c r="D570" s="34"/>
    </row>
    <row r="571" spans="1:4" ht="12.75">
      <c r="A571" s="34"/>
      <c r="B571" s="34"/>
      <c r="C571" s="34"/>
      <c r="D571" s="34"/>
    </row>
    <row r="572" spans="1:4" ht="12.75">
      <c r="A572" s="34"/>
      <c r="B572" s="34"/>
      <c r="C572" s="34"/>
      <c r="D572" s="34"/>
    </row>
    <row r="573" spans="1:4" ht="12.75">
      <c r="A573" s="34"/>
      <c r="B573" s="34"/>
      <c r="C573" s="34"/>
      <c r="D573" s="34"/>
    </row>
    <row r="574" spans="1:4" ht="12.75">
      <c r="A574" s="34"/>
      <c r="B574" s="34"/>
      <c r="C574" s="34"/>
      <c r="D574" s="34"/>
    </row>
    <row r="575" spans="1:4" ht="12.75">
      <c r="A575" s="34"/>
      <c r="B575" s="34"/>
      <c r="C575" s="34"/>
      <c r="D575" s="34"/>
    </row>
    <row r="576" spans="1:4" ht="12.75">
      <c r="A576" s="34"/>
      <c r="B576" s="34"/>
      <c r="C576" s="34"/>
      <c r="D576" s="34"/>
    </row>
    <row r="577" spans="1:4" ht="12.75">
      <c r="A577" s="34"/>
      <c r="B577" s="34"/>
      <c r="C577" s="34"/>
      <c r="D577" s="34"/>
    </row>
    <row r="578" spans="1:4" ht="12.75">
      <c r="A578" s="34"/>
      <c r="B578" s="34"/>
      <c r="C578" s="34"/>
      <c r="D578" s="34"/>
    </row>
    <row r="579" spans="1:4" ht="12.75">
      <c r="A579" s="34"/>
      <c r="B579" s="34"/>
      <c r="C579" s="34"/>
      <c r="D579" s="34"/>
    </row>
    <row r="580" spans="1:4" ht="12.75">
      <c r="A580" s="34"/>
      <c r="B580" s="34"/>
      <c r="C580" s="34"/>
      <c r="D580" s="34"/>
    </row>
    <row r="581" spans="1:4" ht="12.75">
      <c r="A581" s="34"/>
      <c r="B581" s="34"/>
      <c r="C581" s="34"/>
      <c r="D581" s="34"/>
    </row>
    <row r="582" spans="1:4" ht="12.75">
      <c r="A582" s="34"/>
      <c r="B582" s="34"/>
      <c r="C582" s="34"/>
      <c r="D582" s="34"/>
    </row>
    <row r="583" spans="1:4" ht="12.75">
      <c r="A583" s="34"/>
      <c r="B583" s="34"/>
      <c r="C583" s="34"/>
      <c r="D583" s="34"/>
    </row>
    <row r="584" spans="1:4" ht="12.75">
      <c r="A584" s="34"/>
      <c r="B584" s="34"/>
      <c r="C584" s="34"/>
      <c r="D584" s="34"/>
    </row>
    <row r="585" spans="1:4" ht="12.75">
      <c r="A585" s="34"/>
      <c r="B585" s="34"/>
      <c r="C585" s="34"/>
      <c r="D585" s="34"/>
    </row>
    <row r="586" spans="1:4" ht="12.75">
      <c r="A586" s="34"/>
      <c r="B586" s="34"/>
      <c r="C586" s="34"/>
      <c r="D586" s="34"/>
    </row>
    <row r="587" spans="1:4" ht="12.75">
      <c r="A587" s="34"/>
      <c r="B587" s="34"/>
      <c r="C587" s="34"/>
      <c r="D587" s="34"/>
    </row>
    <row r="588" spans="1:4" ht="12.75">
      <c r="A588" s="34"/>
      <c r="B588" s="34"/>
      <c r="C588" s="34"/>
      <c r="D588" s="34"/>
    </row>
    <row r="589" spans="1:4" ht="12.75">
      <c r="A589" s="34"/>
      <c r="B589" s="34"/>
      <c r="C589" s="34"/>
      <c r="D589" s="34"/>
    </row>
    <row r="590" spans="1:4" ht="12.75">
      <c r="A590" s="34"/>
      <c r="B590" s="34"/>
      <c r="C590" s="34"/>
      <c r="D590" s="34"/>
    </row>
    <row r="591" spans="1:4" ht="12.75">
      <c r="A591" s="34"/>
      <c r="B591" s="34"/>
      <c r="C591" s="34"/>
      <c r="D591" s="34"/>
    </row>
    <row r="592" spans="1:4" ht="12.75">
      <c r="A592" s="34"/>
      <c r="B592" s="34"/>
      <c r="C592" s="34"/>
      <c r="D592" s="34"/>
    </row>
    <row r="593" spans="1:4" ht="12.75">
      <c r="A593" s="34"/>
      <c r="B593" s="34"/>
      <c r="C593" s="34"/>
      <c r="D593" s="34"/>
    </row>
    <row r="594" spans="1:4" ht="12.75">
      <c r="A594" s="34"/>
      <c r="B594" s="34"/>
      <c r="C594" s="34"/>
      <c r="D594" s="34"/>
    </row>
    <row r="595" spans="1:4" ht="12.75">
      <c r="A595" s="34"/>
      <c r="B595" s="34"/>
      <c r="C595" s="34"/>
      <c r="D595" s="34"/>
    </row>
    <row r="596" spans="1:4" ht="12.75">
      <c r="A596" s="34"/>
      <c r="B596" s="34"/>
      <c r="C596" s="34"/>
      <c r="D596" s="34"/>
    </row>
    <row r="597" spans="1:4" ht="12.75">
      <c r="A597" s="34"/>
      <c r="B597" s="34"/>
      <c r="C597" s="34"/>
      <c r="D597" s="34"/>
    </row>
    <row r="598" spans="1:4" ht="12.75">
      <c r="A598" s="34"/>
      <c r="B598" s="34"/>
      <c r="C598" s="34"/>
      <c r="D598" s="34"/>
    </row>
    <row r="599" spans="1:4" ht="12.75">
      <c r="A599" s="34"/>
      <c r="B599" s="34"/>
      <c r="C599" s="34"/>
      <c r="D599" s="34"/>
    </row>
    <row r="600" spans="1:4" ht="12.75">
      <c r="A600" s="34"/>
      <c r="B600" s="34"/>
      <c r="C600" s="34"/>
      <c r="D600" s="34"/>
    </row>
    <row r="601" spans="1:4" ht="12.75">
      <c r="A601" s="34"/>
      <c r="B601" s="34"/>
      <c r="C601" s="34"/>
      <c r="D601" s="34"/>
    </row>
    <row r="602" spans="1:4" ht="12.75">
      <c r="A602" s="34"/>
      <c r="B602" s="34"/>
      <c r="C602" s="34"/>
      <c r="D602" s="34"/>
    </row>
    <row r="603" spans="1:4" ht="12.75">
      <c r="A603" s="34"/>
      <c r="B603" s="34"/>
      <c r="C603" s="34"/>
      <c r="D603" s="34"/>
    </row>
    <row r="604" spans="1:4" ht="12.75">
      <c r="A604" s="34"/>
      <c r="B604" s="34"/>
      <c r="C604" s="34"/>
      <c r="D604" s="34"/>
    </row>
    <row r="605" spans="1:4" ht="12.75">
      <c r="A605" s="34"/>
      <c r="B605" s="34"/>
      <c r="C605" s="34"/>
      <c r="D605" s="34"/>
    </row>
    <row r="606" spans="1:4" ht="12.75">
      <c r="A606" s="34"/>
      <c r="B606" s="34"/>
      <c r="C606" s="34"/>
      <c r="D606" s="34"/>
    </row>
    <row r="607" spans="1:4" ht="12.75">
      <c r="A607" s="34"/>
      <c r="B607" s="34"/>
      <c r="C607" s="34"/>
      <c r="D607" s="34"/>
    </row>
    <row r="608" spans="1:4" ht="12.75">
      <c r="A608" s="34"/>
      <c r="B608" s="34"/>
      <c r="C608" s="34"/>
      <c r="D608" s="34"/>
    </row>
    <row r="609" spans="1:4" ht="12.75">
      <c r="A609" s="34"/>
      <c r="B609" s="34"/>
      <c r="C609" s="34"/>
      <c r="D609" s="34"/>
    </row>
    <row r="610" spans="1:4" ht="12.75">
      <c r="A610" s="34"/>
      <c r="B610" s="34"/>
      <c r="C610" s="34"/>
      <c r="D610" s="34"/>
    </row>
    <row r="611" spans="1:4" ht="12.75">
      <c r="A611" s="34"/>
      <c r="B611" s="34"/>
      <c r="C611" s="34"/>
      <c r="D611" s="34"/>
    </row>
    <row r="612" spans="1:4" ht="12.75">
      <c r="A612" s="34"/>
      <c r="B612" s="34"/>
      <c r="C612" s="34"/>
      <c r="D612" s="34"/>
    </row>
    <row r="613" spans="1:4" ht="12.75">
      <c r="A613" s="34"/>
      <c r="B613" s="34"/>
      <c r="C613" s="34"/>
      <c r="D613" s="34"/>
    </row>
    <row r="614" spans="1:4" ht="12.75">
      <c r="A614" s="34"/>
      <c r="B614" s="34"/>
      <c r="C614" s="34"/>
      <c r="D614" s="34"/>
    </row>
    <row r="615" spans="1:4" ht="12.75">
      <c r="A615" s="34"/>
      <c r="B615" s="34"/>
      <c r="C615" s="34"/>
      <c r="D615" s="34"/>
    </row>
    <row r="616" spans="1:4" ht="12.75">
      <c r="A616" s="34"/>
      <c r="B616" s="34"/>
      <c r="C616" s="34"/>
      <c r="D616" s="34"/>
    </row>
    <row r="617" spans="1:4" ht="12.75">
      <c r="A617" s="34"/>
      <c r="B617" s="34"/>
      <c r="C617" s="34"/>
      <c r="D617" s="34"/>
    </row>
    <row r="618" spans="1:4" ht="12.75">
      <c r="A618" s="34"/>
      <c r="B618" s="34"/>
      <c r="C618" s="34"/>
      <c r="D618" s="34"/>
    </row>
    <row r="619" spans="1:4" ht="12.75">
      <c r="A619" s="34"/>
      <c r="B619" s="34"/>
      <c r="C619" s="34"/>
      <c r="D619" s="34"/>
    </row>
    <row r="620" spans="1:4" ht="12.75">
      <c r="A620" s="34"/>
      <c r="B620" s="34"/>
      <c r="C620" s="34"/>
      <c r="D620" s="34"/>
    </row>
    <row r="621" spans="1:4" ht="12.75">
      <c r="A621" s="34"/>
      <c r="B621" s="34"/>
      <c r="C621" s="34"/>
      <c r="D621" s="34"/>
    </row>
    <row r="622" spans="1:4" ht="12.75">
      <c r="A622" s="34"/>
      <c r="B622" s="34"/>
      <c r="C622" s="34"/>
      <c r="D622" s="34"/>
    </row>
    <row r="623" spans="1:4" ht="12.75">
      <c r="A623" s="34"/>
      <c r="B623" s="34"/>
      <c r="C623" s="34"/>
      <c r="D623" s="34"/>
    </row>
    <row r="624" spans="1:4" ht="12.75">
      <c r="A624" s="34"/>
      <c r="B624" s="34"/>
      <c r="C624" s="34"/>
      <c r="D624" s="34"/>
    </row>
    <row r="625" spans="1:4" ht="12.75">
      <c r="A625" s="34"/>
      <c r="B625" s="34"/>
      <c r="C625" s="34"/>
      <c r="D625" s="34"/>
    </row>
    <row r="626" spans="1:4" ht="12.75">
      <c r="A626" s="34"/>
      <c r="B626" s="34"/>
      <c r="C626" s="34"/>
      <c r="D626" s="34"/>
    </row>
    <row r="627" spans="1:4" ht="12.75">
      <c r="A627" s="34"/>
      <c r="B627" s="34"/>
      <c r="C627" s="34"/>
      <c r="D627" s="34"/>
    </row>
    <row r="628" spans="1:4" ht="12.75">
      <c r="A628" s="34"/>
      <c r="B628" s="34"/>
      <c r="C628" s="34"/>
      <c r="D628" s="34"/>
    </row>
    <row r="629" spans="1:4" ht="12.75">
      <c r="A629" s="34"/>
      <c r="B629" s="34"/>
      <c r="C629" s="34"/>
      <c r="D629" s="34"/>
    </row>
    <row r="630" spans="1:4" ht="12.75">
      <c r="A630" s="34"/>
      <c r="B630" s="34"/>
      <c r="C630" s="34"/>
      <c r="D630" s="34"/>
    </row>
    <row r="631" spans="1:4" ht="12.75">
      <c r="A631" s="34"/>
      <c r="B631" s="34"/>
      <c r="C631" s="34"/>
      <c r="D631" s="34"/>
    </row>
    <row r="632" spans="1:4" ht="12.75">
      <c r="A632" s="34"/>
      <c r="B632" s="34"/>
      <c r="C632" s="34"/>
      <c r="D632" s="34"/>
    </row>
    <row r="633" spans="1:4" ht="12.75">
      <c r="A633" s="34"/>
      <c r="B633" s="34"/>
      <c r="C633" s="34"/>
      <c r="D633" s="34"/>
    </row>
    <row r="634" spans="1:4" ht="12.75">
      <c r="A634" s="34"/>
      <c r="B634" s="34"/>
      <c r="C634" s="34"/>
      <c r="D634" s="34"/>
    </row>
    <row r="635" spans="1:4" ht="12.75">
      <c r="A635" s="34"/>
      <c r="B635" s="34"/>
      <c r="C635" s="34"/>
      <c r="D635" s="34"/>
    </row>
    <row r="636" spans="1:4" ht="12.75">
      <c r="A636" s="34"/>
      <c r="B636" s="34"/>
      <c r="C636" s="34"/>
      <c r="D636" s="34"/>
    </row>
    <row r="637" spans="1:4" ht="12.75">
      <c r="A637" s="34"/>
      <c r="B637" s="34"/>
      <c r="C637" s="34"/>
      <c r="D637" s="34"/>
    </row>
    <row r="638" spans="1:4" ht="12.75">
      <c r="A638" s="34"/>
      <c r="B638" s="34"/>
      <c r="C638" s="34"/>
      <c r="D638" s="34"/>
    </row>
    <row r="639" spans="1:4" ht="12.75">
      <c r="A639" s="34"/>
      <c r="B639" s="34"/>
      <c r="C639" s="34"/>
      <c r="D639" s="34"/>
    </row>
    <row r="640" spans="1:4" ht="12.75">
      <c r="A640" s="34"/>
      <c r="B640" s="34"/>
      <c r="C640" s="34"/>
      <c r="D640" s="34"/>
    </row>
    <row r="641" spans="1:4" ht="12.75">
      <c r="A641" s="34"/>
      <c r="B641" s="34"/>
      <c r="C641" s="34"/>
      <c r="D641" s="34"/>
    </row>
    <row r="642" spans="1:4" ht="12.75">
      <c r="A642" s="34"/>
      <c r="B642" s="34"/>
      <c r="C642" s="34"/>
      <c r="D642" s="34"/>
    </row>
    <row r="643" spans="1:4" ht="12.75">
      <c r="A643" s="34"/>
      <c r="B643" s="34"/>
      <c r="C643" s="34"/>
      <c r="D643" s="34"/>
    </row>
    <row r="644" spans="1:4" ht="12.75">
      <c r="A644" s="34"/>
      <c r="B644" s="34"/>
      <c r="C644" s="34"/>
      <c r="D644" s="34"/>
    </row>
    <row r="645" spans="1:4" ht="12.75">
      <c r="A645" s="34"/>
      <c r="B645" s="34"/>
      <c r="C645" s="34"/>
      <c r="D645" s="34"/>
    </row>
    <row r="646" spans="1:4" ht="12.75">
      <c r="A646" s="34"/>
      <c r="B646" s="34"/>
      <c r="C646" s="34"/>
      <c r="D646" s="34"/>
    </row>
    <row r="647" spans="1:4" ht="12.75">
      <c r="A647" s="34"/>
      <c r="B647" s="34"/>
      <c r="C647" s="34"/>
      <c r="D647" s="34"/>
    </row>
    <row r="648" spans="1:4" ht="12.75">
      <c r="A648" s="34"/>
      <c r="B648" s="34"/>
      <c r="C648" s="34"/>
      <c r="D648" s="34"/>
    </row>
    <row r="649" spans="1:4" ht="12.75">
      <c r="A649" s="34"/>
      <c r="B649" s="34"/>
      <c r="C649" s="34"/>
      <c r="D649" s="34"/>
    </row>
    <row r="650" spans="1:4" ht="12.75">
      <c r="A650" s="34"/>
      <c r="B650" s="34"/>
      <c r="C650" s="34"/>
      <c r="D650" s="34"/>
    </row>
    <row r="651" spans="1:4" ht="12.75">
      <c r="A651" s="34"/>
      <c r="B651" s="34"/>
      <c r="C651" s="34"/>
      <c r="D651" s="34"/>
    </row>
    <row r="652" spans="1:4" ht="12.75">
      <c r="A652" s="34"/>
      <c r="B652" s="34"/>
      <c r="C652" s="34"/>
      <c r="D652" s="34"/>
    </row>
    <row r="653" spans="1:4" ht="12.75">
      <c r="A653" s="34"/>
      <c r="B653" s="34"/>
      <c r="C653" s="34"/>
      <c r="D653" s="34"/>
    </row>
    <row r="654" spans="1:4" ht="12.75">
      <c r="A654" s="34"/>
      <c r="B654" s="34"/>
      <c r="C654" s="34"/>
      <c r="D654" s="34"/>
    </row>
    <row r="655" spans="1:4" ht="12.75">
      <c r="A655" s="34"/>
      <c r="B655" s="34"/>
      <c r="C655" s="34"/>
      <c r="D655" s="34"/>
    </row>
    <row r="656" spans="1:4" ht="12.75">
      <c r="A656" s="34"/>
      <c r="B656" s="34"/>
      <c r="C656" s="34"/>
      <c r="D656" s="34"/>
    </row>
    <row r="657" spans="1:4" ht="12.75">
      <c r="A657" s="34"/>
      <c r="B657" s="34"/>
      <c r="C657" s="34"/>
      <c r="D657" s="34"/>
    </row>
    <row r="658" spans="1:4" ht="12.75">
      <c r="A658" s="34"/>
      <c r="B658" s="34"/>
      <c r="C658" s="34"/>
      <c r="D658" s="34"/>
    </row>
    <row r="659" spans="1:4" ht="12.75">
      <c r="A659" s="34"/>
      <c r="B659" s="34"/>
      <c r="C659" s="34"/>
      <c r="D659" s="34"/>
    </row>
    <row r="660" spans="1:4" ht="12.75">
      <c r="A660" s="34"/>
      <c r="B660" s="34"/>
      <c r="C660" s="34"/>
      <c r="D660" s="34"/>
    </row>
    <row r="661" spans="1:4" ht="12.75">
      <c r="A661" s="34"/>
      <c r="B661" s="34"/>
      <c r="C661" s="34"/>
      <c r="D661" s="34"/>
    </row>
    <row r="662" spans="1:4" ht="12.75">
      <c r="A662" s="34"/>
      <c r="B662" s="34"/>
      <c r="C662" s="34"/>
      <c r="D662" s="34"/>
    </row>
    <row r="663" spans="1:4" ht="12.75">
      <c r="A663" s="34"/>
      <c r="B663" s="34"/>
      <c r="C663" s="34"/>
      <c r="D663" s="34"/>
    </row>
    <row r="664" spans="1:4" ht="12.75">
      <c r="A664" s="34"/>
      <c r="B664" s="34"/>
      <c r="C664" s="34"/>
      <c r="D664" s="34"/>
    </row>
    <row r="665" spans="1:4" ht="12.75">
      <c r="A665" s="34"/>
      <c r="B665" s="34"/>
      <c r="C665" s="34"/>
      <c r="D665" s="34"/>
    </row>
    <row r="666" spans="1:4" ht="12.75">
      <c r="A666" s="34"/>
      <c r="B666" s="34"/>
      <c r="C666" s="34"/>
      <c r="D666" s="34"/>
    </row>
    <row r="667" spans="1:4" ht="12.75">
      <c r="A667" s="34"/>
      <c r="B667" s="34"/>
      <c r="C667" s="34"/>
      <c r="D667" s="34"/>
    </row>
    <row r="668" spans="1:4" ht="12.75">
      <c r="A668" s="34"/>
      <c r="B668" s="34"/>
      <c r="C668" s="34"/>
      <c r="D668" s="34"/>
    </row>
    <row r="669" spans="1:4" ht="12.75">
      <c r="A669" s="34"/>
      <c r="B669" s="34"/>
      <c r="C669" s="34"/>
      <c r="D669" s="34"/>
    </row>
    <row r="670" spans="1:4" ht="12.75">
      <c r="A670" s="34"/>
      <c r="B670" s="34"/>
      <c r="C670" s="34"/>
      <c r="D670" s="34"/>
    </row>
    <row r="671" spans="1:4" ht="12.75">
      <c r="A671" s="34"/>
      <c r="B671" s="34"/>
      <c r="C671" s="34"/>
      <c r="D671" s="34"/>
    </row>
    <row r="672" spans="1:4" ht="12.75">
      <c r="A672" s="34"/>
      <c r="B672" s="34"/>
      <c r="C672" s="34"/>
      <c r="D672" s="34"/>
    </row>
    <row r="673" spans="1:4" ht="12.75">
      <c r="A673" s="34"/>
      <c r="B673" s="34"/>
      <c r="C673" s="34"/>
      <c r="D673" s="34"/>
    </row>
    <row r="674" spans="1:4" ht="12.75">
      <c r="A674" s="34"/>
      <c r="B674" s="34"/>
      <c r="C674" s="34"/>
      <c r="D674" s="34"/>
    </row>
    <row r="675" spans="1:4" ht="12.75">
      <c r="A675" s="34"/>
      <c r="B675" s="34"/>
      <c r="C675" s="34"/>
      <c r="D675" s="34"/>
    </row>
    <row r="676" spans="1:4" ht="12.75">
      <c r="A676" s="34"/>
      <c r="B676" s="34"/>
      <c r="C676" s="34"/>
      <c r="D676" s="34"/>
    </row>
    <row r="677" spans="1:4" ht="12.75">
      <c r="A677" s="34"/>
      <c r="B677" s="34"/>
      <c r="C677" s="34"/>
      <c r="D677" s="34"/>
    </row>
    <row r="678" spans="1:4" ht="12.75">
      <c r="A678" s="34"/>
      <c r="B678" s="34"/>
      <c r="C678" s="34"/>
      <c r="D678" s="34"/>
    </row>
    <row r="679" spans="1:4" ht="12.75">
      <c r="A679" s="34"/>
      <c r="B679" s="34"/>
      <c r="C679" s="34"/>
      <c r="D679" s="34"/>
    </row>
    <row r="680" spans="1:4" ht="12.75">
      <c r="A680" s="34"/>
      <c r="B680" s="34"/>
      <c r="C680" s="34"/>
      <c r="D680" s="34"/>
    </row>
    <row r="681" spans="1:4" ht="12.75">
      <c r="A681" s="34"/>
      <c r="B681" s="34"/>
      <c r="C681" s="34"/>
      <c r="D681" s="34"/>
    </row>
    <row r="682" spans="1:4" ht="12.75">
      <c r="A682" s="34"/>
      <c r="B682" s="34"/>
      <c r="C682" s="34"/>
      <c r="D682" s="34"/>
    </row>
    <row r="683" spans="1:4" ht="12.75">
      <c r="A683" s="34"/>
      <c r="B683" s="34"/>
      <c r="C683" s="34"/>
      <c r="D683" s="34"/>
    </row>
    <row r="684" spans="1:4" ht="12.75">
      <c r="A684" s="34"/>
      <c r="B684" s="34"/>
      <c r="C684" s="34"/>
      <c r="D684" s="34"/>
    </row>
    <row r="685" spans="1:4" ht="12.75">
      <c r="A685" s="34"/>
      <c r="B685" s="34"/>
      <c r="C685" s="34"/>
      <c r="D685" s="34"/>
    </row>
    <row r="686" spans="1:4" ht="12.75">
      <c r="A686" s="34"/>
      <c r="B686" s="34"/>
      <c r="C686" s="34"/>
      <c r="D686" s="34"/>
    </row>
    <row r="687" spans="1:4" ht="12.75">
      <c r="A687" s="34"/>
      <c r="B687" s="34"/>
      <c r="C687" s="34"/>
      <c r="D687" s="34"/>
    </row>
    <row r="688" spans="1:4" ht="12.75">
      <c r="A688" s="34"/>
      <c r="B688" s="34"/>
      <c r="C688" s="34"/>
      <c r="D688" s="34"/>
    </row>
    <row r="689" spans="1:4" ht="12.75">
      <c r="A689" s="34"/>
      <c r="B689" s="34"/>
      <c r="C689" s="34"/>
      <c r="D689" s="34"/>
    </row>
    <row r="690" spans="1:4" ht="12.75">
      <c r="A690" s="34"/>
      <c r="B690" s="34"/>
      <c r="C690" s="34"/>
      <c r="D690" s="34"/>
    </row>
    <row r="691" spans="1:4" ht="12.75">
      <c r="A691" s="34"/>
      <c r="B691" s="34"/>
      <c r="C691" s="34"/>
      <c r="D691" s="34"/>
    </row>
    <row r="692" spans="1:4" ht="12.75">
      <c r="A692" s="34"/>
      <c r="B692" s="34"/>
      <c r="C692" s="34"/>
      <c r="D692" s="34"/>
    </row>
    <row r="693" spans="1:4" ht="12.75">
      <c r="A693" s="34"/>
      <c r="B693" s="34"/>
      <c r="C693" s="34"/>
      <c r="D693" s="34"/>
    </row>
    <row r="694" spans="1:4" ht="12.75">
      <c r="A694" s="34"/>
      <c r="B694" s="34"/>
      <c r="C694" s="34"/>
      <c r="D694" s="34"/>
    </row>
    <row r="695" spans="1:4" ht="12.75">
      <c r="A695" s="34"/>
      <c r="B695" s="34"/>
      <c r="C695" s="34"/>
      <c r="D695" s="34"/>
    </row>
    <row r="696" spans="1:4" ht="12.75">
      <c r="A696" s="34"/>
      <c r="B696" s="34"/>
      <c r="C696" s="34"/>
      <c r="D696" s="34"/>
    </row>
    <row r="697" spans="1:4" ht="12.75">
      <c r="A697" s="34"/>
      <c r="B697" s="34"/>
      <c r="C697" s="34"/>
      <c r="D697" s="34"/>
    </row>
    <row r="698" spans="1:4" ht="12.75">
      <c r="A698" s="34"/>
      <c r="B698" s="34"/>
      <c r="C698" s="34"/>
      <c r="D698" s="34"/>
    </row>
    <row r="699" spans="1:4" ht="12.75">
      <c r="A699" s="34"/>
      <c r="B699" s="34"/>
      <c r="C699" s="34"/>
      <c r="D699" s="34"/>
    </row>
    <row r="700" spans="1:4" ht="12.75">
      <c r="A700" s="34"/>
      <c r="B700" s="34"/>
      <c r="C700" s="34"/>
      <c r="D700" s="34"/>
    </row>
    <row r="701" spans="1:4" ht="12.75">
      <c r="A701" s="34"/>
      <c r="B701" s="34"/>
      <c r="C701" s="34"/>
      <c r="D701" s="34"/>
    </row>
    <row r="702" spans="1:4" ht="12.75">
      <c r="A702" s="34"/>
      <c r="B702" s="34"/>
      <c r="C702" s="34"/>
      <c r="D702" s="34"/>
    </row>
    <row r="703" spans="1:4" ht="12.75">
      <c r="A703" s="34"/>
      <c r="B703" s="34"/>
      <c r="C703" s="34"/>
      <c r="D703" s="34"/>
    </row>
    <row r="704" spans="1:4" ht="12.75">
      <c r="A704" s="34"/>
      <c r="B704" s="34"/>
      <c r="C704" s="34"/>
      <c r="D704" s="34"/>
    </row>
    <row r="705" spans="1:4" ht="12.75">
      <c r="A705" s="34"/>
      <c r="B705" s="34"/>
      <c r="C705" s="34"/>
      <c r="D705" s="34"/>
    </row>
    <row r="706" spans="1:4" ht="12.75">
      <c r="A706" s="34"/>
      <c r="B706" s="34"/>
      <c r="C706" s="34"/>
      <c r="D706" s="34"/>
    </row>
    <row r="707" spans="1:4" ht="12.75">
      <c r="A707" s="34"/>
      <c r="B707" s="34"/>
      <c r="C707" s="34"/>
      <c r="D707" s="34"/>
    </row>
    <row r="708" spans="1:4" ht="12.75">
      <c r="A708" s="34"/>
      <c r="B708" s="34"/>
      <c r="C708" s="34"/>
      <c r="D708" s="34"/>
    </row>
    <row r="709" spans="1:4" ht="12.75">
      <c r="A709" s="34"/>
      <c r="B709" s="34"/>
      <c r="C709" s="34"/>
      <c r="D709" s="34"/>
    </row>
    <row r="710" spans="1:4" ht="12.75">
      <c r="A710" s="34"/>
      <c r="B710" s="34"/>
      <c r="C710" s="34"/>
      <c r="D710" s="34"/>
    </row>
    <row r="711" spans="1:4" ht="12.75">
      <c r="A711" s="34"/>
      <c r="B711" s="34"/>
      <c r="C711" s="34"/>
      <c r="D711" s="34"/>
    </row>
    <row r="712" spans="1:4" ht="12.75">
      <c r="A712" s="34"/>
      <c r="B712" s="34"/>
      <c r="C712" s="34"/>
      <c r="D712" s="34"/>
    </row>
  </sheetData>
  <mergeCells count="13">
    <mergeCell ref="E1:F1"/>
    <mergeCell ref="A6:F6"/>
    <mergeCell ref="E9:E10"/>
    <mergeCell ref="E405:E406"/>
    <mergeCell ref="F405:F406"/>
    <mergeCell ref="F9:F10"/>
    <mergeCell ref="A8:D8"/>
    <mergeCell ref="D9:D10"/>
    <mergeCell ref="D405:D406"/>
    <mergeCell ref="C405:C406"/>
    <mergeCell ref="A9:A11"/>
    <mergeCell ref="B9:B11"/>
    <mergeCell ref="C9:C11"/>
  </mergeCells>
  <printOptions horizontalCentered="1"/>
  <pageMargins left="0.24" right="0.25" top="0.25" bottom="0.37" header="0.11811023622047245" footer="0.36"/>
  <pageSetup fitToHeight="7" fitToWidth="7" horizontalDpi="300" verticalDpi="300" orientation="portrait" paperSize="9" r:id="rId1"/>
  <rowBreaks count="3" manualBreakCount="3">
    <brk id="227" max="5" man="1"/>
    <brk id="294" max="5" man="1"/>
    <brk id="36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6"/>
  <sheetViews>
    <sheetView view="pageBreakPreview" zoomScaleSheetLayoutView="100" workbookViewId="0" topLeftCell="A49">
      <selection activeCell="E56" sqref="E56"/>
    </sheetView>
  </sheetViews>
  <sheetFormatPr defaultColWidth="9.00390625" defaultRowHeight="12.75"/>
  <cols>
    <col min="1" max="1" width="4.125" style="185" customWidth="1"/>
    <col min="2" max="2" width="6.00390625" style="185" customWidth="1"/>
    <col min="3" max="3" width="5.00390625" style="185" customWidth="1"/>
    <col min="4" max="4" width="44.875" style="185" customWidth="1"/>
    <col min="5" max="5" width="10.75390625" style="185" customWidth="1"/>
    <col min="6" max="6" width="10.25390625" style="185" customWidth="1"/>
    <col min="7" max="7" width="11.125" style="431" customWidth="1"/>
    <col min="8" max="8" width="7.875" style="429" customWidth="1"/>
    <col min="9" max="9" width="12.00390625" style="429" customWidth="1"/>
    <col min="10" max="10" width="6.00390625" style="185" customWidth="1"/>
    <col min="11" max="16384" width="9.125" style="185" customWidth="1"/>
  </cols>
  <sheetData>
    <row r="1" ht="12.75">
      <c r="F1" s="238" t="s">
        <v>408</v>
      </c>
    </row>
    <row r="2" ht="12.75">
      <c r="F2" s="238" t="s">
        <v>179</v>
      </c>
    </row>
    <row r="3" spans="2:6" ht="12.75">
      <c r="B3" s="305"/>
      <c r="C3" s="305"/>
      <c r="D3" s="305"/>
      <c r="F3" s="238" t="s">
        <v>180</v>
      </c>
    </row>
    <row r="4" ht="12.75">
      <c r="F4" s="238" t="s">
        <v>597</v>
      </c>
    </row>
    <row r="7" spans="1:7" ht="12.75">
      <c r="A7" s="950" t="s">
        <v>551</v>
      </c>
      <c r="B7" s="950"/>
      <c r="C7" s="950"/>
      <c r="D7" s="950"/>
      <c r="E7" s="950"/>
      <c r="F7" s="950"/>
      <c r="G7" s="950"/>
    </row>
    <row r="8" spans="3:4" ht="10.5" customHeight="1">
      <c r="C8" s="305"/>
      <c r="D8" s="464"/>
    </row>
    <row r="9" spans="1:7" ht="12" customHeight="1" thickBot="1">
      <c r="A9" s="949" t="s">
        <v>90</v>
      </c>
      <c r="B9" s="949"/>
      <c r="C9" s="949"/>
      <c r="D9" s="949"/>
      <c r="E9" s="949"/>
      <c r="F9" s="949"/>
      <c r="G9" s="949"/>
    </row>
    <row r="10" spans="1:7" ht="12.75" customHeight="1">
      <c r="A10" s="959" t="s">
        <v>58</v>
      </c>
      <c r="B10" s="962" t="s">
        <v>46</v>
      </c>
      <c r="C10" s="962" t="s">
        <v>0</v>
      </c>
      <c r="D10" s="962" t="s">
        <v>59</v>
      </c>
      <c r="E10" s="956" t="s">
        <v>508</v>
      </c>
      <c r="F10" s="956" t="s">
        <v>594</v>
      </c>
      <c r="G10" s="953" t="s">
        <v>595</v>
      </c>
    </row>
    <row r="11" spans="1:7" ht="12.75">
      <c r="A11" s="960"/>
      <c r="B11" s="963"/>
      <c r="C11" s="963"/>
      <c r="D11" s="963"/>
      <c r="E11" s="957"/>
      <c r="F11" s="957"/>
      <c r="G11" s="954"/>
    </row>
    <row r="12" spans="1:7" ht="12" customHeight="1" thickBot="1">
      <c r="A12" s="961"/>
      <c r="B12" s="964"/>
      <c r="C12" s="964"/>
      <c r="D12" s="964"/>
      <c r="E12" s="958"/>
      <c r="F12" s="958"/>
      <c r="G12" s="955"/>
    </row>
    <row r="13" spans="1:9" s="345" customFormat="1" ht="9.75" customHeight="1" thickBot="1">
      <c r="A13" s="342">
        <v>1</v>
      </c>
      <c r="B13" s="211">
        <v>2</v>
      </c>
      <c r="C13" s="211">
        <v>3</v>
      </c>
      <c r="D13" s="211">
        <v>4</v>
      </c>
      <c r="E13" s="211">
        <v>5</v>
      </c>
      <c r="F13" s="211">
        <v>6</v>
      </c>
      <c r="G13" s="216">
        <v>7</v>
      </c>
      <c r="H13" s="465"/>
      <c r="I13" s="465"/>
    </row>
    <row r="14" spans="1:7" ht="12.75">
      <c r="A14" s="466"/>
      <c r="B14" s="842"/>
      <c r="C14" s="842"/>
      <c r="D14" s="842"/>
      <c r="E14" s="606"/>
      <c r="F14" s="606"/>
      <c r="G14" s="194"/>
    </row>
    <row r="15" spans="1:7" ht="13.5" thickBot="1">
      <c r="A15" s="388" t="s">
        <v>1</v>
      </c>
      <c r="B15" s="415"/>
      <c r="C15" s="415"/>
      <c r="D15" s="843" t="s">
        <v>2</v>
      </c>
      <c r="E15" s="627">
        <f>E16+E19</f>
        <v>60646</v>
      </c>
      <c r="F15" s="627">
        <f>F16+F19</f>
        <v>-3002</v>
      </c>
      <c r="G15" s="739">
        <f aca="true" t="shared" si="0" ref="G15:G23">E15+F15</f>
        <v>57644</v>
      </c>
    </row>
    <row r="16" spans="1:7" ht="12.75">
      <c r="A16" s="392"/>
      <c r="B16" s="704" t="s">
        <v>3</v>
      </c>
      <c r="C16" s="449"/>
      <c r="D16" s="779" t="s">
        <v>63</v>
      </c>
      <c r="E16" s="564">
        <f>E17</f>
        <v>44000</v>
      </c>
      <c r="F16" s="564">
        <f>F17</f>
        <v>0</v>
      </c>
      <c r="G16" s="567">
        <f t="shared" si="0"/>
        <v>44000</v>
      </c>
    </row>
    <row r="17" spans="1:7" ht="12.75">
      <c r="A17" s="392"/>
      <c r="B17" s="417"/>
      <c r="C17" s="418" t="s">
        <v>181</v>
      </c>
      <c r="D17" s="204" t="s">
        <v>182</v>
      </c>
      <c r="E17" s="289">
        <v>44000</v>
      </c>
      <c r="F17" s="289"/>
      <c r="G17" s="566">
        <f t="shared" si="0"/>
        <v>44000</v>
      </c>
    </row>
    <row r="18" spans="1:7" ht="12.75">
      <c r="A18" s="392"/>
      <c r="B18" s="417"/>
      <c r="C18" s="418"/>
      <c r="D18" s="204"/>
      <c r="E18" s="289"/>
      <c r="F18" s="289"/>
      <c r="G18" s="566"/>
    </row>
    <row r="19" spans="1:7" ht="12.75">
      <c r="A19" s="392"/>
      <c r="B19" s="704" t="s">
        <v>788</v>
      </c>
      <c r="C19" s="704"/>
      <c r="D19" s="651" t="s">
        <v>25</v>
      </c>
      <c r="E19" s="564">
        <f>E20</f>
        <v>16646</v>
      </c>
      <c r="F19" s="564">
        <f>F20</f>
        <v>-3002</v>
      </c>
      <c r="G19" s="567">
        <f>G20</f>
        <v>13644</v>
      </c>
    </row>
    <row r="20" spans="1:9" ht="12.75">
      <c r="A20" s="392"/>
      <c r="B20" s="417"/>
      <c r="C20" s="418" t="s">
        <v>707</v>
      </c>
      <c r="D20" s="204" t="s">
        <v>35</v>
      </c>
      <c r="E20" s="289">
        <v>16646</v>
      </c>
      <c r="F20" s="289">
        <v>-3002</v>
      </c>
      <c r="G20" s="566">
        <f>E20+F20</f>
        <v>13644</v>
      </c>
      <c r="H20" s="429">
        <v>13644</v>
      </c>
      <c r="I20" s="431">
        <f>G20-H20</f>
        <v>0</v>
      </c>
    </row>
    <row r="21" spans="1:7" ht="12.75">
      <c r="A21" s="392"/>
      <c r="B21" s="417"/>
      <c r="C21" s="418"/>
      <c r="D21" s="204"/>
      <c r="E21" s="289"/>
      <c r="F21" s="289"/>
      <c r="G21" s="566"/>
    </row>
    <row r="22" spans="1:10" ht="13.5" thickBot="1">
      <c r="A22" s="388" t="s">
        <v>21</v>
      </c>
      <c r="B22" s="415"/>
      <c r="C22" s="415"/>
      <c r="D22" s="416" t="s">
        <v>22</v>
      </c>
      <c r="E22" s="627">
        <f>E26+E23</f>
        <v>193335</v>
      </c>
      <c r="F22" s="627">
        <f>F26+F23</f>
        <v>3962</v>
      </c>
      <c r="G22" s="739">
        <f t="shared" si="0"/>
        <v>197297</v>
      </c>
      <c r="I22" s="468"/>
      <c r="J22" s="325"/>
    </row>
    <row r="23" spans="1:10" ht="12.75">
      <c r="A23" s="402"/>
      <c r="B23" s="704" t="s">
        <v>43</v>
      </c>
      <c r="C23" s="449"/>
      <c r="D23" s="651" t="s">
        <v>64</v>
      </c>
      <c r="E23" s="564">
        <f>SUM(E24)</f>
        <v>188635</v>
      </c>
      <c r="F23" s="564">
        <f>SUM(F24)</f>
        <v>3962</v>
      </c>
      <c r="G23" s="567">
        <f t="shared" si="0"/>
        <v>192597</v>
      </c>
      <c r="I23" s="50"/>
      <c r="J23" s="325"/>
    </row>
    <row r="24" spans="1:7" ht="12.75">
      <c r="A24" s="402"/>
      <c r="B24" s="418"/>
      <c r="C24" s="777">
        <v>3030</v>
      </c>
      <c r="D24" s="656" t="s">
        <v>183</v>
      </c>
      <c r="E24" s="289">
        <v>188635</v>
      </c>
      <c r="F24" s="289">
        <v>3962</v>
      </c>
      <c r="G24" s="566">
        <f aca="true" t="shared" si="1" ref="G24:G31">E24+F24</f>
        <v>192597</v>
      </c>
    </row>
    <row r="25" spans="1:7" ht="12.75">
      <c r="A25" s="402"/>
      <c r="B25" s="417"/>
      <c r="C25" s="417"/>
      <c r="D25" s="204"/>
      <c r="E25" s="289"/>
      <c r="F25" s="289"/>
      <c r="G25" s="566"/>
    </row>
    <row r="26" spans="1:7" ht="12.75">
      <c r="A26" s="410"/>
      <c r="B26" s="704" t="s">
        <v>23</v>
      </c>
      <c r="C26" s="844"/>
      <c r="D26" s="651" t="s">
        <v>64</v>
      </c>
      <c r="E26" s="564">
        <f>E27</f>
        <v>4700</v>
      </c>
      <c r="F26" s="564">
        <f>F27</f>
        <v>0</v>
      </c>
      <c r="G26" s="567">
        <f t="shared" si="1"/>
        <v>4700</v>
      </c>
    </row>
    <row r="27" spans="1:7" ht="12.75">
      <c r="A27" s="410"/>
      <c r="B27" s="407"/>
      <c r="C27" s="418" t="s">
        <v>181</v>
      </c>
      <c r="D27" s="204" t="s">
        <v>182</v>
      </c>
      <c r="E27" s="289">
        <v>4700</v>
      </c>
      <c r="F27" s="289"/>
      <c r="G27" s="566">
        <f t="shared" si="1"/>
        <v>4700</v>
      </c>
    </row>
    <row r="28" spans="1:7" ht="12.75">
      <c r="A28" s="410"/>
      <c r="B28" s="407"/>
      <c r="C28" s="418"/>
      <c r="D28" s="204"/>
      <c r="E28" s="289"/>
      <c r="F28" s="289"/>
      <c r="G28" s="566"/>
    </row>
    <row r="29" spans="1:7" ht="13.5" thickBot="1">
      <c r="A29" s="408">
        <v>600</v>
      </c>
      <c r="B29" s="415"/>
      <c r="C29" s="415"/>
      <c r="D29" s="416" t="s">
        <v>32</v>
      </c>
      <c r="E29" s="627">
        <f>E30+E52</f>
        <v>3824675</v>
      </c>
      <c r="F29" s="627">
        <f>F30+F52</f>
        <v>102994</v>
      </c>
      <c r="G29" s="739">
        <f t="shared" si="1"/>
        <v>3927669</v>
      </c>
    </row>
    <row r="30" spans="1:7" ht="12.75">
      <c r="A30" s="410"/>
      <c r="B30" s="449">
        <v>60014</v>
      </c>
      <c r="C30" s="449"/>
      <c r="D30" s="651" t="s">
        <v>33</v>
      </c>
      <c r="E30" s="564">
        <f>SUM(E31:E50)</f>
        <v>3585970</v>
      </c>
      <c r="F30" s="564">
        <f>SUM(F31:F50)</f>
        <v>104384</v>
      </c>
      <c r="G30" s="567">
        <f t="shared" si="1"/>
        <v>3690354</v>
      </c>
    </row>
    <row r="31" spans="1:7" ht="12.75">
      <c r="A31" s="410"/>
      <c r="B31" s="417"/>
      <c r="C31" s="417">
        <v>2310</v>
      </c>
      <c r="D31" s="204" t="s">
        <v>436</v>
      </c>
      <c r="E31" s="289">
        <v>0</v>
      </c>
      <c r="F31" s="289"/>
      <c r="G31" s="566">
        <f t="shared" si="1"/>
        <v>0</v>
      </c>
    </row>
    <row r="32" spans="1:9" ht="12.75">
      <c r="A32" s="410"/>
      <c r="B32" s="417"/>
      <c r="C32" s="417">
        <v>3020</v>
      </c>
      <c r="D32" s="204" t="s">
        <v>185</v>
      </c>
      <c r="E32" s="289">
        <v>21755</v>
      </c>
      <c r="F32" s="289">
        <v>3647</v>
      </c>
      <c r="G32" s="566">
        <f>E32+F32</f>
        <v>25402</v>
      </c>
      <c r="I32" s="431"/>
    </row>
    <row r="33" spans="1:7" ht="12.75">
      <c r="A33" s="410"/>
      <c r="B33" s="417"/>
      <c r="C33" s="417">
        <v>4010</v>
      </c>
      <c r="D33" s="204" t="s">
        <v>186</v>
      </c>
      <c r="E33" s="289">
        <v>753580</v>
      </c>
      <c r="F33" s="289"/>
      <c r="G33" s="566">
        <f aca="true" t="shared" si="2" ref="G33:G99">E33+F33</f>
        <v>753580</v>
      </c>
    </row>
    <row r="34" spans="1:9" ht="12.75">
      <c r="A34" s="410"/>
      <c r="B34" s="417"/>
      <c r="C34" s="417">
        <v>4040</v>
      </c>
      <c r="D34" s="204" t="s">
        <v>187</v>
      </c>
      <c r="E34" s="289">
        <v>66155</v>
      </c>
      <c r="F34" s="289"/>
      <c r="G34" s="566">
        <f t="shared" si="2"/>
        <v>66155</v>
      </c>
      <c r="I34" s="431"/>
    </row>
    <row r="35" spans="1:7" ht="12.75">
      <c r="A35" s="410"/>
      <c r="B35" s="417"/>
      <c r="C35" s="417">
        <v>4110</v>
      </c>
      <c r="D35" s="204" t="s">
        <v>188</v>
      </c>
      <c r="E35" s="289">
        <v>138135</v>
      </c>
      <c r="F35" s="289"/>
      <c r="G35" s="566">
        <f t="shared" si="2"/>
        <v>138135</v>
      </c>
    </row>
    <row r="36" spans="1:7" ht="12.75">
      <c r="A36" s="410"/>
      <c r="B36" s="417"/>
      <c r="C36" s="417">
        <v>4120</v>
      </c>
      <c r="D36" s="204" t="s">
        <v>189</v>
      </c>
      <c r="E36" s="289">
        <v>19147</v>
      </c>
      <c r="F36" s="289"/>
      <c r="G36" s="566">
        <f t="shared" si="2"/>
        <v>19147</v>
      </c>
    </row>
    <row r="37" spans="1:11" ht="12.75">
      <c r="A37" s="410"/>
      <c r="B37" s="417"/>
      <c r="C37" s="417">
        <v>4210</v>
      </c>
      <c r="D37" s="204" t="s">
        <v>190</v>
      </c>
      <c r="E37" s="289">
        <v>988132</v>
      </c>
      <c r="F37" s="289">
        <v>162330</v>
      </c>
      <c r="G37" s="566">
        <f t="shared" si="2"/>
        <v>1150462</v>
      </c>
      <c r="I37" s="431"/>
      <c r="K37" s="190"/>
    </row>
    <row r="38" spans="1:7" ht="12.75">
      <c r="A38" s="410"/>
      <c r="B38" s="417"/>
      <c r="C38" s="417">
        <v>4260</v>
      </c>
      <c r="D38" s="204" t="s">
        <v>191</v>
      </c>
      <c r="E38" s="289">
        <v>50000</v>
      </c>
      <c r="F38" s="289">
        <v>-4192</v>
      </c>
      <c r="G38" s="566">
        <f t="shared" si="2"/>
        <v>45808</v>
      </c>
    </row>
    <row r="39" spans="1:7" ht="12.75">
      <c r="A39" s="410"/>
      <c r="B39" s="417"/>
      <c r="C39" s="417">
        <v>4270</v>
      </c>
      <c r="D39" s="204" t="s">
        <v>192</v>
      </c>
      <c r="E39" s="289">
        <v>1151746</v>
      </c>
      <c r="F39" s="289">
        <v>-45302</v>
      </c>
      <c r="G39" s="566">
        <f t="shared" si="2"/>
        <v>1106444</v>
      </c>
    </row>
    <row r="40" spans="1:9" ht="12.75">
      <c r="A40" s="410"/>
      <c r="B40" s="417"/>
      <c r="C40" s="417">
        <v>4280</v>
      </c>
      <c r="D40" s="204" t="s">
        <v>193</v>
      </c>
      <c r="E40" s="289">
        <v>2000</v>
      </c>
      <c r="F40" s="289">
        <v>-750</v>
      </c>
      <c r="G40" s="566">
        <f t="shared" si="2"/>
        <v>1250</v>
      </c>
      <c r="I40" s="431"/>
    </row>
    <row r="41" spans="1:7" ht="12.75">
      <c r="A41" s="410"/>
      <c r="B41" s="417"/>
      <c r="C41" s="417">
        <v>4300</v>
      </c>
      <c r="D41" s="204" t="s">
        <v>182</v>
      </c>
      <c r="E41" s="289">
        <v>72100</v>
      </c>
      <c r="F41" s="289">
        <v>5346</v>
      </c>
      <c r="G41" s="566">
        <f t="shared" si="2"/>
        <v>77446</v>
      </c>
    </row>
    <row r="42" spans="1:7" ht="12.75">
      <c r="A42" s="410"/>
      <c r="B42" s="417"/>
      <c r="C42" s="417">
        <v>4410</v>
      </c>
      <c r="D42" s="204" t="s">
        <v>194</v>
      </c>
      <c r="E42" s="289">
        <v>6000</v>
      </c>
      <c r="F42" s="289">
        <v>-754</v>
      </c>
      <c r="G42" s="566">
        <f t="shared" si="2"/>
        <v>5246</v>
      </c>
    </row>
    <row r="43" spans="1:7" ht="12.75">
      <c r="A43" s="410"/>
      <c r="B43" s="417"/>
      <c r="C43" s="417">
        <v>4430</v>
      </c>
      <c r="D43" s="204" t="s">
        <v>195</v>
      </c>
      <c r="E43" s="289">
        <v>39600</v>
      </c>
      <c r="F43" s="289">
        <v>-7382</v>
      </c>
      <c r="G43" s="566">
        <f t="shared" si="2"/>
        <v>32218</v>
      </c>
    </row>
    <row r="44" spans="1:9" ht="12.75">
      <c r="A44" s="410"/>
      <c r="B44" s="417"/>
      <c r="C44" s="417">
        <v>4440</v>
      </c>
      <c r="D44" s="204" t="s">
        <v>196</v>
      </c>
      <c r="E44" s="289">
        <v>32507</v>
      </c>
      <c r="F44" s="289"/>
      <c r="G44" s="566">
        <f t="shared" si="2"/>
        <v>32507</v>
      </c>
      <c r="I44" s="431"/>
    </row>
    <row r="45" spans="1:9" ht="12.75">
      <c r="A45" s="410"/>
      <c r="B45" s="417"/>
      <c r="C45" s="417">
        <v>4480</v>
      </c>
      <c r="D45" s="204" t="s">
        <v>197</v>
      </c>
      <c r="E45" s="289">
        <v>25506</v>
      </c>
      <c r="F45" s="289"/>
      <c r="G45" s="566">
        <f t="shared" si="2"/>
        <v>25506</v>
      </c>
      <c r="I45" s="431"/>
    </row>
    <row r="46" spans="1:7" ht="12.75">
      <c r="A46" s="410"/>
      <c r="B46" s="417"/>
      <c r="C46" s="417">
        <v>4510</v>
      </c>
      <c r="D46" s="204" t="s">
        <v>198</v>
      </c>
      <c r="E46" s="289">
        <v>2829</v>
      </c>
      <c r="F46" s="289"/>
      <c r="G46" s="566">
        <f t="shared" si="2"/>
        <v>2829</v>
      </c>
    </row>
    <row r="47" spans="1:7" ht="12.75">
      <c r="A47" s="410"/>
      <c r="B47" s="417"/>
      <c r="C47" s="417">
        <v>4520</v>
      </c>
      <c r="D47" s="204" t="s">
        <v>406</v>
      </c>
      <c r="E47" s="289">
        <v>1650</v>
      </c>
      <c r="F47" s="289"/>
      <c r="G47" s="566">
        <f t="shared" si="2"/>
        <v>1650</v>
      </c>
    </row>
    <row r="48" spans="1:7" ht="12.75">
      <c r="A48" s="410"/>
      <c r="B48" s="417"/>
      <c r="C48" s="417">
        <v>4580</v>
      </c>
      <c r="D48" s="204" t="s">
        <v>70</v>
      </c>
      <c r="E48" s="289">
        <v>2000</v>
      </c>
      <c r="F48" s="289">
        <v>-1806</v>
      </c>
      <c r="G48" s="566">
        <f t="shared" si="2"/>
        <v>194</v>
      </c>
    </row>
    <row r="49" spans="1:7" ht="12.75">
      <c r="A49" s="410"/>
      <c r="B49" s="417"/>
      <c r="C49" s="417">
        <v>6050</v>
      </c>
      <c r="D49" s="204" t="s">
        <v>199</v>
      </c>
      <c r="E49" s="289">
        <v>179128</v>
      </c>
      <c r="F49" s="289">
        <v>-1193</v>
      </c>
      <c r="G49" s="566">
        <f t="shared" si="2"/>
        <v>177935</v>
      </c>
    </row>
    <row r="50" spans="1:7" ht="12.75">
      <c r="A50" s="410"/>
      <c r="B50" s="417"/>
      <c r="C50" s="417">
        <v>6060</v>
      </c>
      <c r="D50" s="204" t="s">
        <v>448</v>
      </c>
      <c r="E50" s="289">
        <v>34000</v>
      </c>
      <c r="F50" s="289">
        <v>-5560</v>
      </c>
      <c r="G50" s="566">
        <f t="shared" si="2"/>
        <v>28440</v>
      </c>
    </row>
    <row r="51" spans="1:7" ht="12.75">
      <c r="A51" s="410"/>
      <c r="B51" s="417"/>
      <c r="C51" s="417"/>
      <c r="D51" s="204"/>
      <c r="E51" s="289"/>
      <c r="F51" s="289"/>
      <c r="G51" s="566"/>
    </row>
    <row r="52" spans="1:7" ht="12.75">
      <c r="A52" s="410"/>
      <c r="B52" s="449">
        <v>60078</v>
      </c>
      <c r="C52" s="449"/>
      <c r="D52" s="651" t="s">
        <v>776</v>
      </c>
      <c r="E52" s="564">
        <f>E53</f>
        <v>238705</v>
      </c>
      <c r="F52" s="564">
        <f>F53</f>
        <v>-1390</v>
      </c>
      <c r="G52" s="567">
        <f>E52+F52</f>
        <v>237315</v>
      </c>
    </row>
    <row r="53" spans="1:7" ht="12.75">
      <c r="A53" s="410"/>
      <c r="B53" s="417"/>
      <c r="C53" s="417">
        <v>6050</v>
      </c>
      <c r="D53" s="204" t="s">
        <v>199</v>
      </c>
      <c r="E53" s="289">
        <v>238705</v>
      </c>
      <c r="F53" s="289">
        <v>-1390</v>
      </c>
      <c r="G53" s="566">
        <f>E53+F53</f>
        <v>237315</v>
      </c>
    </row>
    <row r="54" spans="1:7" ht="12.75">
      <c r="A54" s="410"/>
      <c r="B54" s="417"/>
      <c r="C54" s="417"/>
      <c r="D54" s="204"/>
      <c r="E54" s="289"/>
      <c r="F54" s="289"/>
      <c r="G54" s="566"/>
    </row>
    <row r="55" spans="1:7" ht="13.5" thickBot="1">
      <c r="A55" s="408">
        <v>630</v>
      </c>
      <c r="B55" s="415"/>
      <c r="C55" s="845"/>
      <c r="D55" s="416" t="s">
        <v>200</v>
      </c>
      <c r="E55" s="627">
        <f>E56</f>
        <v>2000</v>
      </c>
      <c r="F55" s="627">
        <f>F56</f>
        <v>-200</v>
      </c>
      <c r="G55" s="739">
        <f t="shared" si="2"/>
        <v>1800</v>
      </c>
    </row>
    <row r="56" spans="1:7" ht="12.75">
      <c r="A56" s="410"/>
      <c r="B56" s="449">
        <v>63003</v>
      </c>
      <c r="C56" s="704"/>
      <c r="D56" s="651" t="s">
        <v>201</v>
      </c>
      <c r="E56" s="564">
        <f>SUM(E57:E60)</f>
        <v>2000</v>
      </c>
      <c r="F56" s="564">
        <f>SUM(F57:F60)</f>
        <v>-200</v>
      </c>
      <c r="G56" s="567">
        <f t="shared" si="2"/>
        <v>1800</v>
      </c>
    </row>
    <row r="57" spans="1:8" ht="12.75">
      <c r="A57" s="410"/>
      <c r="B57" s="407"/>
      <c r="C57" s="418" t="s">
        <v>437</v>
      </c>
      <c r="D57" s="204" t="s">
        <v>438</v>
      </c>
      <c r="E57" s="289">
        <v>1000</v>
      </c>
      <c r="F57" s="289"/>
      <c r="G57" s="566">
        <f t="shared" si="2"/>
        <v>1000</v>
      </c>
      <c r="H57" s="431"/>
    </row>
    <row r="58" spans="1:8" ht="12.75">
      <c r="A58" s="410"/>
      <c r="B58" s="407"/>
      <c r="C58" s="418"/>
      <c r="D58" s="204" t="s">
        <v>439</v>
      </c>
      <c r="E58" s="289"/>
      <c r="F58" s="289"/>
      <c r="G58" s="566"/>
      <c r="H58" s="431"/>
    </row>
    <row r="59" spans="1:7" ht="12.75">
      <c r="A59" s="410"/>
      <c r="B59" s="407"/>
      <c r="C59" s="418" t="s">
        <v>202</v>
      </c>
      <c r="D59" s="204" t="s">
        <v>190</v>
      </c>
      <c r="E59" s="289">
        <v>200</v>
      </c>
      <c r="F59" s="289">
        <v>-200</v>
      </c>
      <c r="G59" s="566">
        <f t="shared" si="2"/>
        <v>0</v>
      </c>
    </row>
    <row r="60" spans="1:7" ht="12.75">
      <c r="A60" s="410"/>
      <c r="B60" s="407"/>
      <c r="C60" s="418" t="s">
        <v>181</v>
      </c>
      <c r="D60" s="204" t="s">
        <v>182</v>
      </c>
      <c r="E60" s="289">
        <v>800</v>
      </c>
      <c r="F60" s="289"/>
      <c r="G60" s="566">
        <f t="shared" si="2"/>
        <v>800</v>
      </c>
    </row>
    <row r="61" spans="1:7" ht="12.75">
      <c r="A61" s="410"/>
      <c r="B61" s="407"/>
      <c r="C61" s="418"/>
      <c r="D61" s="204"/>
      <c r="E61" s="289"/>
      <c r="F61" s="289"/>
      <c r="G61" s="566"/>
    </row>
    <row r="62" spans="1:7" ht="13.5" thickBot="1">
      <c r="A62" s="408">
        <v>700</v>
      </c>
      <c r="B62" s="415"/>
      <c r="C62" s="415"/>
      <c r="D62" s="416" t="s">
        <v>5</v>
      </c>
      <c r="E62" s="627">
        <f>E63</f>
        <v>96804</v>
      </c>
      <c r="F62" s="627">
        <f>F63</f>
        <v>5620</v>
      </c>
      <c r="G62" s="739">
        <f t="shared" si="2"/>
        <v>102424</v>
      </c>
    </row>
    <row r="63" spans="1:7" ht="12.75">
      <c r="A63" s="410"/>
      <c r="B63" s="449">
        <v>70005</v>
      </c>
      <c r="C63" s="449"/>
      <c r="D63" s="651" t="s">
        <v>7</v>
      </c>
      <c r="E63" s="564">
        <f>SUM(E64:E69)</f>
        <v>96804</v>
      </c>
      <c r="F63" s="719">
        <f>SUM(F64:F69)</f>
        <v>5620</v>
      </c>
      <c r="G63" s="567">
        <f t="shared" si="2"/>
        <v>102424</v>
      </c>
    </row>
    <row r="64" spans="1:7" ht="12.75">
      <c r="A64" s="410"/>
      <c r="B64" s="417"/>
      <c r="C64" s="417">
        <v>4260</v>
      </c>
      <c r="D64" s="204" t="s">
        <v>191</v>
      </c>
      <c r="E64" s="289">
        <v>10000</v>
      </c>
      <c r="F64" s="289">
        <v>-1749</v>
      </c>
      <c r="G64" s="566">
        <f t="shared" si="2"/>
        <v>8251</v>
      </c>
    </row>
    <row r="65" spans="1:7" ht="12.75">
      <c r="A65" s="410"/>
      <c r="B65" s="417"/>
      <c r="C65" s="417">
        <v>4270</v>
      </c>
      <c r="D65" s="204" t="s">
        <v>192</v>
      </c>
      <c r="E65" s="289">
        <v>34506</v>
      </c>
      <c r="F65" s="289">
        <v>-28</v>
      </c>
      <c r="G65" s="566">
        <f t="shared" si="2"/>
        <v>34478</v>
      </c>
    </row>
    <row r="66" spans="1:7" ht="12.75">
      <c r="A66" s="410"/>
      <c r="B66" s="417"/>
      <c r="C66" s="418" t="s">
        <v>181</v>
      </c>
      <c r="D66" s="204" t="s">
        <v>182</v>
      </c>
      <c r="E66" s="289">
        <v>37755</v>
      </c>
      <c r="F66" s="289">
        <f>28+12285</f>
        <v>12313</v>
      </c>
      <c r="G66" s="566">
        <f t="shared" si="2"/>
        <v>50068</v>
      </c>
    </row>
    <row r="67" spans="1:7" ht="12.75">
      <c r="A67" s="410"/>
      <c r="B67" s="417"/>
      <c r="C67" s="418" t="s">
        <v>203</v>
      </c>
      <c r="D67" s="204" t="s">
        <v>197</v>
      </c>
      <c r="E67" s="289">
        <v>10727</v>
      </c>
      <c r="F67" s="289">
        <v>-1100</v>
      </c>
      <c r="G67" s="566">
        <f t="shared" si="2"/>
        <v>9627</v>
      </c>
    </row>
    <row r="68" spans="1:7" ht="12.75">
      <c r="A68" s="410"/>
      <c r="B68" s="417"/>
      <c r="C68" s="418" t="s">
        <v>204</v>
      </c>
      <c r="D68" s="204" t="s">
        <v>205</v>
      </c>
      <c r="E68" s="289">
        <v>0</v>
      </c>
      <c r="F68" s="289"/>
      <c r="G68" s="566">
        <f t="shared" si="2"/>
        <v>0</v>
      </c>
    </row>
    <row r="69" spans="1:7" ht="12.75">
      <c r="A69" s="410"/>
      <c r="B69" s="417"/>
      <c r="C69" s="418" t="s">
        <v>707</v>
      </c>
      <c r="D69" s="204" t="s">
        <v>35</v>
      </c>
      <c r="E69" s="289">
        <v>3816</v>
      </c>
      <c r="F69" s="289">
        <v>-3816</v>
      </c>
      <c r="G69" s="566">
        <f t="shared" si="2"/>
        <v>0</v>
      </c>
    </row>
    <row r="70" spans="1:7" ht="14.25" customHeight="1">
      <c r="A70" s="410"/>
      <c r="B70" s="417"/>
      <c r="C70" s="417"/>
      <c r="D70" s="204"/>
      <c r="E70" s="289"/>
      <c r="F70" s="631"/>
      <c r="G70" s="566"/>
    </row>
    <row r="71" spans="1:7" ht="13.5" thickBot="1">
      <c r="A71" s="408">
        <v>710</v>
      </c>
      <c r="B71" s="415"/>
      <c r="C71" s="845"/>
      <c r="D71" s="416" t="s">
        <v>9</v>
      </c>
      <c r="E71" s="627">
        <f>E72+E75+E78</f>
        <v>277553</v>
      </c>
      <c r="F71" s="627">
        <f>F72+F75+F78</f>
        <v>0</v>
      </c>
      <c r="G71" s="739">
        <f t="shared" si="2"/>
        <v>277553</v>
      </c>
    </row>
    <row r="72" spans="1:7" ht="12.75">
      <c r="A72" s="410"/>
      <c r="B72" s="449">
        <v>71013</v>
      </c>
      <c r="C72" s="704"/>
      <c r="D72" s="651" t="s">
        <v>206</v>
      </c>
      <c r="E72" s="564">
        <f>E73</f>
        <v>40000</v>
      </c>
      <c r="F72" s="564">
        <f>F73</f>
        <v>0</v>
      </c>
      <c r="G72" s="567">
        <f t="shared" si="2"/>
        <v>40000</v>
      </c>
    </row>
    <row r="73" spans="1:7" ht="12.75">
      <c r="A73" s="410"/>
      <c r="B73" s="417"/>
      <c r="C73" s="418" t="s">
        <v>181</v>
      </c>
      <c r="D73" s="204" t="s">
        <v>182</v>
      </c>
      <c r="E73" s="289">
        <v>40000</v>
      </c>
      <c r="F73" s="289"/>
      <c r="G73" s="566">
        <f t="shared" si="2"/>
        <v>40000</v>
      </c>
    </row>
    <row r="74" spans="1:7" ht="12.75">
      <c r="A74" s="410"/>
      <c r="B74" s="417"/>
      <c r="C74" s="418"/>
      <c r="D74" s="204"/>
      <c r="E74" s="289"/>
      <c r="F74" s="289"/>
      <c r="G74" s="566"/>
    </row>
    <row r="75" spans="1:7" ht="12.75">
      <c r="A75" s="410"/>
      <c r="B75" s="449">
        <v>71014</v>
      </c>
      <c r="C75" s="704"/>
      <c r="D75" s="651" t="s">
        <v>12</v>
      </c>
      <c r="E75" s="564">
        <f>E76</f>
        <v>22000</v>
      </c>
      <c r="F75" s="564">
        <f>F76</f>
        <v>0</v>
      </c>
      <c r="G75" s="567">
        <f t="shared" si="2"/>
        <v>22000</v>
      </c>
    </row>
    <row r="76" spans="1:7" ht="12.75">
      <c r="A76" s="410"/>
      <c r="B76" s="417"/>
      <c r="C76" s="418" t="s">
        <v>181</v>
      </c>
      <c r="D76" s="204" t="s">
        <v>182</v>
      </c>
      <c r="E76" s="289">
        <v>22000</v>
      </c>
      <c r="F76" s="289"/>
      <c r="G76" s="566">
        <f t="shared" si="2"/>
        <v>22000</v>
      </c>
    </row>
    <row r="77" spans="1:7" ht="12.75">
      <c r="A77" s="410"/>
      <c r="B77" s="417"/>
      <c r="C77" s="418"/>
      <c r="D77" s="204"/>
      <c r="E77" s="289"/>
      <c r="F77" s="289"/>
      <c r="G77" s="566"/>
    </row>
    <row r="78" spans="1:7" ht="12.75">
      <c r="A78" s="410"/>
      <c r="B78" s="449">
        <v>71015</v>
      </c>
      <c r="C78" s="449"/>
      <c r="D78" s="651" t="s">
        <v>14</v>
      </c>
      <c r="E78" s="564">
        <f>SUM(E79:E88)</f>
        <v>215553</v>
      </c>
      <c r="F78" s="564">
        <f>SUM(F79:F88)</f>
        <v>0</v>
      </c>
      <c r="G78" s="567">
        <f t="shared" si="2"/>
        <v>215553</v>
      </c>
    </row>
    <row r="79" spans="1:9" ht="12.75">
      <c r="A79" s="410"/>
      <c r="B79" s="417"/>
      <c r="C79" s="417">
        <v>4010</v>
      </c>
      <c r="D79" s="204" t="s">
        <v>186</v>
      </c>
      <c r="E79" s="289">
        <v>129968</v>
      </c>
      <c r="F79" s="289">
        <v>-132</v>
      </c>
      <c r="G79" s="566">
        <f t="shared" si="2"/>
        <v>129836</v>
      </c>
      <c r="I79" s="431"/>
    </row>
    <row r="80" spans="1:8" ht="12.75">
      <c r="A80" s="410"/>
      <c r="B80" s="417"/>
      <c r="C80" s="417">
        <v>4040</v>
      </c>
      <c r="D80" s="204" t="s">
        <v>187</v>
      </c>
      <c r="E80" s="289">
        <v>8287</v>
      </c>
      <c r="F80" s="289">
        <v>-33</v>
      </c>
      <c r="G80" s="566">
        <f t="shared" si="2"/>
        <v>8254</v>
      </c>
      <c r="H80" s="431"/>
    </row>
    <row r="81" spans="1:9" ht="12.75">
      <c r="A81" s="410"/>
      <c r="B81" s="417"/>
      <c r="C81" s="417">
        <v>4110</v>
      </c>
      <c r="D81" s="204" t="s">
        <v>188</v>
      </c>
      <c r="E81" s="289">
        <v>23966</v>
      </c>
      <c r="F81" s="289">
        <v>-148</v>
      </c>
      <c r="G81" s="566">
        <f t="shared" si="2"/>
        <v>23818</v>
      </c>
      <c r="I81" s="431"/>
    </row>
    <row r="82" spans="1:7" ht="12.75">
      <c r="A82" s="410"/>
      <c r="B82" s="417"/>
      <c r="C82" s="417">
        <v>4120</v>
      </c>
      <c r="D82" s="204" t="s">
        <v>189</v>
      </c>
      <c r="E82" s="289">
        <v>3230</v>
      </c>
      <c r="F82" s="289">
        <v>-5</v>
      </c>
      <c r="G82" s="566">
        <f t="shared" si="2"/>
        <v>3225</v>
      </c>
    </row>
    <row r="83" spans="1:7" ht="12.75">
      <c r="A83" s="410"/>
      <c r="B83" s="417"/>
      <c r="C83" s="417">
        <v>4170</v>
      </c>
      <c r="D83" s="204" t="s">
        <v>466</v>
      </c>
      <c r="E83" s="289">
        <v>1500</v>
      </c>
      <c r="F83" s="289"/>
      <c r="G83" s="566">
        <f t="shared" si="2"/>
        <v>1500</v>
      </c>
    </row>
    <row r="84" spans="1:9" ht="12.75">
      <c r="A84" s="410"/>
      <c r="B84" s="417"/>
      <c r="C84" s="417">
        <v>4210</v>
      </c>
      <c r="D84" s="204" t="s">
        <v>190</v>
      </c>
      <c r="E84" s="289">
        <v>24352</v>
      </c>
      <c r="F84" s="289">
        <v>318</v>
      </c>
      <c r="G84" s="566">
        <f t="shared" si="2"/>
        <v>24670</v>
      </c>
      <c r="I84" s="431"/>
    </row>
    <row r="85" spans="1:9" ht="12.75">
      <c r="A85" s="410"/>
      <c r="B85" s="417"/>
      <c r="C85" s="417">
        <v>4300</v>
      </c>
      <c r="D85" s="204" t="s">
        <v>182</v>
      </c>
      <c r="E85" s="289">
        <v>18902</v>
      </c>
      <c r="F85" s="289">
        <v>119</v>
      </c>
      <c r="G85" s="566">
        <f t="shared" si="2"/>
        <v>19021</v>
      </c>
      <c r="I85" s="431"/>
    </row>
    <row r="86" spans="1:7" ht="12.75">
      <c r="A86" s="410"/>
      <c r="B86" s="417"/>
      <c r="C86" s="417">
        <v>4430</v>
      </c>
      <c r="D86" s="204" t="s">
        <v>195</v>
      </c>
      <c r="E86" s="289">
        <v>2100</v>
      </c>
      <c r="F86" s="289">
        <v>-119</v>
      </c>
      <c r="G86" s="566">
        <f t="shared" si="2"/>
        <v>1981</v>
      </c>
    </row>
    <row r="87" spans="1:7" ht="12.75">
      <c r="A87" s="410"/>
      <c r="B87" s="417"/>
      <c r="C87" s="417">
        <v>4440</v>
      </c>
      <c r="D87" s="204" t="s">
        <v>196</v>
      </c>
      <c r="E87" s="289">
        <v>3248</v>
      </c>
      <c r="F87" s="289"/>
      <c r="G87" s="566">
        <f t="shared" si="2"/>
        <v>3248</v>
      </c>
    </row>
    <row r="88" spans="1:9" ht="12.75">
      <c r="A88" s="410"/>
      <c r="B88" s="417"/>
      <c r="C88" s="417">
        <v>6060</v>
      </c>
      <c r="D88" s="204" t="s">
        <v>244</v>
      </c>
      <c r="E88" s="289">
        <v>0</v>
      </c>
      <c r="F88" s="289"/>
      <c r="G88" s="566">
        <f t="shared" si="2"/>
        <v>0</v>
      </c>
      <c r="I88" s="431"/>
    </row>
    <row r="89" spans="1:7" ht="12" customHeight="1">
      <c r="A89" s="410"/>
      <c r="B89" s="417"/>
      <c r="C89" s="417"/>
      <c r="D89" s="204"/>
      <c r="E89" s="289"/>
      <c r="F89" s="289"/>
      <c r="G89" s="566"/>
    </row>
    <row r="90" spans="1:7" ht="13.5" thickBot="1">
      <c r="A90" s="408">
        <v>750</v>
      </c>
      <c r="B90" s="415"/>
      <c r="C90" s="415"/>
      <c r="D90" s="416" t="s">
        <v>15</v>
      </c>
      <c r="E90" s="627">
        <f>E91+E107+E115+E137+E146</f>
        <v>4100357</v>
      </c>
      <c r="F90" s="627">
        <f>F91+F107+F115+F137+F146</f>
        <v>-152186</v>
      </c>
      <c r="G90" s="739">
        <f t="shared" si="2"/>
        <v>3948171</v>
      </c>
    </row>
    <row r="91" spans="1:7" ht="12.75">
      <c r="A91" s="410"/>
      <c r="B91" s="449">
        <v>75011</v>
      </c>
      <c r="C91" s="449"/>
      <c r="D91" s="651" t="s">
        <v>16</v>
      </c>
      <c r="E91" s="564">
        <f>SUM(E92:E105)</f>
        <v>256034</v>
      </c>
      <c r="F91" s="564">
        <f>SUM(F92:F105)</f>
        <v>-7744</v>
      </c>
      <c r="G91" s="567">
        <f t="shared" si="2"/>
        <v>248290</v>
      </c>
    </row>
    <row r="92" spans="1:7" ht="12.75">
      <c r="A92" s="410"/>
      <c r="B92" s="417"/>
      <c r="C92" s="417">
        <v>3020</v>
      </c>
      <c r="D92" s="204" t="s">
        <v>185</v>
      </c>
      <c r="E92" s="289">
        <v>915</v>
      </c>
      <c r="F92" s="289">
        <v>-385</v>
      </c>
      <c r="G92" s="566">
        <f t="shared" si="2"/>
        <v>530</v>
      </c>
    </row>
    <row r="93" spans="1:7" ht="12.75">
      <c r="A93" s="410"/>
      <c r="B93" s="417"/>
      <c r="C93" s="417">
        <v>4010</v>
      </c>
      <c r="D93" s="204" t="s">
        <v>186</v>
      </c>
      <c r="E93" s="289">
        <v>159127</v>
      </c>
      <c r="F93" s="289">
        <v>3540</v>
      </c>
      <c r="G93" s="566">
        <f t="shared" si="2"/>
        <v>162667</v>
      </c>
    </row>
    <row r="94" spans="1:9" ht="12.75">
      <c r="A94" s="410"/>
      <c r="B94" s="417"/>
      <c r="C94" s="417">
        <v>4040</v>
      </c>
      <c r="D94" s="204" t="s">
        <v>187</v>
      </c>
      <c r="E94" s="289">
        <v>11314</v>
      </c>
      <c r="F94" s="289"/>
      <c r="G94" s="566">
        <f t="shared" si="2"/>
        <v>11314</v>
      </c>
      <c r="I94" s="431"/>
    </row>
    <row r="95" spans="1:7" ht="12.75">
      <c r="A95" s="410"/>
      <c r="B95" s="417"/>
      <c r="C95" s="417">
        <v>4110</v>
      </c>
      <c r="D95" s="204" t="s">
        <v>188</v>
      </c>
      <c r="E95" s="289">
        <v>29834</v>
      </c>
      <c r="F95" s="289">
        <v>-809</v>
      </c>
      <c r="G95" s="566">
        <f t="shared" si="2"/>
        <v>29025</v>
      </c>
    </row>
    <row r="96" spans="1:9" ht="12.75">
      <c r="A96" s="410"/>
      <c r="B96" s="417"/>
      <c r="C96" s="417">
        <v>4120</v>
      </c>
      <c r="D96" s="204" t="s">
        <v>189</v>
      </c>
      <c r="E96" s="289">
        <v>4330</v>
      </c>
      <c r="F96" s="289">
        <v>-44</v>
      </c>
      <c r="G96" s="566">
        <f t="shared" si="2"/>
        <v>4286</v>
      </c>
      <c r="I96" s="431"/>
    </row>
    <row r="97" spans="1:7" ht="12.75">
      <c r="A97" s="410"/>
      <c r="B97" s="417"/>
      <c r="C97" s="417">
        <v>4170</v>
      </c>
      <c r="D97" s="204" t="s">
        <v>466</v>
      </c>
      <c r="E97" s="289">
        <v>5640</v>
      </c>
      <c r="F97" s="289">
        <v>-1</v>
      </c>
      <c r="G97" s="566">
        <f>F97+E97</f>
        <v>5639</v>
      </c>
    </row>
    <row r="98" spans="1:7" ht="12.75">
      <c r="A98" s="410"/>
      <c r="B98" s="417"/>
      <c r="C98" s="417">
        <v>4210</v>
      </c>
      <c r="D98" s="204" t="s">
        <v>190</v>
      </c>
      <c r="E98" s="289">
        <v>5581</v>
      </c>
      <c r="F98" s="289">
        <v>-1718</v>
      </c>
      <c r="G98" s="566">
        <f t="shared" si="2"/>
        <v>3863</v>
      </c>
    </row>
    <row r="99" spans="1:7" ht="12.75">
      <c r="A99" s="410"/>
      <c r="B99" s="417"/>
      <c r="C99" s="417">
        <v>4260</v>
      </c>
      <c r="D99" s="204" t="s">
        <v>191</v>
      </c>
      <c r="E99" s="289">
        <v>5425</v>
      </c>
      <c r="F99" s="289">
        <v>-199</v>
      </c>
      <c r="G99" s="566">
        <f t="shared" si="2"/>
        <v>5226</v>
      </c>
    </row>
    <row r="100" spans="1:9" ht="12.75">
      <c r="A100" s="410"/>
      <c r="B100" s="417"/>
      <c r="C100" s="417">
        <v>4270</v>
      </c>
      <c r="D100" s="204" t="s">
        <v>192</v>
      </c>
      <c r="E100" s="289">
        <v>2600</v>
      </c>
      <c r="F100" s="289">
        <v>-2496</v>
      </c>
      <c r="G100" s="566">
        <f aca="true" t="shared" si="3" ref="G100:G193">E100+F100</f>
        <v>104</v>
      </c>
      <c r="I100" s="431"/>
    </row>
    <row r="101" spans="1:7" ht="12.75">
      <c r="A101" s="410"/>
      <c r="B101" s="417"/>
      <c r="C101" s="417">
        <v>4280</v>
      </c>
      <c r="D101" s="204" t="s">
        <v>193</v>
      </c>
      <c r="E101" s="289">
        <v>245</v>
      </c>
      <c r="F101" s="289">
        <v>-99</v>
      </c>
      <c r="G101" s="566">
        <f t="shared" si="3"/>
        <v>146</v>
      </c>
    </row>
    <row r="102" spans="1:9" ht="12.75">
      <c r="A102" s="410"/>
      <c r="B102" s="417"/>
      <c r="C102" s="417">
        <v>4300</v>
      </c>
      <c r="D102" s="204" t="s">
        <v>182</v>
      </c>
      <c r="E102" s="289">
        <v>22067</v>
      </c>
      <c r="F102" s="289">
        <v>-4233</v>
      </c>
      <c r="G102" s="566">
        <f t="shared" si="3"/>
        <v>17834</v>
      </c>
      <c r="I102" s="431"/>
    </row>
    <row r="103" spans="1:9" ht="12.75">
      <c r="A103" s="410"/>
      <c r="B103" s="417"/>
      <c r="C103" s="417">
        <v>4350</v>
      </c>
      <c r="D103" s="204" t="s">
        <v>467</v>
      </c>
      <c r="E103" s="289">
        <v>2828</v>
      </c>
      <c r="F103" s="289">
        <v>-579</v>
      </c>
      <c r="G103" s="566">
        <f>F103+E103</f>
        <v>2249</v>
      </c>
      <c r="I103" s="431"/>
    </row>
    <row r="104" spans="1:7" ht="12.75">
      <c r="A104" s="410"/>
      <c r="B104" s="417"/>
      <c r="C104" s="417">
        <v>4410</v>
      </c>
      <c r="D104" s="204" t="s">
        <v>194</v>
      </c>
      <c r="E104" s="289">
        <v>1179</v>
      </c>
      <c r="F104" s="289">
        <v>-721</v>
      </c>
      <c r="G104" s="566">
        <f t="shared" si="3"/>
        <v>458</v>
      </c>
    </row>
    <row r="105" spans="1:7" ht="12.75">
      <c r="A105" s="410"/>
      <c r="B105" s="417"/>
      <c r="C105" s="417">
        <v>4440</v>
      </c>
      <c r="D105" s="204" t="s">
        <v>196</v>
      </c>
      <c r="E105" s="289">
        <f>1466+3483</f>
        <v>4949</v>
      </c>
      <c r="F105" s="289"/>
      <c r="G105" s="566">
        <f t="shared" si="3"/>
        <v>4949</v>
      </c>
    </row>
    <row r="106" spans="1:7" ht="12.75">
      <c r="A106" s="410"/>
      <c r="B106" s="417"/>
      <c r="C106" s="417"/>
      <c r="D106" s="204"/>
      <c r="E106" s="289"/>
      <c r="F106" s="289"/>
      <c r="G106" s="566"/>
    </row>
    <row r="107" spans="1:7" ht="12.75">
      <c r="A107" s="410"/>
      <c r="B107" s="449">
        <v>75019</v>
      </c>
      <c r="C107" s="704"/>
      <c r="D107" s="651" t="s">
        <v>207</v>
      </c>
      <c r="E107" s="564">
        <f>SUM(E108:E113)</f>
        <v>240312</v>
      </c>
      <c r="F107" s="564">
        <f>SUM(F108:F113)</f>
        <v>-13090</v>
      </c>
      <c r="G107" s="567">
        <f t="shared" si="3"/>
        <v>227222</v>
      </c>
    </row>
    <row r="108" spans="1:7" ht="12.75">
      <c r="A108" s="410"/>
      <c r="B108" s="417"/>
      <c r="C108" s="417">
        <v>3030</v>
      </c>
      <c r="D108" s="204" t="s">
        <v>208</v>
      </c>
      <c r="E108" s="289">
        <v>225600</v>
      </c>
      <c r="F108" s="289">
        <v>-15600</v>
      </c>
      <c r="G108" s="566">
        <f t="shared" si="3"/>
        <v>210000</v>
      </c>
    </row>
    <row r="109" spans="1:7" ht="12.75">
      <c r="A109" s="410"/>
      <c r="B109" s="417"/>
      <c r="C109" s="417">
        <v>4210</v>
      </c>
      <c r="D109" s="204" t="s">
        <v>190</v>
      </c>
      <c r="E109" s="289">
        <v>6500</v>
      </c>
      <c r="F109" s="289">
        <v>500</v>
      </c>
      <c r="G109" s="566">
        <f t="shared" si="3"/>
        <v>7000</v>
      </c>
    </row>
    <row r="110" spans="1:7" ht="12.75">
      <c r="A110" s="410"/>
      <c r="B110" s="417"/>
      <c r="C110" s="417">
        <v>4300</v>
      </c>
      <c r="D110" s="204" t="s">
        <v>182</v>
      </c>
      <c r="E110" s="289">
        <v>7500</v>
      </c>
      <c r="F110" s="289">
        <v>2195</v>
      </c>
      <c r="G110" s="566">
        <f t="shared" si="3"/>
        <v>9695</v>
      </c>
    </row>
    <row r="111" spans="1:7" ht="12.75">
      <c r="A111" s="410"/>
      <c r="B111" s="417"/>
      <c r="C111" s="417">
        <v>4410</v>
      </c>
      <c r="D111" s="204" t="s">
        <v>194</v>
      </c>
      <c r="E111" s="289">
        <v>700</v>
      </c>
      <c r="F111" s="289">
        <v>-185</v>
      </c>
      <c r="G111" s="566">
        <f t="shared" si="3"/>
        <v>515</v>
      </c>
    </row>
    <row r="112" spans="1:7" ht="12.75">
      <c r="A112" s="410"/>
      <c r="B112" s="417"/>
      <c r="C112" s="417">
        <v>4420</v>
      </c>
      <c r="D112" s="204" t="s">
        <v>209</v>
      </c>
      <c r="E112" s="289">
        <v>0</v>
      </c>
      <c r="F112" s="289"/>
      <c r="G112" s="566">
        <f t="shared" si="3"/>
        <v>0</v>
      </c>
    </row>
    <row r="113" spans="1:7" ht="12.75">
      <c r="A113" s="410"/>
      <c r="B113" s="417"/>
      <c r="C113" s="417">
        <v>4580</v>
      </c>
      <c r="D113" s="204" t="s">
        <v>70</v>
      </c>
      <c r="E113" s="289">
        <v>12</v>
      </c>
      <c r="F113" s="289"/>
      <c r="G113" s="566">
        <f t="shared" si="3"/>
        <v>12</v>
      </c>
    </row>
    <row r="114" spans="1:7" ht="12.75">
      <c r="A114" s="410"/>
      <c r="B114" s="417"/>
      <c r="C114" s="417"/>
      <c r="D114" s="204"/>
      <c r="E114" s="289"/>
      <c r="F114" s="289"/>
      <c r="G114" s="566"/>
    </row>
    <row r="115" spans="1:7" ht="12.75">
      <c r="A115" s="410"/>
      <c r="B115" s="449">
        <v>75020</v>
      </c>
      <c r="C115" s="449"/>
      <c r="D115" s="651" t="s">
        <v>31</v>
      </c>
      <c r="E115" s="564">
        <f>SUM(E116:E135)</f>
        <v>3549962</v>
      </c>
      <c r="F115" s="564">
        <f>SUM(F116:F135)</f>
        <v>-115292</v>
      </c>
      <c r="G115" s="567">
        <f t="shared" si="3"/>
        <v>3434670</v>
      </c>
    </row>
    <row r="116" spans="1:7" ht="12.75">
      <c r="A116" s="410"/>
      <c r="B116" s="417"/>
      <c r="C116" s="417">
        <v>3020</v>
      </c>
      <c r="D116" s="204" t="s">
        <v>185</v>
      </c>
      <c r="E116" s="289">
        <v>3274</v>
      </c>
      <c r="F116" s="289">
        <v>-1074</v>
      </c>
      <c r="G116" s="566">
        <f t="shared" si="3"/>
        <v>2200</v>
      </c>
    </row>
    <row r="117" spans="1:9" ht="12.75">
      <c r="A117" s="410"/>
      <c r="B117" s="846"/>
      <c r="C117" s="417">
        <v>4010</v>
      </c>
      <c r="D117" s="204" t="s">
        <v>186</v>
      </c>
      <c r="E117" s="289">
        <v>1848949</v>
      </c>
      <c r="F117" s="289">
        <v>-43949</v>
      </c>
      <c r="G117" s="566">
        <f t="shared" si="3"/>
        <v>1805000</v>
      </c>
      <c r="I117" s="431"/>
    </row>
    <row r="118" spans="1:7" ht="12.75">
      <c r="A118" s="410"/>
      <c r="B118" s="846"/>
      <c r="C118" s="417">
        <v>4040</v>
      </c>
      <c r="D118" s="204" t="s">
        <v>187</v>
      </c>
      <c r="E118" s="289">
        <v>147416</v>
      </c>
      <c r="F118" s="289"/>
      <c r="G118" s="566">
        <f t="shared" si="3"/>
        <v>147416</v>
      </c>
    </row>
    <row r="119" spans="1:9" ht="12.75">
      <c r="A119" s="410"/>
      <c r="B119" s="417"/>
      <c r="C119" s="417">
        <v>4110</v>
      </c>
      <c r="D119" s="204" t="s">
        <v>188</v>
      </c>
      <c r="E119" s="289">
        <v>314600</v>
      </c>
      <c r="F119" s="289">
        <v>-595</v>
      </c>
      <c r="G119" s="566">
        <f t="shared" si="3"/>
        <v>314005</v>
      </c>
      <c r="I119" s="431"/>
    </row>
    <row r="120" spans="1:7" ht="12.75">
      <c r="A120" s="410"/>
      <c r="B120" s="417"/>
      <c r="C120" s="417">
        <v>4120</v>
      </c>
      <c r="D120" s="204" t="s">
        <v>189</v>
      </c>
      <c r="E120" s="289">
        <v>44744</v>
      </c>
      <c r="F120" s="289">
        <v>2435</v>
      </c>
      <c r="G120" s="566">
        <f t="shared" si="3"/>
        <v>47179</v>
      </c>
    </row>
    <row r="121" spans="1:7" ht="12.75">
      <c r="A121" s="410"/>
      <c r="B121" s="417"/>
      <c r="C121" s="417">
        <v>4170</v>
      </c>
      <c r="D121" s="204" t="s">
        <v>466</v>
      </c>
      <c r="E121" s="289">
        <v>43620</v>
      </c>
      <c r="F121" s="289">
        <v>-20620</v>
      </c>
      <c r="G121" s="566">
        <f t="shared" si="3"/>
        <v>23000</v>
      </c>
    </row>
    <row r="122" spans="1:7" ht="12.75">
      <c r="A122" s="410"/>
      <c r="B122" s="417"/>
      <c r="C122" s="417">
        <v>4210</v>
      </c>
      <c r="D122" s="204" t="s">
        <v>190</v>
      </c>
      <c r="E122" s="289">
        <v>151450</v>
      </c>
      <c r="F122" s="289">
        <v>-4450</v>
      </c>
      <c r="G122" s="566">
        <f t="shared" si="3"/>
        <v>147000</v>
      </c>
    </row>
    <row r="123" spans="1:7" ht="12.75">
      <c r="A123" s="410"/>
      <c r="B123" s="417"/>
      <c r="C123" s="417">
        <v>4260</v>
      </c>
      <c r="D123" s="204" t="s">
        <v>191</v>
      </c>
      <c r="E123" s="289">
        <v>57507</v>
      </c>
      <c r="F123" s="289">
        <v>-1407</v>
      </c>
      <c r="G123" s="566">
        <f t="shared" si="3"/>
        <v>56100</v>
      </c>
    </row>
    <row r="124" spans="1:7" ht="12.75">
      <c r="A124" s="410"/>
      <c r="B124" s="417"/>
      <c r="C124" s="417">
        <v>4270</v>
      </c>
      <c r="D124" s="204" t="s">
        <v>192</v>
      </c>
      <c r="E124" s="289">
        <v>19643</v>
      </c>
      <c r="F124" s="289">
        <v>-11943</v>
      </c>
      <c r="G124" s="566">
        <f t="shared" si="3"/>
        <v>7700</v>
      </c>
    </row>
    <row r="125" spans="1:7" ht="12.75">
      <c r="A125" s="410"/>
      <c r="B125" s="417"/>
      <c r="C125" s="417">
        <v>4280</v>
      </c>
      <c r="D125" s="204" t="s">
        <v>193</v>
      </c>
      <c r="E125" s="289">
        <v>3696</v>
      </c>
      <c r="F125" s="289">
        <v>-1564</v>
      </c>
      <c r="G125" s="566">
        <f t="shared" si="3"/>
        <v>2132</v>
      </c>
    </row>
    <row r="126" spans="1:7" ht="12.75">
      <c r="A126" s="410"/>
      <c r="B126" s="417"/>
      <c r="C126" s="417">
        <v>4300</v>
      </c>
      <c r="D126" s="204" t="s">
        <v>182</v>
      </c>
      <c r="E126" s="289">
        <v>685777</v>
      </c>
      <c r="F126" s="289">
        <v>41223</v>
      </c>
      <c r="G126" s="566">
        <f t="shared" si="3"/>
        <v>727000</v>
      </c>
    </row>
    <row r="127" spans="1:7" ht="12.75">
      <c r="A127" s="410"/>
      <c r="B127" s="417"/>
      <c r="C127" s="417">
        <v>4350</v>
      </c>
      <c r="D127" s="204" t="s">
        <v>467</v>
      </c>
      <c r="E127" s="289">
        <v>9029</v>
      </c>
      <c r="F127" s="289">
        <v>-3129</v>
      </c>
      <c r="G127" s="566">
        <f t="shared" si="3"/>
        <v>5900</v>
      </c>
    </row>
    <row r="128" spans="1:7" ht="12.75">
      <c r="A128" s="410"/>
      <c r="B128" s="417"/>
      <c r="C128" s="417">
        <v>4410</v>
      </c>
      <c r="D128" s="204" t="s">
        <v>194</v>
      </c>
      <c r="E128" s="289">
        <v>14360</v>
      </c>
      <c r="F128" s="289">
        <v>1640</v>
      </c>
      <c r="G128" s="566">
        <f t="shared" si="3"/>
        <v>16000</v>
      </c>
    </row>
    <row r="129" spans="1:7" ht="12.75">
      <c r="A129" s="410"/>
      <c r="B129" s="417"/>
      <c r="C129" s="417">
        <v>4420</v>
      </c>
      <c r="D129" s="204" t="s">
        <v>209</v>
      </c>
      <c r="E129" s="289">
        <v>750</v>
      </c>
      <c r="F129" s="289">
        <v>-620</v>
      </c>
      <c r="G129" s="566">
        <f t="shared" si="3"/>
        <v>130</v>
      </c>
    </row>
    <row r="130" spans="1:7" ht="12.75">
      <c r="A130" s="410"/>
      <c r="B130" s="417"/>
      <c r="C130" s="417">
        <v>4430</v>
      </c>
      <c r="D130" s="204" t="s">
        <v>195</v>
      </c>
      <c r="E130" s="289">
        <v>5251</v>
      </c>
      <c r="F130" s="289">
        <v>-929</v>
      </c>
      <c r="G130" s="566">
        <f t="shared" si="3"/>
        <v>4322</v>
      </c>
    </row>
    <row r="131" spans="1:7" ht="12.75">
      <c r="A131" s="410"/>
      <c r="B131" s="417"/>
      <c r="C131" s="417">
        <v>4440</v>
      </c>
      <c r="D131" s="204" t="s">
        <v>196</v>
      </c>
      <c r="E131" s="289">
        <v>54150</v>
      </c>
      <c r="F131" s="289"/>
      <c r="G131" s="566">
        <f t="shared" si="3"/>
        <v>54150</v>
      </c>
    </row>
    <row r="132" spans="1:7" ht="12.75">
      <c r="A132" s="410"/>
      <c r="B132" s="417"/>
      <c r="C132" s="417">
        <v>4530</v>
      </c>
      <c r="D132" s="204" t="s">
        <v>784</v>
      </c>
      <c r="E132" s="289">
        <v>1250</v>
      </c>
      <c r="F132" s="289">
        <v>-310</v>
      </c>
      <c r="G132" s="566">
        <f t="shared" si="3"/>
        <v>940</v>
      </c>
    </row>
    <row r="133" spans="1:7" ht="12.75">
      <c r="A133" s="410"/>
      <c r="B133" s="417"/>
      <c r="C133" s="417">
        <v>4580</v>
      </c>
      <c r="D133" s="204" t="s">
        <v>70</v>
      </c>
      <c r="E133" s="289">
        <v>31</v>
      </c>
      <c r="F133" s="289"/>
      <c r="G133" s="566">
        <f t="shared" si="3"/>
        <v>31</v>
      </c>
    </row>
    <row r="134" spans="1:7" ht="12.75">
      <c r="A134" s="410"/>
      <c r="B134" s="417"/>
      <c r="C134" s="417">
        <v>6050</v>
      </c>
      <c r="D134" s="204" t="s">
        <v>199</v>
      </c>
      <c r="E134" s="289">
        <v>74465</v>
      </c>
      <c r="F134" s="289"/>
      <c r="G134" s="566">
        <f t="shared" si="3"/>
        <v>74465</v>
      </c>
    </row>
    <row r="135" spans="1:7" ht="12.75">
      <c r="A135" s="410"/>
      <c r="B135" s="417"/>
      <c r="C135" s="417">
        <v>6060</v>
      </c>
      <c r="D135" s="204" t="s">
        <v>497</v>
      </c>
      <c r="E135" s="289">
        <v>70000</v>
      </c>
      <c r="F135" s="289">
        <v>-70000</v>
      </c>
      <c r="G135" s="566">
        <f>F135+E135</f>
        <v>0</v>
      </c>
    </row>
    <row r="136" spans="1:7" ht="12.75">
      <c r="A136" s="410"/>
      <c r="B136" s="417"/>
      <c r="C136" s="417"/>
      <c r="D136" s="204"/>
      <c r="E136" s="289"/>
      <c r="F136" s="289"/>
      <c r="G136" s="566"/>
    </row>
    <row r="137" spans="1:7" ht="12.75">
      <c r="A137" s="410"/>
      <c r="B137" s="449">
        <v>75045</v>
      </c>
      <c r="C137" s="449"/>
      <c r="D137" s="651" t="s">
        <v>17</v>
      </c>
      <c r="E137" s="564">
        <f>SUM(E138:E144)</f>
        <v>15999</v>
      </c>
      <c r="F137" s="564">
        <f>SUM(F138:F144)</f>
        <v>0</v>
      </c>
      <c r="G137" s="567">
        <f t="shared" si="3"/>
        <v>15999</v>
      </c>
    </row>
    <row r="138" spans="1:7" ht="12.75">
      <c r="A138" s="410"/>
      <c r="B138" s="417"/>
      <c r="C138" s="417">
        <v>3030</v>
      </c>
      <c r="D138" s="204" t="s">
        <v>208</v>
      </c>
      <c r="E138" s="289">
        <v>1330</v>
      </c>
      <c r="F138" s="289"/>
      <c r="G138" s="566">
        <f t="shared" si="3"/>
        <v>1330</v>
      </c>
    </row>
    <row r="139" spans="1:9" ht="12.75">
      <c r="A139" s="410"/>
      <c r="B139" s="417"/>
      <c r="C139" s="417">
        <v>4110</v>
      </c>
      <c r="D139" s="204" t="s">
        <v>188</v>
      </c>
      <c r="E139" s="289">
        <v>885</v>
      </c>
      <c r="F139" s="289"/>
      <c r="G139" s="566">
        <f t="shared" si="3"/>
        <v>885</v>
      </c>
      <c r="I139" s="431"/>
    </row>
    <row r="140" spans="1:7" ht="12.75">
      <c r="A140" s="410"/>
      <c r="B140" s="417"/>
      <c r="C140" s="417">
        <v>4120</v>
      </c>
      <c r="D140" s="204" t="s">
        <v>189</v>
      </c>
      <c r="E140" s="289">
        <v>126</v>
      </c>
      <c r="F140" s="289"/>
      <c r="G140" s="566">
        <f t="shared" si="3"/>
        <v>126</v>
      </c>
    </row>
    <row r="141" spans="1:7" ht="12.75">
      <c r="A141" s="410"/>
      <c r="B141" s="417"/>
      <c r="C141" s="417">
        <v>4170</v>
      </c>
      <c r="D141" s="204" t="s">
        <v>466</v>
      </c>
      <c r="E141" s="289">
        <v>6800</v>
      </c>
      <c r="F141" s="289"/>
      <c r="G141" s="566">
        <f t="shared" si="3"/>
        <v>6800</v>
      </c>
    </row>
    <row r="142" spans="1:7" ht="12.75">
      <c r="A142" s="410"/>
      <c r="B142" s="417"/>
      <c r="C142" s="417">
        <v>4210</v>
      </c>
      <c r="D142" s="204" t="s">
        <v>190</v>
      </c>
      <c r="E142" s="289">
        <v>4340</v>
      </c>
      <c r="F142" s="289"/>
      <c r="G142" s="566">
        <f t="shared" si="3"/>
        <v>4340</v>
      </c>
    </row>
    <row r="143" spans="1:7" ht="12.75">
      <c r="A143" s="410"/>
      <c r="B143" s="417"/>
      <c r="C143" s="417">
        <v>4300</v>
      </c>
      <c r="D143" s="204" t="s">
        <v>182</v>
      </c>
      <c r="E143" s="289">
        <v>2518</v>
      </c>
      <c r="F143" s="289"/>
      <c r="G143" s="566">
        <f t="shared" si="3"/>
        <v>2518</v>
      </c>
    </row>
    <row r="144" spans="1:7" ht="12.75">
      <c r="A144" s="410"/>
      <c r="B144" s="417"/>
      <c r="C144" s="417">
        <v>4410</v>
      </c>
      <c r="D144" s="204" t="s">
        <v>194</v>
      </c>
      <c r="E144" s="289">
        <v>0</v>
      </c>
      <c r="F144" s="289"/>
      <c r="G144" s="566">
        <f t="shared" si="3"/>
        <v>0</v>
      </c>
    </row>
    <row r="145" spans="1:7" ht="12.75">
      <c r="A145" s="410"/>
      <c r="B145" s="417"/>
      <c r="C145" s="417"/>
      <c r="D145" s="204"/>
      <c r="E145" s="289"/>
      <c r="F145" s="289"/>
      <c r="G145" s="566"/>
    </row>
    <row r="146" spans="1:7" ht="12.75">
      <c r="A146" s="410"/>
      <c r="B146" s="449">
        <v>75095</v>
      </c>
      <c r="C146" s="449"/>
      <c r="D146" s="651" t="s">
        <v>25</v>
      </c>
      <c r="E146" s="564">
        <f>SUM(E147:E151)</f>
        <v>38050</v>
      </c>
      <c r="F146" s="564">
        <f>SUM(F147:F151)</f>
        <v>-16060</v>
      </c>
      <c r="G146" s="567">
        <f t="shared" si="3"/>
        <v>21990</v>
      </c>
    </row>
    <row r="147" spans="1:7" ht="12.75">
      <c r="A147" s="410"/>
      <c r="B147" s="417"/>
      <c r="C147" s="417">
        <v>4170</v>
      </c>
      <c r="D147" s="204" t="s">
        <v>466</v>
      </c>
      <c r="E147" s="289">
        <v>28000</v>
      </c>
      <c r="F147" s="289">
        <v>-16960</v>
      </c>
      <c r="G147" s="566">
        <f t="shared" si="3"/>
        <v>11040</v>
      </c>
    </row>
    <row r="148" spans="1:7" ht="12.75">
      <c r="A148" s="410"/>
      <c r="B148" s="417"/>
      <c r="C148" s="417">
        <v>4210</v>
      </c>
      <c r="D148" s="204" t="s">
        <v>190</v>
      </c>
      <c r="E148" s="289">
        <v>1940</v>
      </c>
      <c r="F148" s="289"/>
      <c r="G148" s="566">
        <f t="shared" si="3"/>
        <v>1940</v>
      </c>
    </row>
    <row r="149" spans="1:7" ht="12.75">
      <c r="A149" s="410"/>
      <c r="B149" s="417"/>
      <c r="C149" s="417">
        <v>4300</v>
      </c>
      <c r="D149" s="204" t="s">
        <v>182</v>
      </c>
      <c r="E149" s="289">
        <v>60</v>
      </c>
      <c r="F149" s="289"/>
      <c r="G149" s="566">
        <f t="shared" si="3"/>
        <v>60</v>
      </c>
    </row>
    <row r="150" spans="1:7" ht="12.75">
      <c r="A150" s="410"/>
      <c r="B150" s="417"/>
      <c r="C150" s="417">
        <v>4430</v>
      </c>
      <c r="D150" s="204" t="s">
        <v>195</v>
      </c>
      <c r="E150" s="289">
        <v>8050</v>
      </c>
      <c r="F150" s="289">
        <v>900</v>
      </c>
      <c r="G150" s="566">
        <f t="shared" si="3"/>
        <v>8950</v>
      </c>
    </row>
    <row r="151" spans="1:7" ht="12.75">
      <c r="A151" s="410"/>
      <c r="B151" s="417"/>
      <c r="C151" s="417">
        <v>6050</v>
      </c>
      <c r="D151" s="204" t="s">
        <v>199</v>
      </c>
      <c r="E151" s="289">
        <v>0</v>
      </c>
      <c r="F151" s="289"/>
      <c r="G151" s="566">
        <f t="shared" si="3"/>
        <v>0</v>
      </c>
    </row>
    <row r="152" spans="1:7" ht="12.75">
      <c r="A152" s="410"/>
      <c r="B152" s="417"/>
      <c r="C152" s="417"/>
      <c r="D152" s="204"/>
      <c r="E152" s="289"/>
      <c r="F152" s="289"/>
      <c r="G152" s="566"/>
    </row>
    <row r="153" spans="1:7" ht="12.75">
      <c r="A153" s="410"/>
      <c r="B153" s="417"/>
      <c r="C153" s="418"/>
      <c r="D153" s="419" t="s">
        <v>805</v>
      </c>
      <c r="E153" s="289"/>
      <c r="F153" s="289"/>
      <c r="G153" s="566"/>
    </row>
    <row r="154" spans="1:7" ht="13.5" thickBot="1">
      <c r="A154" s="408">
        <v>751</v>
      </c>
      <c r="B154" s="415"/>
      <c r="C154" s="845"/>
      <c r="D154" s="416" t="s">
        <v>799</v>
      </c>
      <c r="E154" s="627">
        <f>E157</f>
        <v>18109</v>
      </c>
      <c r="F154" s="627">
        <f>F157</f>
        <v>0</v>
      </c>
      <c r="G154" s="739">
        <f>G157</f>
        <v>18109</v>
      </c>
    </row>
    <row r="155" spans="1:7" ht="12.75">
      <c r="A155" s="410"/>
      <c r="B155" s="417">
        <v>75109</v>
      </c>
      <c r="C155" s="418"/>
      <c r="D155" s="204" t="s">
        <v>800</v>
      </c>
      <c r="E155" s="289"/>
      <c r="F155" s="289"/>
      <c r="G155" s="566"/>
    </row>
    <row r="156" spans="1:7" ht="12.75">
      <c r="A156" s="410"/>
      <c r="B156" s="417"/>
      <c r="C156" s="418"/>
      <c r="D156" s="204" t="s">
        <v>806</v>
      </c>
      <c r="E156" s="289"/>
      <c r="F156" s="289"/>
      <c r="G156" s="566"/>
    </row>
    <row r="157" spans="1:7" ht="12.75">
      <c r="A157" s="410"/>
      <c r="B157" s="449"/>
      <c r="C157" s="704"/>
      <c r="D157" s="651" t="s">
        <v>802</v>
      </c>
      <c r="E157" s="564">
        <f>SUM(E158:E164)</f>
        <v>18109</v>
      </c>
      <c r="F157" s="564">
        <f>SUM(F158:F164)</f>
        <v>0</v>
      </c>
      <c r="G157" s="567">
        <f>SUM(G158:G164)</f>
        <v>18109</v>
      </c>
    </row>
    <row r="158" spans="1:7" ht="12.75">
      <c r="A158" s="410"/>
      <c r="B158" s="417"/>
      <c r="C158" s="417">
        <v>3030</v>
      </c>
      <c r="D158" s="204" t="s">
        <v>208</v>
      </c>
      <c r="E158" s="289">
        <v>1470</v>
      </c>
      <c r="F158" s="289"/>
      <c r="G158" s="566">
        <f aca="true" t="shared" si="4" ref="G158:G164">E158+F158</f>
        <v>1470</v>
      </c>
    </row>
    <row r="159" spans="1:7" ht="12.75">
      <c r="A159" s="410"/>
      <c r="B159" s="417"/>
      <c r="C159" s="417">
        <v>4110</v>
      </c>
      <c r="D159" s="204" t="s">
        <v>188</v>
      </c>
      <c r="E159" s="289">
        <v>891</v>
      </c>
      <c r="F159" s="289">
        <v>459</v>
      </c>
      <c r="G159" s="566">
        <f t="shared" si="4"/>
        <v>1350</v>
      </c>
    </row>
    <row r="160" spans="1:7" ht="12.75">
      <c r="A160" s="410"/>
      <c r="B160" s="417"/>
      <c r="C160" s="417">
        <v>4120</v>
      </c>
      <c r="D160" s="204" t="s">
        <v>189</v>
      </c>
      <c r="E160" s="289">
        <v>122</v>
      </c>
      <c r="F160" s="289">
        <v>70</v>
      </c>
      <c r="G160" s="566">
        <f t="shared" si="4"/>
        <v>192</v>
      </c>
    </row>
    <row r="161" spans="1:7" ht="12.75">
      <c r="A161" s="410"/>
      <c r="B161" s="417"/>
      <c r="C161" s="417">
        <v>4170</v>
      </c>
      <c r="D161" s="204" t="s">
        <v>466</v>
      </c>
      <c r="E161" s="289">
        <v>5000</v>
      </c>
      <c r="F161" s="289">
        <v>2821</v>
      </c>
      <c r="G161" s="566">
        <f t="shared" si="4"/>
        <v>7821</v>
      </c>
    </row>
    <row r="162" spans="1:7" ht="12.75">
      <c r="A162" s="410"/>
      <c r="B162" s="417"/>
      <c r="C162" s="417">
        <v>4210</v>
      </c>
      <c r="D162" s="204" t="s">
        <v>190</v>
      </c>
      <c r="E162" s="289">
        <v>6626</v>
      </c>
      <c r="F162" s="289">
        <v>-2222</v>
      </c>
      <c r="G162" s="566">
        <f t="shared" si="4"/>
        <v>4404</v>
      </c>
    </row>
    <row r="163" spans="1:7" ht="12.75">
      <c r="A163" s="410"/>
      <c r="B163" s="417"/>
      <c r="C163" s="417">
        <v>4300</v>
      </c>
      <c r="D163" s="204" t="s">
        <v>182</v>
      </c>
      <c r="E163" s="289">
        <v>4000</v>
      </c>
      <c r="F163" s="289">
        <v>-2333</v>
      </c>
      <c r="G163" s="566">
        <f t="shared" si="4"/>
        <v>1667</v>
      </c>
    </row>
    <row r="164" spans="1:7" ht="12.75">
      <c r="A164" s="410"/>
      <c r="B164" s="417"/>
      <c r="C164" s="417">
        <v>4410</v>
      </c>
      <c r="D164" s="204" t="s">
        <v>194</v>
      </c>
      <c r="E164" s="289">
        <v>0</v>
      </c>
      <c r="F164" s="289">
        <v>1205</v>
      </c>
      <c r="G164" s="566">
        <f t="shared" si="4"/>
        <v>1205</v>
      </c>
    </row>
    <row r="165" spans="1:7" ht="12.75">
      <c r="A165" s="410"/>
      <c r="B165" s="417"/>
      <c r="C165" s="417"/>
      <c r="D165" s="204"/>
      <c r="E165" s="289"/>
      <c r="F165" s="289"/>
      <c r="G165" s="566"/>
    </row>
    <row r="166" spans="1:7" ht="13.5" thickBot="1">
      <c r="A166" s="408">
        <v>754</v>
      </c>
      <c r="B166" s="415"/>
      <c r="C166" s="415"/>
      <c r="D166" s="416" t="s">
        <v>210</v>
      </c>
      <c r="E166" s="627">
        <f>E170+E168</f>
        <v>15300</v>
      </c>
      <c r="F166" s="627">
        <f>F170+F168</f>
        <v>-3584</v>
      </c>
      <c r="G166" s="739">
        <f>G170+G168</f>
        <v>11716</v>
      </c>
    </row>
    <row r="167" spans="1:7" ht="12.75">
      <c r="A167" s="392"/>
      <c r="B167" s="444">
        <v>75406</v>
      </c>
      <c r="C167" s="847"/>
      <c r="D167" s="448" t="s">
        <v>714</v>
      </c>
      <c r="E167" s="719">
        <f>E168</f>
        <v>5000</v>
      </c>
      <c r="F167" s="719">
        <f>F168</f>
        <v>0</v>
      </c>
      <c r="G167" s="737">
        <f>G168</f>
        <v>5000</v>
      </c>
    </row>
    <row r="168" spans="1:7" ht="12.75">
      <c r="A168" s="392"/>
      <c r="B168" s="417"/>
      <c r="C168" s="417">
        <v>6610</v>
      </c>
      <c r="D168" s="204" t="s">
        <v>712</v>
      </c>
      <c r="E168" s="289">
        <v>5000</v>
      </c>
      <c r="F168" s="289"/>
      <c r="G168" s="566">
        <f>F168+E168</f>
        <v>5000</v>
      </c>
    </row>
    <row r="169" spans="1:7" ht="12.75">
      <c r="A169" s="392"/>
      <c r="B169" s="407"/>
      <c r="C169" s="407"/>
      <c r="D169" s="204" t="s">
        <v>713</v>
      </c>
      <c r="E169" s="631"/>
      <c r="F169" s="631"/>
      <c r="G169" s="848"/>
    </row>
    <row r="170" spans="1:7" ht="12.75">
      <c r="A170" s="410"/>
      <c r="B170" s="449">
        <v>75495</v>
      </c>
      <c r="C170" s="449"/>
      <c r="D170" s="651" t="s">
        <v>25</v>
      </c>
      <c r="E170" s="564">
        <f>SUM(E171:E175)</f>
        <v>10300</v>
      </c>
      <c r="F170" s="564">
        <f>SUM(F171:F175)</f>
        <v>-3584</v>
      </c>
      <c r="G170" s="567">
        <f t="shared" si="3"/>
        <v>6716</v>
      </c>
    </row>
    <row r="171" spans="1:7" ht="12.75">
      <c r="A171" s="410"/>
      <c r="B171" s="417"/>
      <c r="C171" s="417">
        <v>2310</v>
      </c>
      <c r="D171" s="204" t="s">
        <v>436</v>
      </c>
      <c r="E171" s="289">
        <v>3000</v>
      </c>
      <c r="F171" s="289"/>
      <c r="G171" s="566">
        <f>F171+E171</f>
        <v>3000</v>
      </c>
    </row>
    <row r="172" spans="1:7" ht="12.75">
      <c r="A172" s="410"/>
      <c r="B172" s="417"/>
      <c r="C172" s="417">
        <v>4170</v>
      </c>
      <c r="D172" s="204" t="s">
        <v>466</v>
      </c>
      <c r="E172" s="289">
        <v>0</v>
      </c>
      <c r="F172" s="289">
        <v>848</v>
      </c>
      <c r="G172" s="566">
        <f>F172+E172</f>
        <v>848</v>
      </c>
    </row>
    <row r="173" spans="1:7" ht="12.75">
      <c r="A173" s="410"/>
      <c r="B173" s="417"/>
      <c r="C173" s="417">
        <v>4210</v>
      </c>
      <c r="D173" s="204" t="s">
        <v>190</v>
      </c>
      <c r="E173" s="289">
        <v>5700</v>
      </c>
      <c r="F173" s="289">
        <v>-3210</v>
      </c>
      <c r="G173" s="566">
        <f>F173+E173</f>
        <v>2490</v>
      </c>
    </row>
    <row r="174" spans="1:7" ht="12.75">
      <c r="A174" s="410"/>
      <c r="B174" s="417"/>
      <c r="C174" s="417">
        <v>4300</v>
      </c>
      <c r="D174" s="204" t="s">
        <v>182</v>
      </c>
      <c r="E174" s="289">
        <v>1200</v>
      </c>
      <c r="F174" s="289">
        <v>-1031</v>
      </c>
      <c r="G174" s="566">
        <f>F174+E174</f>
        <v>169</v>
      </c>
    </row>
    <row r="175" spans="1:7" ht="12.75">
      <c r="A175" s="410"/>
      <c r="B175" s="417"/>
      <c r="C175" s="417">
        <v>4410</v>
      </c>
      <c r="D175" s="204" t="s">
        <v>194</v>
      </c>
      <c r="E175" s="289">
        <v>400</v>
      </c>
      <c r="F175" s="289">
        <v>-191</v>
      </c>
      <c r="G175" s="566">
        <f t="shared" si="3"/>
        <v>209</v>
      </c>
    </row>
    <row r="176" spans="1:7" ht="12.75">
      <c r="A176" s="410"/>
      <c r="B176" s="417"/>
      <c r="C176" s="417"/>
      <c r="D176" s="204"/>
      <c r="E176" s="289"/>
      <c r="F176" s="289"/>
      <c r="G176" s="566"/>
    </row>
    <row r="177" spans="1:7" ht="13.5" thickBot="1">
      <c r="A177" s="408">
        <v>757</v>
      </c>
      <c r="B177" s="415"/>
      <c r="C177" s="415"/>
      <c r="D177" s="416" t="s">
        <v>211</v>
      </c>
      <c r="E177" s="627">
        <f>E178+E183</f>
        <v>774444</v>
      </c>
      <c r="F177" s="627">
        <f>F178+F183</f>
        <v>-174444</v>
      </c>
      <c r="G177" s="739">
        <f t="shared" si="3"/>
        <v>600000</v>
      </c>
    </row>
    <row r="178" spans="1:7" ht="12.75">
      <c r="A178" s="410"/>
      <c r="B178" s="449">
        <v>75702</v>
      </c>
      <c r="C178" s="449"/>
      <c r="D178" s="651" t="s">
        <v>138</v>
      </c>
      <c r="E178" s="564">
        <f>SUM(E179:E180)</f>
        <v>630000</v>
      </c>
      <c r="F178" s="564">
        <f>SUM(F179:F180)</f>
        <v>-30000</v>
      </c>
      <c r="G178" s="567">
        <f t="shared" si="3"/>
        <v>600000</v>
      </c>
    </row>
    <row r="179" spans="1:7" ht="12.75">
      <c r="A179" s="410"/>
      <c r="B179" s="417"/>
      <c r="C179" s="417">
        <v>8010</v>
      </c>
      <c r="D179" s="204" t="s">
        <v>440</v>
      </c>
      <c r="E179" s="289">
        <v>0</v>
      </c>
      <c r="F179" s="289"/>
      <c r="G179" s="566">
        <f t="shared" si="3"/>
        <v>0</v>
      </c>
    </row>
    <row r="180" spans="1:7" ht="12.75">
      <c r="A180" s="410"/>
      <c r="B180" s="417"/>
      <c r="C180" s="417">
        <v>8070</v>
      </c>
      <c r="D180" s="204" t="s">
        <v>212</v>
      </c>
      <c r="E180" s="289">
        <v>630000</v>
      </c>
      <c r="F180" s="289">
        <v>-30000</v>
      </c>
      <c r="G180" s="566">
        <f t="shared" si="3"/>
        <v>600000</v>
      </c>
    </row>
    <row r="181" spans="1:7" ht="12.75">
      <c r="A181" s="410"/>
      <c r="B181" s="417"/>
      <c r="C181" s="417"/>
      <c r="D181" s="204"/>
      <c r="E181" s="289"/>
      <c r="F181" s="289"/>
      <c r="G181" s="566"/>
    </row>
    <row r="182" spans="1:7" ht="12.75">
      <c r="A182" s="410"/>
      <c r="B182" s="417">
        <v>75704</v>
      </c>
      <c r="C182" s="417"/>
      <c r="D182" s="204" t="s">
        <v>476</v>
      </c>
      <c r="E182" s="289"/>
      <c r="F182" s="289"/>
      <c r="G182" s="566"/>
    </row>
    <row r="183" spans="1:7" ht="12.75">
      <c r="A183" s="410"/>
      <c r="B183" s="449"/>
      <c r="C183" s="449"/>
      <c r="D183" s="651" t="s">
        <v>477</v>
      </c>
      <c r="E183" s="564">
        <f>E184</f>
        <v>144444</v>
      </c>
      <c r="F183" s="564">
        <f>F184</f>
        <v>-144444</v>
      </c>
      <c r="G183" s="567">
        <f>F183+E183</f>
        <v>0</v>
      </c>
    </row>
    <row r="184" spans="1:7" ht="12.75">
      <c r="A184" s="410"/>
      <c r="B184" s="417"/>
      <c r="C184" s="417">
        <v>8020</v>
      </c>
      <c r="D184" s="204" t="s">
        <v>658</v>
      </c>
      <c r="E184" s="289">
        <v>144444</v>
      </c>
      <c r="F184" s="289">
        <v>-144444</v>
      </c>
      <c r="G184" s="566">
        <f>F184+E184</f>
        <v>0</v>
      </c>
    </row>
    <row r="185" spans="1:7" ht="12.75">
      <c r="A185" s="410"/>
      <c r="B185" s="417"/>
      <c r="C185" s="417"/>
      <c r="D185" s="204"/>
      <c r="E185" s="289"/>
      <c r="F185" s="289"/>
      <c r="G185" s="566"/>
    </row>
    <row r="186" spans="1:7" ht="13.5" thickBot="1">
      <c r="A186" s="408">
        <v>758</v>
      </c>
      <c r="B186" s="415"/>
      <c r="C186" s="415"/>
      <c r="D186" s="416" t="s">
        <v>34</v>
      </c>
      <c r="E186" s="627">
        <f>E187</f>
        <v>1179335</v>
      </c>
      <c r="F186" s="627">
        <f>F187</f>
        <v>-1179335</v>
      </c>
      <c r="G186" s="739">
        <f t="shared" si="3"/>
        <v>0</v>
      </c>
    </row>
    <row r="187" spans="1:7" ht="12.75">
      <c r="A187" s="410"/>
      <c r="B187" s="449">
        <v>75818</v>
      </c>
      <c r="C187" s="449"/>
      <c r="D187" s="651" t="s">
        <v>213</v>
      </c>
      <c r="E187" s="564">
        <f>E188</f>
        <v>1179335</v>
      </c>
      <c r="F187" s="564">
        <f>F188</f>
        <v>-1179335</v>
      </c>
      <c r="G187" s="567">
        <f t="shared" si="3"/>
        <v>0</v>
      </c>
    </row>
    <row r="188" spans="1:7" ht="12.75">
      <c r="A188" s="410"/>
      <c r="B188" s="417"/>
      <c r="C188" s="417">
        <v>4810</v>
      </c>
      <c r="D188" s="204" t="s">
        <v>214</v>
      </c>
      <c r="E188" s="289">
        <v>1179335</v>
      </c>
      <c r="F188" s="716">
        <v>-1179335</v>
      </c>
      <c r="G188" s="566">
        <f t="shared" si="3"/>
        <v>0</v>
      </c>
    </row>
    <row r="189" spans="1:7" ht="12.75">
      <c r="A189" s="410"/>
      <c r="B189" s="417"/>
      <c r="C189" s="417"/>
      <c r="D189" s="204"/>
      <c r="E189" s="289"/>
      <c r="F189" s="289"/>
      <c r="G189" s="566"/>
    </row>
    <row r="190" spans="1:7" ht="13.5" thickBot="1">
      <c r="A190" s="408">
        <v>801</v>
      </c>
      <c r="B190" s="415"/>
      <c r="C190" s="415"/>
      <c r="D190" s="416" t="s">
        <v>24</v>
      </c>
      <c r="E190" s="627">
        <f>E191+E205+E219+E238+E259+E264+E279</f>
        <v>9208469</v>
      </c>
      <c r="F190" s="627">
        <f>F191+F205+F219+F238+F259+F264+F279</f>
        <v>2397</v>
      </c>
      <c r="G190" s="739">
        <f t="shared" si="3"/>
        <v>9210866</v>
      </c>
    </row>
    <row r="191" spans="1:7" ht="12.75">
      <c r="A191" s="410"/>
      <c r="B191" s="449">
        <v>80101</v>
      </c>
      <c r="C191" s="449"/>
      <c r="D191" s="651" t="s">
        <v>215</v>
      </c>
      <c r="E191" s="564">
        <f>SUM(E192:E203)</f>
        <v>79874</v>
      </c>
      <c r="F191" s="564">
        <f>SUM(F192:F203)</f>
        <v>703</v>
      </c>
      <c r="G191" s="737">
        <f t="shared" si="3"/>
        <v>80577</v>
      </c>
    </row>
    <row r="192" spans="1:7" ht="12.75">
      <c r="A192" s="410"/>
      <c r="B192" s="417"/>
      <c r="C192" s="417">
        <v>3020</v>
      </c>
      <c r="D192" s="204" t="s">
        <v>185</v>
      </c>
      <c r="E192" s="289">
        <v>4495</v>
      </c>
      <c r="F192" s="289">
        <v>72</v>
      </c>
      <c r="G192" s="566">
        <f t="shared" si="3"/>
        <v>4567</v>
      </c>
    </row>
    <row r="193" spans="1:9" ht="12.75">
      <c r="A193" s="410"/>
      <c r="B193" s="417"/>
      <c r="C193" s="417">
        <v>4010</v>
      </c>
      <c r="D193" s="204" t="s">
        <v>186</v>
      </c>
      <c r="E193" s="289">
        <v>51691</v>
      </c>
      <c r="F193" s="289">
        <v>2185</v>
      </c>
      <c r="G193" s="566">
        <f t="shared" si="3"/>
        <v>53876</v>
      </c>
      <c r="I193" s="431"/>
    </row>
    <row r="194" spans="1:7" ht="12.75">
      <c r="A194" s="410"/>
      <c r="B194" s="417"/>
      <c r="C194" s="417">
        <v>4040</v>
      </c>
      <c r="D194" s="204" t="s">
        <v>187</v>
      </c>
      <c r="E194" s="289">
        <v>3779</v>
      </c>
      <c r="F194" s="289"/>
      <c r="G194" s="566">
        <f aca="true" t="shared" si="5" ref="G194:G252">E194+F194</f>
        <v>3779</v>
      </c>
    </row>
    <row r="195" spans="1:7" ht="12.75">
      <c r="A195" s="410"/>
      <c r="B195" s="417"/>
      <c r="C195" s="417">
        <v>4110</v>
      </c>
      <c r="D195" s="204" t="s">
        <v>188</v>
      </c>
      <c r="E195" s="289">
        <v>10220</v>
      </c>
      <c r="F195" s="289">
        <v>168</v>
      </c>
      <c r="G195" s="566">
        <f t="shared" si="5"/>
        <v>10388</v>
      </c>
    </row>
    <row r="196" spans="1:7" ht="12.75">
      <c r="A196" s="410"/>
      <c r="B196" s="417"/>
      <c r="C196" s="417">
        <v>4120</v>
      </c>
      <c r="D196" s="204" t="s">
        <v>189</v>
      </c>
      <c r="E196" s="289">
        <v>1476</v>
      </c>
      <c r="F196" s="289">
        <v>12</v>
      </c>
      <c r="G196" s="566">
        <f t="shared" si="5"/>
        <v>1488</v>
      </c>
    </row>
    <row r="197" spans="1:7" ht="12.75">
      <c r="A197" s="410"/>
      <c r="B197" s="417"/>
      <c r="C197" s="417">
        <v>4210</v>
      </c>
      <c r="D197" s="204" t="s">
        <v>190</v>
      </c>
      <c r="E197" s="289">
        <v>1000</v>
      </c>
      <c r="F197" s="289">
        <v>-500</v>
      </c>
      <c r="G197" s="566">
        <f t="shared" si="5"/>
        <v>500</v>
      </c>
    </row>
    <row r="198" spans="1:7" ht="12.75">
      <c r="A198" s="410"/>
      <c r="B198" s="417"/>
      <c r="C198" s="417">
        <v>4240</v>
      </c>
      <c r="D198" s="204" t="s">
        <v>216</v>
      </c>
      <c r="E198" s="289">
        <v>562</v>
      </c>
      <c r="F198" s="289"/>
      <c r="G198" s="566">
        <f t="shared" si="5"/>
        <v>562</v>
      </c>
    </row>
    <row r="199" spans="1:7" ht="12.75">
      <c r="A199" s="410"/>
      <c r="B199" s="417"/>
      <c r="C199" s="417">
        <v>4260</v>
      </c>
      <c r="D199" s="204" t="s">
        <v>191</v>
      </c>
      <c r="E199" s="289">
        <v>1000</v>
      </c>
      <c r="F199" s="289"/>
      <c r="G199" s="566">
        <f t="shared" si="5"/>
        <v>1000</v>
      </c>
    </row>
    <row r="200" spans="1:7" ht="12.75">
      <c r="A200" s="410"/>
      <c r="B200" s="417"/>
      <c r="C200" s="417">
        <v>4270</v>
      </c>
      <c r="D200" s="204" t="s">
        <v>192</v>
      </c>
      <c r="E200" s="289">
        <v>500</v>
      </c>
      <c r="F200" s="289">
        <v>-500</v>
      </c>
      <c r="G200" s="566">
        <f t="shared" si="5"/>
        <v>0</v>
      </c>
    </row>
    <row r="201" spans="1:7" ht="12.75">
      <c r="A201" s="410"/>
      <c r="B201" s="417"/>
      <c r="C201" s="417">
        <v>4300</v>
      </c>
      <c r="D201" s="204" t="s">
        <v>182</v>
      </c>
      <c r="E201" s="289">
        <v>559</v>
      </c>
      <c r="F201" s="289">
        <v>-251</v>
      </c>
      <c r="G201" s="566">
        <f t="shared" si="5"/>
        <v>308</v>
      </c>
    </row>
    <row r="202" spans="1:7" ht="12.75">
      <c r="A202" s="410"/>
      <c r="B202" s="417"/>
      <c r="C202" s="417">
        <v>4410</v>
      </c>
      <c r="D202" s="204" t="s">
        <v>194</v>
      </c>
      <c r="E202" s="289">
        <v>700</v>
      </c>
      <c r="F202" s="289">
        <v>-483</v>
      </c>
      <c r="G202" s="566">
        <f t="shared" si="5"/>
        <v>217</v>
      </c>
    </row>
    <row r="203" spans="1:7" ht="12.75">
      <c r="A203" s="410"/>
      <c r="B203" s="417"/>
      <c r="C203" s="417">
        <v>4440</v>
      </c>
      <c r="D203" s="204" t="s">
        <v>196</v>
      </c>
      <c r="E203" s="289">
        <v>3892</v>
      </c>
      <c r="F203" s="289"/>
      <c r="G203" s="566">
        <f t="shared" si="5"/>
        <v>3892</v>
      </c>
    </row>
    <row r="204" spans="1:7" ht="12.75">
      <c r="A204" s="410"/>
      <c r="B204" s="417"/>
      <c r="C204" s="417"/>
      <c r="D204" s="204"/>
      <c r="E204" s="289"/>
      <c r="F204" s="289"/>
      <c r="G204" s="566"/>
    </row>
    <row r="205" spans="1:7" ht="12.75">
      <c r="A205" s="452"/>
      <c r="B205" s="449">
        <v>80110</v>
      </c>
      <c r="C205" s="449"/>
      <c r="D205" s="651" t="s">
        <v>217</v>
      </c>
      <c r="E205" s="564">
        <f>SUM(E206:E217)</f>
        <v>374145</v>
      </c>
      <c r="F205" s="564">
        <f>SUM(F206:F217)</f>
        <v>3551</v>
      </c>
      <c r="G205" s="567">
        <f t="shared" si="5"/>
        <v>377696</v>
      </c>
    </row>
    <row r="206" spans="1:7" ht="12.75">
      <c r="A206" s="452"/>
      <c r="B206" s="417"/>
      <c r="C206" s="417">
        <v>3020</v>
      </c>
      <c r="D206" s="204" t="s">
        <v>185</v>
      </c>
      <c r="E206" s="289">
        <v>12696</v>
      </c>
      <c r="F206" s="289">
        <v>145</v>
      </c>
      <c r="G206" s="566">
        <f t="shared" si="5"/>
        <v>12841</v>
      </c>
    </row>
    <row r="207" spans="1:9" ht="12.75">
      <c r="A207" s="452"/>
      <c r="B207" s="417"/>
      <c r="C207" s="417">
        <v>4010</v>
      </c>
      <c r="D207" s="204" t="s">
        <v>186</v>
      </c>
      <c r="E207" s="289">
        <v>228622</v>
      </c>
      <c r="F207" s="289">
        <f>-11+3589</f>
        <v>3578</v>
      </c>
      <c r="G207" s="566">
        <f t="shared" si="5"/>
        <v>232200</v>
      </c>
      <c r="I207" s="431"/>
    </row>
    <row r="208" spans="1:7" ht="12.75">
      <c r="A208" s="452"/>
      <c r="B208" s="417"/>
      <c r="C208" s="417">
        <v>4040</v>
      </c>
      <c r="D208" s="204" t="s">
        <v>187</v>
      </c>
      <c r="E208" s="289">
        <v>15237</v>
      </c>
      <c r="F208" s="289"/>
      <c r="G208" s="566">
        <f t="shared" si="5"/>
        <v>15237</v>
      </c>
    </row>
    <row r="209" spans="1:7" ht="12.75">
      <c r="A209" s="452"/>
      <c r="B209" s="417"/>
      <c r="C209" s="417">
        <v>4110</v>
      </c>
      <c r="D209" s="204" t="s">
        <v>188</v>
      </c>
      <c r="E209" s="289">
        <v>44142</v>
      </c>
      <c r="F209" s="289">
        <v>286</v>
      </c>
      <c r="G209" s="566">
        <f t="shared" si="5"/>
        <v>44428</v>
      </c>
    </row>
    <row r="210" spans="1:7" ht="12.75">
      <c r="A210" s="452"/>
      <c r="B210" s="417"/>
      <c r="C210" s="417">
        <v>4120</v>
      </c>
      <c r="D210" s="204" t="s">
        <v>189</v>
      </c>
      <c r="E210" s="289">
        <v>6157</v>
      </c>
      <c r="F210" s="289">
        <v>35</v>
      </c>
      <c r="G210" s="566">
        <f t="shared" si="5"/>
        <v>6192</v>
      </c>
    </row>
    <row r="211" spans="1:7" ht="12.75">
      <c r="A211" s="452"/>
      <c r="B211" s="417"/>
      <c r="C211" s="417">
        <v>4210</v>
      </c>
      <c r="D211" s="204" t="s">
        <v>190</v>
      </c>
      <c r="E211" s="289">
        <v>31000</v>
      </c>
      <c r="F211" s="289">
        <v>-46</v>
      </c>
      <c r="G211" s="566">
        <f>E211+F211</f>
        <v>30954</v>
      </c>
    </row>
    <row r="212" spans="1:7" ht="12.75">
      <c r="A212" s="452"/>
      <c r="B212" s="417"/>
      <c r="C212" s="417">
        <v>4240</v>
      </c>
      <c r="D212" s="204" t="s">
        <v>218</v>
      </c>
      <c r="E212" s="289">
        <v>1000</v>
      </c>
      <c r="F212" s="289"/>
      <c r="G212" s="566">
        <f t="shared" si="5"/>
        <v>1000</v>
      </c>
    </row>
    <row r="213" spans="1:7" ht="12.75">
      <c r="A213" s="452"/>
      <c r="B213" s="417"/>
      <c r="C213" s="417">
        <v>4260</v>
      </c>
      <c r="D213" s="204" t="s">
        <v>191</v>
      </c>
      <c r="E213" s="289">
        <v>1000</v>
      </c>
      <c r="F213" s="289"/>
      <c r="G213" s="566">
        <f t="shared" si="5"/>
        <v>1000</v>
      </c>
    </row>
    <row r="214" spans="1:7" ht="12.75">
      <c r="A214" s="452"/>
      <c r="B214" s="417"/>
      <c r="C214" s="417">
        <v>4270</v>
      </c>
      <c r="D214" s="204" t="s">
        <v>192</v>
      </c>
      <c r="E214" s="289">
        <v>6373</v>
      </c>
      <c r="F214" s="289"/>
      <c r="G214" s="566">
        <f t="shared" si="5"/>
        <v>6373</v>
      </c>
    </row>
    <row r="215" spans="1:7" ht="12.75">
      <c r="A215" s="452"/>
      <c r="B215" s="417"/>
      <c r="C215" s="417">
        <v>4300</v>
      </c>
      <c r="D215" s="204" t="s">
        <v>182</v>
      </c>
      <c r="E215" s="289">
        <v>1730</v>
      </c>
      <c r="F215" s="289">
        <v>-447</v>
      </c>
      <c r="G215" s="566">
        <f t="shared" si="5"/>
        <v>1283</v>
      </c>
    </row>
    <row r="216" spans="1:7" ht="12.75">
      <c r="A216" s="452"/>
      <c r="B216" s="417"/>
      <c r="C216" s="417">
        <v>4410</v>
      </c>
      <c r="D216" s="204" t="s">
        <v>194</v>
      </c>
      <c r="E216" s="289">
        <v>100</v>
      </c>
      <c r="F216" s="289"/>
      <c r="G216" s="566">
        <f t="shared" si="5"/>
        <v>100</v>
      </c>
    </row>
    <row r="217" spans="1:7" ht="12.75">
      <c r="A217" s="452"/>
      <c r="B217" s="417"/>
      <c r="C217" s="417">
        <v>4440</v>
      </c>
      <c r="D217" s="204" t="s">
        <v>196</v>
      </c>
      <c r="E217" s="289">
        <v>26088</v>
      </c>
      <c r="F217" s="289"/>
      <c r="G217" s="566">
        <f t="shared" si="5"/>
        <v>26088</v>
      </c>
    </row>
    <row r="218" spans="1:7" ht="12.75">
      <c r="A218" s="452"/>
      <c r="B218" s="417"/>
      <c r="C218" s="417"/>
      <c r="D218" s="204"/>
      <c r="E218" s="289"/>
      <c r="F218" s="289"/>
      <c r="G218" s="566"/>
    </row>
    <row r="219" spans="1:7" ht="12.75">
      <c r="A219" s="452"/>
      <c r="B219" s="449">
        <v>80120</v>
      </c>
      <c r="C219" s="449"/>
      <c r="D219" s="651" t="s">
        <v>36</v>
      </c>
      <c r="E219" s="564">
        <f>SUM(E220:E236)</f>
        <v>4172816</v>
      </c>
      <c r="F219" s="564">
        <f>SUM(F220:F236)</f>
        <v>103803</v>
      </c>
      <c r="G219" s="567">
        <f t="shared" si="5"/>
        <v>4276619</v>
      </c>
    </row>
    <row r="220" spans="1:7" ht="12.75">
      <c r="A220" s="452"/>
      <c r="B220" s="417"/>
      <c r="C220" s="417">
        <v>3020</v>
      </c>
      <c r="D220" s="204" t="s">
        <v>185</v>
      </c>
      <c r="E220" s="289">
        <v>5835</v>
      </c>
      <c r="F220" s="289"/>
      <c r="G220" s="566">
        <f t="shared" si="5"/>
        <v>5835</v>
      </c>
    </row>
    <row r="221" spans="1:9" ht="12.75">
      <c r="A221" s="452"/>
      <c r="B221" s="417"/>
      <c r="C221" s="417">
        <v>4010</v>
      </c>
      <c r="D221" s="204" t="s">
        <v>186</v>
      </c>
      <c r="E221" s="289">
        <v>1297573</v>
      </c>
      <c r="F221" s="289">
        <f>35536+26536</f>
        <v>62072</v>
      </c>
      <c r="G221" s="566">
        <f t="shared" si="5"/>
        <v>1359645</v>
      </c>
      <c r="I221" s="431"/>
    </row>
    <row r="222" spans="1:7" ht="12.75">
      <c r="A222" s="452"/>
      <c r="B222" s="417"/>
      <c r="C222" s="417">
        <v>4040</v>
      </c>
      <c r="D222" s="204" t="s">
        <v>187</v>
      </c>
      <c r="E222" s="289">
        <v>109324</v>
      </c>
      <c r="F222" s="289"/>
      <c r="G222" s="566">
        <f t="shared" si="5"/>
        <v>109324</v>
      </c>
    </row>
    <row r="223" spans="1:7" ht="12.75">
      <c r="A223" s="452"/>
      <c r="B223" s="417"/>
      <c r="C223" s="417">
        <v>4110</v>
      </c>
      <c r="D223" s="204" t="s">
        <v>188</v>
      </c>
      <c r="E223" s="289">
        <v>239773</v>
      </c>
      <c r="F223" s="289">
        <f>-1500+4310</f>
        <v>2810</v>
      </c>
      <c r="G223" s="566">
        <f t="shared" si="5"/>
        <v>242583</v>
      </c>
    </row>
    <row r="224" spans="1:7" ht="12.75">
      <c r="A224" s="452"/>
      <c r="B224" s="417"/>
      <c r="C224" s="417">
        <v>4120</v>
      </c>
      <c r="D224" s="204" t="s">
        <v>189</v>
      </c>
      <c r="E224" s="289">
        <v>36499</v>
      </c>
      <c r="F224" s="289">
        <f>-1200-463</f>
        <v>-1663</v>
      </c>
      <c r="G224" s="566">
        <f t="shared" si="5"/>
        <v>34836</v>
      </c>
    </row>
    <row r="225" spans="1:7" ht="12.75">
      <c r="A225" s="452"/>
      <c r="B225" s="417"/>
      <c r="C225" s="417">
        <v>4170</v>
      </c>
      <c r="D225" s="204" t="s">
        <v>466</v>
      </c>
      <c r="E225" s="289">
        <v>7500</v>
      </c>
      <c r="F225" s="289">
        <v>3487</v>
      </c>
      <c r="G225" s="566">
        <f t="shared" si="5"/>
        <v>10987</v>
      </c>
    </row>
    <row r="226" spans="1:7" ht="12.75">
      <c r="A226" s="452"/>
      <c r="B226" s="417"/>
      <c r="C226" s="417">
        <v>4210</v>
      </c>
      <c r="D226" s="204" t="s">
        <v>190</v>
      </c>
      <c r="E226" s="289">
        <v>35060</v>
      </c>
      <c r="F226" s="289">
        <f>7515+14803</f>
        <v>22318</v>
      </c>
      <c r="G226" s="566">
        <f t="shared" si="5"/>
        <v>57378</v>
      </c>
    </row>
    <row r="227" spans="1:7" ht="12.75">
      <c r="A227" s="452"/>
      <c r="B227" s="417"/>
      <c r="C227" s="417">
        <v>4240</v>
      </c>
      <c r="D227" s="204" t="s">
        <v>218</v>
      </c>
      <c r="E227" s="289">
        <v>2537</v>
      </c>
      <c r="F227" s="289">
        <v>16185</v>
      </c>
      <c r="G227" s="566">
        <f t="shared" si="5"/>
        <v>18722</v>
      </c>
    </row>
    <row r="228" spans="1:7" ht="12.75">
      <c r="A228" s="452"/>
      <c r="B228" s="417"/>
      <c r="C228" s="417">
        <v>4260</v>
      </c>
      <c r="D228" s="204" t="s">
        <v>191</v>
      </c>
      <c r="E228" s="294">
        <v>68704</v>
      </c>
      <c r="F228" s="289"/>
      <c r="G228" s="566">
        <f t="shared" si="5"/>
        <v>68704</v>
      </c>
    </row>
    <row r="229" spans="1:9" ht="12.75">
      <c r="A229" s="452"/>
      <c r="B229" s="417"/>
      <c r="C229" s="417">
        <v>4270</v>
      </c>
      <c r="D229" s="204" t="s">
        <v>192</v>
      </c>
      <c r="E229" s="289">
        <v>149839</v>
      </c>
      <c r="F229" s="289">
        <v>-12141</v>
      </c>
      <c r="G229" s="566">
        <f t="shared" si="5"/>
        <v>137698</v>
      </c>
      <c r="I229" s="431"/>
    </row>
    <row r="230" spans="1:7" ht="12.75">
      <c r="A230" s="452"/>
      <c r="B230" s="417"/>
      <c r="C230" s="417">
        <v>4280</v>
      </c>
      <c r="D230" s="204" t="s">
        <v>193</v>
      </c>
      <c r="E230" s="289">
        <v>800</v>
      </c>
      <c r="F230" s="289">
        <v>-115</v>
      </c>
      <c r="G230" s="566">
        <f t="shared" si="5"/>
        <v>685</v>
      </c>
    </row>
    <row r="231" spans="1:7" ht="12.75">
      <c r="A231" s="452"/>
      <c r="B231" s="204"/>
      <c r="C231" s="417">
        <v>4300</v>
      </c>
      <c r="D231" s="204" t="s">
        <v>182</v>
      </c>
      <c r="E231" s="289">
        <v>15660</v>
      </c>
      <c r="F231" s="289">
        <v>10364</v>
      </c>
      <c r="G231" s="566">
        <f t="shared" si="5"/>
        <v>26024</v>
      </c>
    </row>
    <row r="232" spans="1:7" ht="12.75">
      <c r="A232" s="452"/>
      <c r="B232" s="204"/>
      <c r="C232" s="417">
        <v>4350</v>
      </c>
      <c r="D232" s="204" t="s">
        <v>467</v>
      </c>
      <c r="E232" s="289">
        <v>600</v>
      </c>
      <c r="F232" s="289"/>
      <c r="G232" s="566">
        <f t="shared" si="5"/>
        <v>600</v>
      </c>
    </row>
    <row r="233" spans="1:7" ht="12.75">
      <c r="A233" s="452"/>
      <c r="B233" s="204"/>
      <c r="C233" s="417">
        <v>4410</v>
      </c>
      <c r="D233" s="204" t="s">
        <v>194</v>
      </c>
      <c r="E233" s="289">
        <v>4000</v>
      </c>
      <c r="F233" s="289">
        <v>-1210</v>
      </c>
      <c r="G233" s="566">
        <f t="shared" si="5"/>
        <v>2790</v>
      </c>
    </row>
    <row r="234" spans="1:7" ht="12.75">
      <c r="A234" s="452"/>
      <c r="B234" s="204"/>
      <c r="C234" s="417">
        <v>4430</v>
      </c>
      <c r="D234" s="204" t="s">
        <v>195</v>
      </c>
      <c r="E234" s="289">
        <v>8361</v>
      </c>
      <c r="F234" s="289">
        <v>-200</v>
      </c>
      <c r="G234" s="566">
        <f t="shared" si="5"/>
        <v>8161</v>
      </c>
    </row>
    <row r="235" spans="1:7" ht="12.75">
      <c r="A235" s="452"/>
      <c r="B235" s="204"/>
      <c r="C235" s="417">
        <v>4440</v>
      </c>
      <c r="D235" s="204" t="s">
        <v>196</v>
      </c>
      <c r="E235" s="289">
        <v>90751</v>
      </c>
      <c r="F235" s="289"/>
      <c r="G235" s="566">
        <f t="shared" si="5"/>
        <v>90751</v>
      </c>
    </row>
    <row r="236" spans="1:7" ht="12.75">
      <c r="A236" s="452"/>
      <c r="B236" s="204"/>
      <c r="C236" s="417">
        <v>6050</v>
      </c>
      <c r="D236" s="204" t="s">
        <v>199</v>
      </c>
      <c r="E236" s="289">
        <v>2100000</v>
      </c>
      <c r="F236" s="289">
        <v>1896</v>
      </c>
      <c r="G236" s="566">
        <f t="shared" si="5"/>
        <v>2101896</v>
      </c>
    </row>
    <row r="237" spans="1:7" ht="12.75">
      <c r="A237" s="452"/>
      <c r="B237" s="204"/>
      <c r="C237" s="417"/>
      <c r="D237" s="204"/>
      <c r="E237" s="289"/>
      <c r="F237" s="289"/>
      <c r="G237" s="566"/>
    </row>
    <row r="238" spans="1:7" ht="12.75">
      <c r="A238" s="452"/>
      <c r="B238" s="449">
        <v>80130</v>
      </c>
      <c r="C238" s="449"/>
      <c r="D238" s="651" t="s">
        <v>37</v>
      </c>
      <c r="E238" s="564">
        <f>SUM(E239:E257)</f>
        <v>4321477</v>
      </c>
      <c r="F238" s="564">
        <f>SUM(F239:F257)</f>
        <v>-47878</v>
      </c>
      <c r="G238" s="567">
        <f t="shared" si="5"/>
        <v>4273599</v>
      </c>
    </row>
    <row r="239" spans="1:7" ht="12.75">
      <c r="A239" s="452"/>
      <c r="B239" s="204"/>
      <c r="C239" s="417">
        <v>3020</v>
      </c>
      <c r="D239" s="204" t="s">
        <v>185</v>
      </c>
      <c r="E239" s="289">
        <v>37955</v>
      </c>
      <c r="F239" s="289">
        <f>146+1308-1444+2038</f>
        <v>2048</v>
      </c>
      <c r="G239" s="566">
        <f t="shared" si="5"/>
        <v>40003</v>
      </c>
    </row>
    <row r="240" spans="1:9" ht="12.75">
      <c r="A240" s="452"/>
      <c r="B240" s="204"/>
      <c r="C240" s="417">
        <v>4010</v>
      </c>
      <c r="D240" s="204" t="s">
        <v>186</v>
      </c>
      <c r="E240" s="289">
        <v>2411245</v>
      </c>
      <c r="F240" s="289">
        <f>-32500-29644-2378-4007</f>
        <v>-68529</v>
      </c>
      <c r="G240" s="566">
        <f t="shared" si="5"/>
        <v>2342716</v>
      </c>
      <c r="I240" s="431"/>
    </row>
    <row r="241" spans="1:7" ht="12.75">
      <c r="A241" s="452"/>
      <c r="B241" s="204"/>
      <c r="C241" s="417">
        <v>4040</v>
      </c>
      <c r="D241" s="204" t="s">
        <v>187</v>
      </c>
      <c r="E241" s="289">
        <v>194010</v>
      </c>
      <c r="F241" s="289"/>
      <c r="G241" s="566">
        <f t="shared" si="5"/>
        <v>194010</v>
      </c>
    </row>
    <row r="242" spans="1:7" ht="12.75">
      <c r="A242" s="452"/>
      <c r="B242" s="204"/>
      <c r="C242" s="417">
        <v>4110</v>
      </c>
      <c r="D242" s="204" t="s">
        <v>188</v>
      </c>
      <c r="E242" s="289">
        <v>469641</v>
      </c>
      <c r="F242" s="289">
        <f>-9000-11034+23-4514</f>
        <v>-24525</v>
      </c>
      <c r="G242" s="566">
        <f t="shared" si="5"/>
        <v>445116</v>
      </c>
    </row>
    <row r="243" spans="1:7" ht="12.75">
      <c r="A243" s="452"/>
      <c r="B243" s="204"/>
      <c r="C243" s="417">
        <v>4120</v>
      </c>
      <c r="D243" s="204" t="s">
        <v>189</v>
      </c>
      <c r="E243" s="289">
        <v>65647</v>
      </c>
      <c r="F243" s="289">
        <f>-2500-1300-1-132</f>
        <v>-3933</v>
      </c>
      <c r="G243" s="566">
        <f t="shared" si="5"/>
        <v>61714</v>
      </c>
    </row>
    <row r="244" spans="1:7" ht="12.75">
      <c r="A244" s="452"/>
      <c r="B244" s="204"/>
      <c r="C244" s="417">
        <v>4170</v>
      </c>
      <c r="D244" s="204" t="s">
        <v>466</v>
      </c>
      <c r="E244" s="289">
        <v>5760</v>
      </c>
      <c r="F244" s="289">
        <v>-1</v>
      </c>
      <c r="G244" s="566">
        <f t="shared" si="5"/>
        <v>5759</v>
      </c>
    </row>
    <row r="245" spans="1:7" ht="12.75">
      <c r="A245" s="452"/>
      <c r="B245" s="204"/>
      <c r="C245" s="417">
        <v>4210</v>
      </c>
      <c r="D245" s="204" t="s">
        <v>190</v>
      </c>
      <c r="E245" s="289">
        <v>408993</v>
      </c>
      <c r="F245" s="289">
        <f>5096+1529-16591</f>
        <v>-9966</v>
      </c>
      <c r="G245" s="566">
        <f t="shared" si="5"/>
        <v>399027</v>
      </c>
    </row>
    <row r="246" spans="1:7" ht="12.75">
      <c r="A246" s="452"/>
      <c r="B246" s="204"/>
      <c r="C246" s="417">
        <v>4240</v>
      </c>
      <c r="D246" s="204" t="s">
        <v>218</v>
      </c>
      <c r="E246" s="289">
        <v>35272</v>
      </c>
      <c r="F246" s="289">
        <f>-739+1029</f>
        <v>290</v>
      </c>
      <c r="G246" s="566">
        <f t="shared" si="5"/>
        <v>35562</v>
      </c>
    </row>
    <row r="247" spans="1:9" ht="12.75">
      <c r="A247" s="452"/>
      <c r="B247" s="204"/>
      <c r="C247" s="417">
        <v>4260</v>
      </c>
      <c r="D247" s="204" t="s">
        <v>191</v>
      </c>
      <c r="E247" s="289">
        <v>129204</v>
      </c>
      <c r="F247" s="289">
        <v>3647</v>
      </c>
      <c r="G247" s="566">
        <f t="shared" si="5"/>
        <v>132851</v>
      </c>
      <c r="I247" s="431"/>
    </row>
    <row r="248" spans="1:7" ht="12.75">
      <c r="A248" s="452"/>
      <c r="B248" s="204"/>
      <c r="C248" s="417">
        <v>4270</v>
      </c>
      <c r="D248" s="204" t="s">
        <v>192</v>
      </c>
      <c r="E248" s="289">
        <v>137666</v>
      </c>
      <c r="F248" s="289">
        <f>46016+14319+205+12218</f>
        <v>72758</v>
      </c>
      <c r="G248" s="566">
        <f t="shared" si="5"/>
        <v>210424</v>
      </c>
    </row>
    <row r="249" spans="1:7" ht="12.75">
      <c r="A249" s="452"/>
      <c r="B249" s="204"/>
      <c r="C249" s="417">
        <v>4280</v>
      </c>
      <c r="D249" s="204" t="s">
        <v>193</v>
      </c>
      <c r="E249" s="289">
        <v>1900</v>
      </c>
      <c r="F249" s="289">
        <f>-60-185-305</f>
        <v>-550</v>
      </c>
      <c r="G249" s="566">
        <f t="shared" si="5"/>
        <v>1350</v>
      </c>
    </row>
    <row r="250" spans="1:7" ht="12.75">
      <c r="A250" s="452"/>
      <c r="B250" s="204"/>
      <c r="C250" s="417">
        <v>4300</v>
      </c>
      <c r="D250" s="204" t="s">
        <v>182</v>
      </c>
      <c r="E250" s="289">
        <v>164771</v>
      </c>
      <c r="F250" s="289">
        <f>-1615+4949+7264-28614</f>
        <v>-18016</v>
      </c>
      <c r="G250" s="566">
        <f t="shared" si="5"/>
        <v>146755</v>
      </c>
    </row>
    <row r="251" spans="1:7" ht="12.75">
      <c r="A251" s="452"/>
      <c r="B251" s="204"/>
      <c r="C251" s="417">
        <v>4350</v>
      </c>
      <c r="D251" s="204" t="s">
        <v>467</v>
      </c>
      <c r="E251" s="289">
        <v>5247</v>
      </c>
      <c r="F251" s="289">
        <f>-12-53</f>
        <v>-65</v>
      </c>
      <c r="G251" s="566">
        <f t="shared" si="5"/>
        <v>5182</v>
      </c>
    </row>
    <row r="252" spans="1:7" ht="12.75">
      <c r="A252" s="452"/>
      <c r="B252" s="204"/>
      <c r="C252" s="417">
        <v>4410</v>
      </c>
      <c r="D252" s="204" t="s">
        <v>194</v>
      </c>
      <c r="E252" s="294">
        <v>4800</v>
      </c>
      <c r="F252" s="289">
        <f>-129-121-408</f>
        <v>-658</v>
      </c>
      <c r="G252" s="566">
        <f t="shared" si="5"/>
        <v>4142</v>
      </c>
    </row>
    <row r="253" spans="1:7" ht="12.75">
      <c r="A253" s="452"/>
      <c r="B253" s="204"/>
      <c r="C253" s="417">
        <v>4430</v>
      </c>
      <c r="D253" s="204" t="s">
        <v>195</v>
      </c>
      <c r="E253" s="289">
        <v>17562</v>
      </c>
      <c r="F253" s="289">
        <f>86-446</f>
        <v>-360</v>
      </c>
      <c r="G253" s="566">
        <f aca="true" t="shared" si="6" ref="G253:G358">E253+F253</f>
        <v>17202</v>
      </c>
    </row>
    <row r="254" spans="1:7" ht="12.75">
      <c r="A254" s="452"/>
      <c r="B254" s="204"/>
      <c r="C254" s="417">
        <v>4440</v>
      </c>
      <c r="D254" s="204" t="s">
        <v>196</v>
      </c>
      <c r="E254" s="289">
        <v>155668</v>
      </c>
      <c r="F254" s="289"/>
      <c r="G254" s="566">
        <f t="shared" si="6"/>
        <v>155668</v>
      </c>
    </row>
    <row r="255" spans="1:7" ht="12.75">
      <c r="A255" s="452"/>
      <c r="B255" s="204"/>
      <c r="C255" s="417">
        <v>4530</v>
      </c>
      <c r="D255" s="204" t="s">
        <v>219</v>
      </c>
      <c r="E255" s="289">
        <v>891</v>
      </c>
      <c r="F255" s="289"/>
      <c r="G255" s="566">
        <f t="shared" si="6"/>
        <v>891</v>
      </c>
    </row>
    <row r="256" spans="1:7" ht="12.75">
      <c r="A256" s="452"/>
      <c r="B256" s="204"/>
      <c r="C256" s="417">
        <v>6050</v>
      </c>
      <c r="D256" s="204" t="s">
        <v>199</v>
      </c>
      <c r="E256" s="289">
        <v>37245</v>
      </c>
      <c r="F256" s="289"/>
      <c r="G256" s="566">
        <f t="shared" si="6"/>
        <v>37245</v>
      </c>
    </row>
    <row r="257" spans="1:7" ht="12.75">
      <c r="A257" s="452"/>
      <c r="B257" s="204"/>
      <c r="C257" s="417">
        <v>6060</v>
      </c>
      <c r="D257" s="204" t="s">
        <v>448</v>
      </c>
      <c r="E257" s="289">
        <v>38000</v>
      </c>
      <c r="F257" s="289">
        <v>-18</v>
      </c>
      <c r="G257" s="566">
        <f t="shared" si="6"/>
        <v>37982</v>
      </c>
    </row>
    <row r="258" spans="1:7" ht="12.75">
      <c r="A258" s="452"/>
      <c r="B258" s="204"/>
      <c r="C258" s="417"/>
      <c r="D258" s="204"/>
      <c r="E258" s="289"/>
      <c r="F258" s="289"/>
      <c r="G258" s="566"/>
    </row>
    <row r="259" spans="1:7" ht="12.75">
      <c r="A259" s="452"/>
      <c r="B259" s="449">
        <v>80146</v>
      </c>
      <c r="C259" s="449"/>
      <c r="D259" s="651" t="s">
        <v>150</v>
      </c>
      <c r="E259" s="564">
        <f>SUM(E260:E262)</f>
        <v>43420</v>
      </c>
      <c r="F259" s="564">
        <f>SUM(F260:F262)</f>
        <v>-8514</v>
      </c>
      <c r="G259" s="567">
        <f t="shared" si="6"/>
        <v>34906</v>
      </c>
    </row>
    <row r="260" spans="1:7" ht="12.75">
      <c r="A260" s="452"/>
      <c r="B260" s="417"/>
      <c r="C260" s="417">
        <v>4170</v>
      </c>
      <c r="D260" s="204" t="s">
        <v>466</v>
      </c>
      <c r="E260" s="289">
        <v>500</v>
      </c>
      <c r="F260" s="289">
        <v>600</v>
      </c>
      <c r="G260" s="566">
        <f t="shared" si="6"/>
        <v>1100</v>
      </c>
    </row>
    <row r="261" spans="1:7" ht="12.75">
      <c r="A261" s="452"/>
      <c r="B261" s="417"/>
      <c r="C261" s="417">
        <v>4300</v>
      </c>
      <c r="D261" s="204" t="s">
        <v>182</v>
      </c>
      <c r="E261" s="289">
        <v>39502</v>
      </c>
      <c r="F261" s="289">
        <f>-320-432-805-600-7034</f>
        <v>-9191</v>
      </c>
      <c r="G261" s="566">
        <f t="shared" si="6"/>
        <v>30311</v>
      </c>
    </row>
    <row r="262" spans="1:7" ht="12.75">
      <c r="A262" s="452"/>
      <c r="B262" s="417"/>
      <c r="C262" s="417">
        <v>4410</v>
      </c>
      <c r="D262" s="204" t="s">
        <v>194</v>
      </c>
      <c r="E262" s="289">
        <v>3418</v>
      </c>
      <c r="F262" s="289">
        <v>77</v>
      </c>
      <c r="G262" s="566">
        <f t="shared" si="6"/>
        <v>3495</v>
      </c>
    </row>
    <row r="263" spans="1:7" ht="12.75">
      <c r="A263" s="452"/>
      <c r="B263" s="417"/>
      <c r="C263" s="417"/>
      <c r="D263" s="204"/>
      <c r="E263" s="289"/>
      <c r="F263" s="289"/>
      <c r="G263" s="566"/>
    </row>
    <row r="264" spans="1:7" ht="12.75">
      <c r="A264" s="452"/>
      <c r="B264" s="449">
        <v>80195</v>
      </c>
      <c r="C264" s="449"/>
      <c r="D264" s="651" t="s">
        <v>25</v>
      </c>
      <c r="E264" s="564">
        <f>SUM(E265:E277)</f>
        <v>186697</v>
      </c>
      <c r="F264" s="564">
        <f>SUM(F265:F277)</f>
        <v>-49268</v>
      </c>
      <c r="G264" s="567">
        <f t="shared" si="6"/>
        <v>137429</v>
      </c>
    </row>
    <row r="265" spans="1:7" ht="12.75">
      <c r="A265" s="452"/>
      <c r="B265" s="417"/>
      <c r="C265" s="417">
        <v>2820</v>
      </c>
      <c r="D265" s="204" t="s">
        <v>442</v>
      </c>
      <c r="E265" s="289">
        <v>0</v>
      </c>
      <c r="F265" s="289"/>
      <c r="G265" s="566">
        <f t="shared" si="6"/>
        <v>0</v>
      </c>
    </row>
    <row r="266" spans="1:7" ht="12.75">
      <c r="A266" s="452"/>
      <c r="B266" s="417"/>
      <c r="C266" s="417"/>
      <c r="D266" s="204" t="s">
        <v>443</v>
      </c>
      <c r="E266" s="289"/>
      <c r="F266" s="289"/>
      <c r="G266" s="566"/>
    </row>
    <row r="267" spans="1:7" ht="12.75">
      <c r="A267" s="452"/>
      <c r="B267" s="417"/>
      <c r="C267" s="417">
        <v>3030</v>
      </c>
      <c r="D267" s="204" t="s">
        <v>208</v>
      </c>
      <c r="E267" s="289">
        <v>824</v>
      </c>
      <c r="F267" s="289">
        <v>200</v>
      </c>
      <c r="G267" s="566">
        <f aca="true" t="shared" si="7" ref="G267:G273">F267+E267</f>
        <v>1024</v>
      </c>
    </row>
    <row r="268" spans="1:7" ht="12.75">
      <c r="A268" s="452"/>
      <c r="B268" s="417"/>
      <c r="C268" s="417">
        <v>4010</v>
      </c>
      <c r="D268" s="204" t="s">
        <v>186</v>
      </c>
      <c r="E268" s="289">
        <v>20081</v>
      </c>
      <c r="F268" s="289">
        <v>-12941</v>
      </c>
      <c r="G268" s="566">
        <f t="shared" si="7"/>
        <v>7140</v>
      </c>
    </row>
    <row r="269" spans="1:9" ht="12.75">
      <c r="A269" s="452"/>
      <c r="B269" s="417"/>
      <c r="C269" s="417">
        <v>4110</v>
      </c>
      <c r="D269" s="204" t="s">
        <v>188</v>
      </c>
      <c r="E269" s="289">
        <v>4307</v>
      </c>
      <c r="F269" s="289">
        <v>-3060</v>
      </c>
      <c r="G269" s="566">
        <f t="shared" si="7"/>
        <v>1247</v>
      </c>
      <c r="I269" s="431"/>
    </row>
    <row r="270" spans="1:7" ht="12.75">
      <c r="A270" s="452"/>
      <c r="B270" s="417"/>
      <c r="C270" s="417">
        <v>4120</v>
      </c>
      <c r="D270" s="204" t="s">
        <v>189</v>
      </c>
      <c r="E270" s="289">
        <v>612</v>
      </c>
      <c r="F270" s="289">
        <v>-437</v>
      </c>
      <c r="G270" s="566">
        <f t="shared" si="7"/>
        <v>175</v>
      </c>
    </row>
    <row r="271" spans="1:7" ht="12.75">
      <c r="A271" s="452"/>
      <c r="B271" s="417"/>
      <c r="C271" s="417">
        <v>4170</v>
      </c>
      <c r="D271" s="204" t="s">
        <v>466</v>
      </c>
      <c r="E271" s="289">
        <v>400</v>
      </c>
      <c r="F271" s="289"/>
      <c r="G271" s="566">
        <f t="shared" si="7"/>
        <v>400</v>
      </c>
    </row>
    <row r="272" spans="1:7" ht="12.75">
      <c r="A272" s="452"/>
      <c r="B272" s="417"/>
      <c r="C272" s="417">
        <v>4210</v>
      </c>
      <c r="D272" s="204" t="s">
        <v>190</v>
      </c>
      <c r="E272" s="289">
        <v>8150</v>
      </c>
      <c r="F272" s="289">
        <v>-5203</v>
      </c>
      <c r="G272" s="566">
        <f t="shared" si="7"/>
        <v>2947</v>
      </c>
    </row>
    <row r="273" spans="1:7" ht="12.75">
      <c r="A273" s="452"/>
      <c r="B273" s="417"/>
      <c r="C273" s="417">
        <v>4218</v>
      </c>
      <c r="D273" s="204" t="s">
        <v>190</v>
      </c>
      <c r="E273" s="289">
        <v>5036</v>
      </c>
      <c r="F273" s="289"/>
      <c r="G273" s="566">
        <f t="shared" si="7"/>
        <v>5036</v>
      </c>
    </row>
    <row r="274" spans="1:7" ht="12.75">
      <c r="A274" s="452"/>
      <c r="B274" s="417"/>
      <c r="C274" s="417">
        <v>4300</v>
      </c>
      <c r="D274" s="204" t="s">
        <v>182</v>
      </c>
      <c r="E274" s="289">
        <v>39524</v>
      </c>
      <c r="F274" s="289">
        <v>-27839</v>
      </c>
      <c r="G274" s="566">
        <f t="shared" si="6"/>
        <v>11685</v>
      </c>
    </row>
    <row r="275" spans="1:7" ht="12.75">
      <c r="A275" s="452"/>
      <c r="B275" s="417"/>
      <c r="C275" s="417">
        <v>4308</v>
      </c>
      <c r="D275" s="204" t="s">
        <v>182</v>
      </c>
      <c r="E275" s="289">
        <v>56874</v>
      </c>
      <c r="F275" s="289"/>
      <c r="G275" s="566">
        <f t="shared" si="6"/>
        <v>56874</v>
      </c>
    </row>
    <row r="276" spans="1:7" ht="12.75">
      <c r="A276" s="452"/>
      <c r="B276" s="417"/>
      <c r="C276" s="417">
        <v>4410</v>
      </c>
      <c r="D276" s="204" t="s">
        <v>194</v>
      </c>
      <c r="E276" s="289">
        <v>25</v>
      </c>
      <c r="F276" s="289">
        <v>12</v>
      </c>
      <c r="G276" s="566">
        <f t="shared" si="6"/>
        <v>37</v>
      </c>
    </row>
    <row r="277" spans="1:7" ht="12.75">
      <c r="A277" s="452"/>
      <c r="B277" s="417"/>
      <c r="C277" s="417">
        <v>4440</v>
      </c>
      <c r="D277" s="204" t="s">
        <v>196</v>
      </c>
      <c r="E277" s="289">
        <v>50864</v>
      </c>
      <c r="F277" s="289"/>
      <c r="G277" s="566">
        <f>F277+E277</f>
        <v>50864</v>
      </c>
    </row>
    <row r="278" spans="1:7" ht="12.75">
      <c r="A278" s="452"/>
      <c r="B278" s="417"/>
      <c r="C278" s="417"/>
      <c r="D278" s="204"/>
      <c r="E278" s="289"/>
      <c r="F278" s="289"/>
      <c r="G278" s="566"/>
    </row>
    <row r="279" spans="1:7" ht="12.75">
      <c r="A279" s="452"/>
      <c r="B279" s="449">
        <v>80197</v>
      </c>
      <c r="C279" s="449"/>
      <c r="D279" s="651" t="s">
        <v>38</v>
      </c>
      <c r="E279" s="564">
        <f>E280</f>
        <v>30040</v>
      </c>
      <c r="F279" s="564">
        <f>F280</f>
        <v>0</v>
      </c>
      <c r="G279" s="567">
        <f>F279+E279</f>
        <v>30040</v>
      </c>
    </row>
    <row r="280" spans="1:7" ht="12.75">
      <c r="A280" s="452"/>
      <c r="B280" s="417"/>
      <c r="C280" s="417">
        <v>4110</v>
      </c>
      <c r="D280" s="204" t="s">
        <v>188</v>
      </c>
      <c r="E280" s="289">
        <v>30040</v>
      </c>
      <c r="F280" s="289"/>
      <c r="G280" s="566">
        <f>F280+E280</f>
        <v>30040</v>
      </c>
    </row>
    <row r="281" spans="1:7" ht="12.75">
      <c r="A281" s="452"/>
      <c r="B281" s="417"/>
      <c r="C281" s="417"/>
      <c r="D281" s="204"/>
      <c r="E281" s="289"/>
      <c r="F281" s="289"/>
      <c r="G281" s="566"/>
    </row>
    <row r="282" spans="1:7" ht="13.5" thickBot="1">
      <c r="A282" s="717">
        <v>803</v>
      </c>
      <c r="B282" s="415"/>
      <c r="C282" s="415"/>
      <c r="D282" s="416" t="s">
        <v>481</v>
      </c>
      <c r="E282" s="627">
        <f>E283</f>
        <v>388183</v>
      </c>
      <c r="F282" s="627">
        <f>F283</f>
        <v>0</v>
      </c>
      <c r="G282" s="739">
        <f aca="true" t="shared" si="8" ref="G282:G292">F282+E282</f>
        <v>388183</v>
      </c>
    </row>
    <row r="283" spans="1:7" ht="12.75">
      <c r="A283" s="452"/>
      <c r="B283" s="449">
        <v>80309</v>
      </c>
      <c r="C283" s="449"/>
      <c r="D283" s="651" t="s">
        <v>482</v>
      </c>
      <c r="E283" s="564">
        <f>SUM(E284:E292)</f>
        <v>388183</v>
      </c>
      <c r="F283" s="564">
        <f>SUM(F284:F292)</f>
        <v>0</v>
      </c>
      <c r="G283" s="567">
        <f t="shared" si="8"/>
        <v>388183</v>
      </c>
    </row>
    <row r="284" spans="1:7" ht="12.75">
      <c r="A284" s="452"/>
      <c r="B284" s="417"/>
      <c r="C284" s="417">
        <v>3210</v>
      </c>
      <c r="D284" s="204" t="s">
        <v>483</v>
      </c>
      <c r="E284" s="289">
        <v>18280</v>
      </c>
      <c r="F284" s="289"/>
      <c r="G284" s="566">
        <f>F284+E284</f>
        <v>18280</v>
      </c>
    </row>
    <row r="285" spans="1:7" ht="12.75">
      <c r="A285" s="452"/>
      <c r="B285" s="417"/>
      <c r="C285" s="417">
        <v>3218</v>
      </c>
      <c r="D285" s="204" t="s">
        <v>483</v>
      </c>
      <c r="E285" s="289">
        <v>249076</v>
      </c>
      <c r="F285" s="289"/>
      <c r="G285" s="566">
        <f t="shared" si="8"/>
        <v>249076</v>
      </c>
    </row>
    <row r="286" spans="1:7" ht="12.75">
      <c r="A286" s="452"/>
      <c r="B286" s="417"/>
      <c r="C286" s="417">
        <v>3219</v>
      </c>
      <c r="D286" s="204" t="s">
        <v>483</v>
      </c>
      <c r="E286" s="289">
        <v>83025</v>
      </c>
      <c r="F286" s="289"/>
      <c r="G286" s="566">
        <f t="shared" si="8"/>
        <v>83025</v>
      </c>
    </row>
    <row r="287" spans="1:7" ht="12.75">
      <c r="A287" s="452"/>
      <c r="B287" s="417"/>
      <c r="C287" s="417">
        <v>4210</v>
      </c>
      <c r="D287" s="204" t="s">
        <v>190</v>
      </c>
      <c r="E287" s="289">
        <v>984</v>
      </c>
      <c r="F287" s="289"/>
      <c r="G287" s="566">
        <f t="shared" si="8"/>
        <v>984</v>
      </c>
    </row>
    <row r="288" spans="1:7" ht="12.75">
      <c r="A288" s="452"/>
      <c r="B288" s="417"/>
      <c r="C288" s="417">
        <v>4218</v>
      </c>
      <c r="D288" s="204" t="s">
        <v>190</v>
      </c>
      <c r="E288" s="289">
        <v>10481</v>
      </c>
      <c r="F288" s="289"/>
      <c r="G288" s="566">
        <f t="shared" si="8"/>
        <v>10481</v>
      </c>
    </row>
    <row r="289" spans="1:7" ht="12.75">
      <c r="A289" s="452"/>
      <c r="B289" s="417"/>
      <c r="C289" s="417">
        <v>4219</v>
      </c>
      <c r="D289" s="204" t="s">
        <v>190</v>
      </c>
      <c r="E289" s="289">
        <v>3494</v>
      </c>
      <c r="F289" s="289"/>
      <c r="G289" s="566">
        <f t="shared" si="8"/>
        <v>3494</v>
      </c>
    </row>
    <row r="290" spans="1:7" ht="12.75">
      <c r="A290" s="452"/>
      <c r="B290" s="417"/>
      <c r="C290" s="417">
        <v>4300</v>
      </c>
      <c r="D290" s="204" t="s">
        <v>182</v>
      </c>
      <c r="E290" s="289">
        <v>4826</v>
      </c>
      <c r="F290" s="289"/>
      <c r="G290" s="566">
        <f t="shared" si="8"/>
        <v>4826</v>
      </c>
    </row>
    <row r="291" spans="1:7" ht="12.75">
      <c r="A291" s="452"/>
      <c r="B291" s="417"/>
      <c r="C291" s="417">
        <v>4308</v>
      </c>
      <c r="D291" s="204" t="s">
        <v>182</v>
      </c>
      <c r="E291" s="289">
        <v>13513</v>
      </c>
      <c r="F291" s="289"/>
      <c r="G291" s="566">
        <f t="shared" si="8"/>
        <v>13513</v>
      </c>
    </row>
    <row r="292" spans="1:7" ht="12.75">
      <c r="A292" s="452"/>
      <c r="B292" s="417"/>
      <c r="C292" s="417">
        <v>4309</v>
      </c>
      <c r="D292" s="204" t="s">
        <v>182</v>
      </c>
      <c r="E292" s="289">
        <v>4504</v>
      </c>
      <c r="F292" s="289"/>
      <c r="G292" s="566">
        <f t="shared" si="8"/>
        <v>4504</v>
      </c>
    </row>
    <row r="293" spans="1:7" ht="12.75">
      <c r="A293" s="452"/>
      <c r="B293" s="417"/>
      <c r="C293" s="417"/>
      <c r="D293" s="204"/>
      <c r="E293" s="289"/>
      <c r="F293" s="289"/>
      <c r="G293" s="566"/>
    </row>
    <row r="294" spans="1:7" ht="13.5" thickBot="1">
      <c r="A294" s="408">
        <v>851</v>
      </c>
      <c r="B294" s="415"/>
      <c r="C294" s="415"/>
      <c r="D294" s="416" t="s">
        <v>18</v>
      </c>
      <c r="E294" s="627">
        <f>E308+E312+E305+E295+E301</f>
        <v>3322598</v>
      </c>
      <c r="F294" s="627">
        <f>F308+F312+F305+F295+F301</f>
        <v>-37251</v>
      </c>
      <c r="G294" s="739">
        <f t="shared" si="6"/>
        <v>3285347</v>
      </c>
    </row>
    <row r="295" spans="1:7" ht="12.75">
      <c r="A295" s="392"/>
      <c r="B295" s="444">
        <v>85111</v>
      </c>
      <c r="C295" s="444"/>
      <c r="D295" s="448" t="s">
        <v>504</v>
      </c>
      <c r="E295" s="719">
        <f>SUM(E296:E298)</f>
        <v>652481</v>
      </c>
      <c r="F295" s="719">
        <f>SUM(F296:F298)</f>
        <v>0</v>
      </c>
      <c r="G295" s="737">
        <f>F295+E295</f>
        <v>652481</v>
      </c>
    </row>
    <row r="296" spans="1:7" ht="12.75">
      <c r="A296" s="392"/>
      <c r="B296" s="417"/>
      <c r="C296" s="417">
        <v>6220</v>
      </c>
      <c r="D296" s="204" t="s">
        <v>822</v>
      </c>
      <c r="E296" s="289">
        <v>593800</v>
      </c>
      <c r="F296" s="289"/>
      <c r="G296" s="566">
        <f>F296+E296</f>
        <v>593800</v>
      </c>
    </row>
    <row r="297" spans="1:7" ht="12.75">
      <c r="A297" s="392"/>
      <c r="B297" s="417"/>
      <c r="C297" s="417"/>
      <c r="D297" s="204" t="s">
        <v>823</v>
      </c>
      <c r="E297" s="289"/>
      <c r="F297" s="289"/>
      <c r="G297" s="566"/>
    </row>
    <row r="298" spans="1:7" ht="12.75">
      <c r="A298" s="392"/>
      <c r="B298" s="417"/>
      <c r="C298" s="417">
        <v>6229</v>
      </c>
      <c r="D298" s="204" t="s">
        <v>822</v>
      </c>
      <c r="E298" s="289">
        <v>58681</v>
      </c>
      <c r="F298" s="289"/>
      <c r="G298" s="566">
        <f>E298+F298</f>
        <v>58681</v>
      </c>
    </row>
    <row r="299" spans="1:7" ht="12.75">
      <c r="A299" s="392"/>
      <c r="B299" s="417"/>
      <c r="C299" s="417"/>
      <c r="D299" s="204" t="s">
        <v>823</v>
      </c>
      <c r="E299" s="289"/>
      <c r="F299" s="289"/>
      <c r="G299" s="566"/>
    </row>
    <row r="300" spans="1:7" ht="12.75">
      <c r="A300" s="392"/>
      <c r="B300" s="417"/>
      <c r="C300" s="417"/>
      <c r="D300" s="204"/>
      <c r="E300" s="289"/>
      <c r="F300" s="289"/>
      <c r="G300" s="566"/>
    </row>
    <row r="301" spans="1:7" ht="12.75">
      <c r="A301" s="392"/>
      <c r="B301" s="449">
        <v>85141</v>
      </c>
      <c r="C301" s="449"/>
      <c r="D301" s="651" t="s">
        <v>516</v>
      </c>
      <c r="E301" s="564">
        <f>SUM(E302:E302)</f>
        <v>35000</v>
      </c>
      <c r="F301" s="564">
        <f>SUM(F302:F302)</f>
        <v>-35000</v>
      </c>
      <c r="G301" s="567">
        <f>F301+E301</f>
        <v>0</v>
      </c>
    </row>
    <row r="302" spans="1:7" ht="12.75">
      <c r="A302" s="392"/>
      <c r="B302" s="417"/>
      <c r="C302" s="417">
        <v>6620</v>
      </c>
      <c r="D302" s="204" t="s">
        <v>678</v>
      </c>
      <c r="E302" s="289">
        <v>35000</v>
      </c>
      <c r="F302" s="289">
        <v>-35000</v>
      </c>
      <c r="G302" s="566">
        <f>F302+E302</f>
        <v>0</v>
      </c>
    </row>
    <row r="303" spans="1:7" ht="12.75">
      <c r="A303" s="392"/>
      <c r="B303" s="417"/>
      <c r="C303" s="417"/>
      <c r="D303" s="204" t="s">
        <v>679</v>
      </c>
      <c r="E303" s="289"/>
      <c r="F303" s="289"/>
      <c r="G303" s="566"/>
    </row>
    <row r="304" spans="1:7" ht="12.75">
      <c r="A304" s="392"/>
      <c r="B304" s="407"/>
      <c r="C304" s="407"/>
      <c r="D304" s="419"/>
      <c r="E304" s="631"/>
      <c r="F304" s="631"/>
      <c r="G304" s="848"/>
    </row>
    <row r="305" spans="1:7" ht="12.75">
      <c r="A305" s="392"/>
      <c r="B305" s="449">
        <v>85149</v>
      </c>
      <c r="C305" s="449"/>
      <c r="D305" s="651" t="s">
        <v>410</v>
      </c>
      <c r="E305" s="564">
        <f>SUM(E306:E306)</f>
        <v>3000</v>
      </c>
      <c r="F305" s="564">
        <f>SUM(F306:F306)</f>
        <v>-2251</v>
      </c>
      <c r="G305" s="567">
        <f t="shared" si="6"/>
        <v>749</v>
      </c>
    </row>
    <row r="306" spans="1:7" ht="12.75">
      <c r="A306" s="392"/>
      <c r="B306" s="407"/>
      <c r="C306" s="417">
        <v>4300</v>
      </c>
      <c r="D306" s="204" t="s">
        <v>182</v>
      </c>
      <c r="E306" s="289">
        <v>3000</v>
      </c>
      <c r="F306" s="289">
        <v>-2251</v>
      </c>
      <c r="G306" s="566">
        <f t="shared" si="6"/>
        <v>749</v>
      </c>
    </row>
    <row r="307" spans="1:7" ht="12.75">
      <c r="A307" s="392"/>
      <c r="B307" s="407"/>
      <c r="C307" s="407"/>
      <c r="D307" s="419"/>
      <c r="E307" s="289"/>
      <c r="F307" s="289"/>
      <c r="G307" s="566"/>
    </row>
    <row r="308" spans="1:7" ht="12.75">
      <c r="A308" s="392"/>
      <c r="B308" s="449">
        <v>85154</v>
      </c>
      <c r="C308" s="449"/>
      <c r="D308" s="651" t="s">
        <v>39</v>
      </c>
      <c r="E308" s="564">
        <f>SUM(E309:E310)</f>
        <v>25425</v>
      </c>
      <c r="F308" s="564">
        <f>SUM(F309:F310)</f>
        <v>0</v>
      </c>
      <c r="G308" s="567">
        <f t="shared" si="6"/>
        <v>25425</v>
      </c>
    </row>
    <row r="309" spans="1:7" ht="12.75">
      <c r="A309" s="392"/>
      <c r="B309" s="417"/>
      <c r="C309" s="417">
        <v>4110</v>
      </c>
      <c r="D309" s="204" t="s">
        <v>734</v>
      </c>
      <c r="E309" s="289">
        <v>592</v>
      </c>
      <c r="F309" s="289"/>
      <c r="G309" s="566">
        <f t="shared" si="6"/>
        <v>592</v>
      </c>
    </row>
    <row r="310" spans="1:7" ht="12.75">
      <c r="A310" s="392"/>
      <c r="B310" s="417"/>
      <c r="C310" s="417">
        <v>4300</v>
      </c>
      <c r="D310" s="204" t="s">
        <v>182</v>
      </c>
      <c r="E310" s="289">
        <v>24833</v>
      </c>
      <c r="F310" s="289"/>
      <c r="G310" s="566">
        <f t="shared" si="6"/>
        <v>24833</v>
      </c>
    </row>
    <row r="311" spans="1:7" ht="12.75">
      <c r="A311" s="392"/>
      <c r="B311" s="417"/>
      <c r="C311" s="417"/>
      <c r="D311" s="204"/>
      <c r="E311" s="289"/>
      <c r="F311" s="289"/>
      <c r="G311" s="566"/>
    </row>
    <row r="312" spans="1:7" ht="12.75">
      <c r="A312" s="452"/>
      <c r="B312" s="449">
        <v>85156</v>
      </c>
      <c r="C312" s="449"/>
      <c r="D312" s="651" t="s">
        <v>444</v>
      </c>
      <c r="E312" s="564">
        <f>SUM(E313:E313)</f>
        <v>2606692</v>
      </c>
      <c r="F312" s="564">
        <f>SUM(F313:F313)</f>
        <v>0</v>
      </c>
      <c r="G312" s="567">
        <f t="shared" si="6"/>
        <v>2606692</v>
      </c>
    </row>
    <row r="313" spans="1:7" ht="12.75">
      <c r="A313" s="452"/>
      <c r="B313" s="204"/>
      <c r="C313" s="418" t="s">
        <v>220</v>
      </c>
      <c r="D313" s="204" t="s">
        <v>221</v>
      </c>
      <c r="E313" s="289">
        <v>2606692</v>
      </c>
      <c r="F313" s="289"/>
      <c r="G313" s="566">
        <f t="shared" si="6"/>
        <v>2606692</v>
      </c>
    </row>
    <row r="314" spans="1:7" ht="12.75">
      <c r="A314" s="452"/>
      <c r="B314" s="419"/>
      <c r="C314" s="849"/>
      <c r="D314" s="419"/>
      <c r="E314" s="289"/>
      <c r="F314" s="289"/>
      <c r="G314" s="566"/>
    </row>
    <row r="315" spans="1:7" ht="13.5" thickBot="1">
      <c r="A315" s="408">
        <v>852</v>
      </c>
      <c r="B315" s="416"/>
      <c r="C315" s="845"/>
      <c r="D315" s="416" t="s">
        <v>245</v>
      </c>
      <c r="E315" s="627">
        <f>E316+E341+E381+E388+E404+E364+E416+E412</f>
        <v>9012413</v>
      </c>
      <c r="F315" s="627">
        <f>F316+F341+F381+F388+F404+F364+F416+F412</f>
        <v>-144249</v>
      </c>
      <c r="G315" s="739">
        <f t="shared" si="6"/>
        <v>8868164</v>
      </c>
    </row>
    <row r="316" spans="1:7" ht="12.75">
      <c r="A316" s="452"/>
      <c r="B316" s="449">
        <v>85201</v>
      </c>
      <c r="C316" s="449"/>
      <c r="D316" s="651" t="s">
        <v>26</v>
      </c>
      <c r="E316" s="564">
        <f>SUM(E317:E339)</f>
        <v>2082601</v>
      </c>
      <c r="F316" s="564">
        <f>SUM(F317:F339)</f>
        <v>-142500</v>
      </c>
      <c r="G316" s="737">
        <f>E316+F316</f>
        <v>1940101</v>
      </c>
    </row>
    <row r="317" spans="1:7" ht="12.75">
      <c r="A317" s="452"/>
      <c r="B317" s="417"/>
      <c r="C317" s="417">
        <v>2310</v>
      </c>
      <c r="D317" s="204" t="s">
        <v>184</v>
      </c>
      <c r="E317" s="289">
        <f>545307+9693+84500</f>
        <v>639500</v>
      </c>
      <c r="F317" s="289">
        <f>-119000-84500</f>
        <v>-203500</v>
      </c>
      <c r="G317" s="566">
        <f t="shared" si="6"/>
        <v>436000</v>
      </c>
    </row>
    <row r="318" spans="1:7" ht="12.75">
      <c r="A318" s="452"/>
      <c r="B318" s="204"/>
      <c r="C318" s="417">
        <v>3020</v>
      </c>
      <c r="D318" s="204" t="s">
        <v>185</v>
      </c>
      <c r="E318" s="289">
        <v>17205</v>
      </c>
      <c r="F318" s="289">
        <v>24100</v>
      </c>
      <c r="G318" s="566">
        <f t="shared" si="6"/>
        <v>41305</v>
      </c>
    </row>
    <row r="319" spans="1:9" ht="12.75">
      <c r="A319" s="452"/>
      <c r="B319" s="204"/>
      <c r="C319" s="417">
        <v>3110</v>
      </c>
      <c r="D319" s="204" t="s">
        <v>222</v>
      </c>
      <c r="E319" s="289">
        <v>84094</v>
      </c>
      <c r="F319" s="289">
        <v>1857</v>
      </c>
      <c r="G319" s="566">
        <f t="shared" si="6"/>
        <v>85951</v>
      </c>
      <c r="I319" s="431"/>
    </row>
    <row r="320" spans="1:7" ht="12.75">
      <c r="A320" s="452"/>
      <c r="B320" s="204"/>
      <c r="C320" s="417">
        <v>4010</v>
      </c>
      <c r="D320" s="204" t="s">
        <v>186</v>
      </c>
      <c r="E320" s="289">
        <v>620168</v>
      </c>
      <c r="F320" s="289"/>
      <c r="G320" s="566">
        <f t="shared" si="6"/>
        <v>620168</v>
      </c>
    </row>
    <row r="321" spans="1:7" ht="12.75">
      <c r="A321" s="452"/>
      <c r="B321" s="204"/>
      <c r="C321" s="417">
        <v>4040</v>
      </c>
      <c r="D321" s="204" t="s">
        <v>187</v>
      </c>
      <c r="E321" s="289">
        <v>51054</v>
      </c>
      <c r="F321" s="289">
        <v>-2133</v>
      </c>
      <c r="G321" s="566">
        <f t="shared" si="6"/>
        <v>48921</v>
      </c>
    </row>
    <row r="322" spans="1:9" ht="12.75">
      <c r="A322" s="452"/>
      <c r="B322" s="204"/>
      <c r="C322" s="417">
        <v>4110</v>
      </c>
      <c r="D322" s="204" t="s">
        <v>188</v>
      </c>
      <c r="E322" s="289">
        <v>119463</v>
      </c>
      <c r="F322" s="289">
        <v>-3629</v>
      </c>
      <c r="G322" s="566">
        <f t="shared" si="6"/>
        <v>115834</v>
      </c>
      <c r="I322" s="431"/>
    </row>
    <row r="323" spans="1:7" ht="12.75">
      <c r="A323" s="452"/>
      <c r="B323" s="204"/>
      <c r="C323" s="417">
        <v>4120</v>
      </c>
      <c r="D323" s="204" t="s">
        <v>189</v>
      </c>
      <c r="E323" s="289">
        <v>16507</v>
      </c>
      <c r="F323" s="289">
        <v>-500</v>
      </c>
      <c r="G323" s="566">
        <f t="shared" si="6"/>
        <v>16007</v>
      </c>
    </row>
    <row r="324" spans="1:7" ht="12.75">
      <c r="A324" s="452"/>
      <c r="B324" s="204"/>
      <c r="C324" s="417">
        <v>4170</v>
      </c>
      <c r="D324" s="204" t="s">
        <v>466</v>
      </c>
      <c r="E324" s="289">
        <v>400</v>
      </c>
      <c r="F324" s="289"/>
      <c r="G324" s="566">
        <f t="shared" si="6"/>
        <v>400</v>
      </c>
    </row>
    <row r="325" spans="1:7" ht="12.75">
      <c r="A325" s="452"/>
      <c r="B325" s="204"/>
      <c r="C325" s="417">
        <v>4210</v>
      </c>
      <c r="D325" s="204" t="s">
        <v>190</v>
      </c>
      <c r="E325" s="289">
        <v>121503</v>
      </c>
      <c r="F325" s="289">
        <v>18363</v>
      </c>
      <c r="G325" s="566">
        <f t="shared" si="6"/>
        <v>139866</v>
      </c>
    </row>
    <row r="326" spans="1:7" ht="12.75">
      <c r="A326" s="452"/>
      <c r="B326" s="204"/>
      <c r="C326" s="417">
        <v>4220</v>
      </c>
      <c r="D326" s="204" t="s">
        <v>223</v>
      </c>
      <c r="E326" s="289">
        <v>68419</v>
      </c>
      <c r="F326" s="289">
        <v>1972</v>
      </c>
      <c r="G326" s="566">
        <f t="shared" si="6"/>
        <v>70391</v>
      </c>
    </row>
    <row r="327" spans="1:7" ht="12.75">
      <c r="A327" s="452"/>
      <c r="B327" s="204"/>
      <c r="C327" s="417">
        <v>4240</v>
      </c>
      <c r="D327" s="204" t="s">
        <v>218</v>
      </c>
      <c r="E327" s="289">
        <v>11582</v>
      </c>
      <c r="F327" s="289"/>
      <c r="G327" s="566">
        <f t="shared" si="6"/>
        <v>11582</v>
      </c>
    </row>
    <row r="328" spans="1:7" ht="12.75">
      <c r="A328" s="452"/>
      <c r="B328" s="204"/>
      <c r="C328" s="417">
        <v>4260</v>
      </c>
      <c r="D328" s="204" t="s">
        <v>191</v>
      </c>
      <c r="E328" s="289">
        <v>47840</v>
      </c>
      <c r="F328" s="289">
        <f>8636-2140</f>
        <v>6496</v>
      </c>
      <c r="G328" s="566">
        <f t="shared" si="6"/>
        <v>54336</v>
      </c>
    </row>
    <row r="329" spans="1:7" ht="12.75">
      <c r="A329" s="452"/>
      <c r="B329" s="204"/>
      <c r="C329" s="417">
        <v>4268</v>
      </c>
      <c r="D329" s="204" t="s">
        <v>191</v>
      </c>
      <c r="E329" s="289">
        <v>0</v>
      </c>
      <c r="F329" s="289">
        <v>1491</v>
      </c>
      <c r="G329" s="566">
        <f t="shared" si="6"/>
        <v>1491</v>
      </c>
    </row>
    <row r="330" spans="1:7" ht="12.75">
      <c r="A330" s="452"/>
      <c r="B330" s="204"/>
      <c r="C330" s="417">
        <v>4269</v>
      </c>
      <c r="D330" s="204" t="s">
        <v>191</v>
      </c>
      <c r="E330" s="289">
        <v>0</v>
      </c>
      <c r="F330" s="289">
        <v>649</v>
      </c>
      <c r="G330" s="566">
        <f t="shared" si="6"/>
        <v>649</v>
      </c>
    </row>
    <row r="331" spans="1:7" ht="12.75">
      <c r="A331" s="452"/>
      <c r="B331" s="204"/>
      <c r="C331" s="417">
        <v>4270</v>
      </c>
      <c r="D331" s="204" t="s">
        <v>192</v>
      </c>
      <c r="E331" s="289">
        <v>42500</v>
      </c>
      <c r="F331" s="289"/>
      <c r="G331" s="566">
        <f t="shared" si="6"/>
        <v>42500</v>
      </c>
    </row>
    <row r="332" spans="1:7" ht="12.75">
      <c r="A332" s="452"/>
      <c r="B332" s="204"/>
      <c r="C332" s="417">
        <v>4280</v>
      </c>
      <c r="D332" s="204" t="s">
        <v>193</v>
      </c>
      <c r="E332" s="289">
        <v>1505</v>
      </c>
      <c r="F332" s="289"/>
      <c r="G332" s="566">
        <f t="shared" si="6"/>
        <v>1505</v>
      </c>
    </row>
    <row r="333" spans="1:7" ht="12.75">
      <c r="A333" s="452"/>
      <c r="B333" s="204"/>
      <c r="C333" s="417">
        <v>4300</v>
      </c>
      <c r="D333" s="204" t="s">
        <v>182</v>
      </c>
      <c r="E333" s="289">
        <v>121700</v>
      </c>
      <c r="F333" s="289">
        <v>12392</v>
      </c>
      <c r="G333" s="566">
        <f t="shared" si="6"/>
        <v>134092</v>
      </c>
    </row>
    <row r="334" spans="1:7" ht="12.75">
      <c r="A334" s="452"/>
      <c r="B334" s="204"/>
      <c r="C334" s="417">
        <v>4410</v>
      </c>
      <c r="D334" s="204" t="s">
        <v>194</v>
      </c>
      <c r="E334" s="289">
        <v>6000</v>
      </c>
      <c r="F334" s="289"/>
      <c r="G334" s="566">
        <f t="shared" si="6"/>
        <v>6000</v>
      </c>
    </row>
    <row r="335" spans="1:7" ht="12.75">
      <c r="A335" s="452"/>
      <c r="B335" s="204"/>
      <c r="C335" s="417">
        <v>4430</v>
      </c>
      <c r="D335" s="204" t="s">
        <v>195</v>
      </c>
      <c r="E335" s="289">
        <v>7475</v>
      </c>
      <c r="F335" s="289">
        <v>-58</v>
      </c>
      <c r="G335" s="566">
        <f t="shared" si="6"/>
        <v>7417</v>
      </c>
    </row>
    <row r="336" spans="1:7" ht="12.75">
      <c r="A336" s="452"/>
      <c r="B336" s="204"/>
      <c r="C336" s="417">
        <v>4440</v>
      </c>
      <c r="D336" s="204" t="s">
        <v>196</v>
      </c>
      <c r="E336" s="289">
        <v>33901</v>
      </c>
      <c r="F336" s="289"/>
      <c r="G336" s="566">
        <f t="shared" si="6"/>
        <v>33901</v>
      </c>
    </row>
    <row r="337" spans="1:7" ht="12.75">
      <c r="A337" s="452"/>
      <c r="B337" s="204"/>
      <c r="C337" s="417">
        <v>4480</v>
      </c>
      <c r="D337" s="204" t="s">
        <v>197</v>
      </c>
      <c r="E337" s="289">
        <v>2785</v>
      </c>
      <c r="F337" s="289"/>
      <c r="G337" s="566">
        <f t="shared" si="6"/>
        <v>2785</v>
      </c>
    </row>
    <row r="338" spans="1:7" ht="12.75">
      <c r="A338" s="452"/>
      <c r="B338" s="204"/>
      <c r="C338" s="417">
        <v>6050</v>
      </c>
      <c r="D338" s="204" t="s">
        <v>199</v>
      </c>
      <c r="E338" s="289">
        <v>69000</v>
      </c>
      <c r="F338" s="289"/>
      <c r="G338" s="566">
        <f t="shared" si="6"/>
        <v>69000</v>
      </c>
    </row>
    <row r="339" spans="1:7" ht="12.75">
      <c r="A339" s="452"/>
      <c r="B339" s="204"/>
      <c r="C339" s="417">
        <v>6060</v>
      </c>
      <c r="D339" s="204" t="s">
        <v>441</v>
      </c>
      <c r="E339" s="289">
        <v>0</v>
      </c>
      <c r="F339" s="289"/>
      <c r="G339" s="566">
        <f t="shared" si="6"/>
        <v>0</v>
      </c>
    </row>
    <row r="340" spans="1:7" ht="12.75">
      <c r="A340" s="452"/>
      <c r="B340" s="204"/>
      <c r="C340" s="417"/>
      <c r="D340" s="204"/>
      <c r="E340" s="289"/>
      <c r="F340" s="289"/>
      <c r="G340" s="566"/>
    </row>
    <row r="341" spans="1:7" ht="12.75">
      <c r="A341" s="452"/>
      <c r="B341" s="449">
        <v>85202</v>
      </c>
      <c r="C341" s="449"/>
      <c r="D341" s="651" t="s">
        <v>27</v>
      </c>
      <c r="E341" s="564">
        <f>SUM(E342:E362)</f>
        <v>4357051</v>
      </c>
      <c r="F341" s="564">
        <f>SUM(F342:F362)</f>
        <v>13660</v>
      </c>
      <c r="G341" s="567">
        <f t="shared" si="6"/>
        <v>4370711</v>
      </c>
    </row>
    <row r="342" spans="1:7" ht="12.75">
      <c r="A342" s="452"/>
      <c r="B342" s="417"/>
      <c r="C342" s="417">
        <v>3020</v>
      </c>
      <c r="D342" s="204" t="s">
        <v>185</v>
      </c>
      <c r="E342" s="289">
        <v>17450</v>
      </c>
      <c r="F342" s="289">
        <f>-44-586</f>
        <v>-630</v>
      </c>
      <c r="G342" s="566">
        <f t="shared" si="6"/>
        <v>16820</v>
      </c>
    </row>
    <row r="343" spans="1:9" ht="12.75">
      <c r="A343" s="452"/>
      <c r="B343" s="417"/>
      <c r="C343" s="417">
        <v>4010</v>
      </c>
      <c r="D343" s="204" t="s">
        <v>186</v>
      </c>
      <c r="E343" s="289">
        <v>1912629</v>
      </c>
      <c r="F343" s="289">
        <f>-445-315+1372</f>
        <v>612</v>
      </c>
      <c r="G343" s="566">
        <f t="shared" si="6"/>
        <v>1913241</v>
      </c>
      <c r="I343" s="431"/>
    </row>
    <row r="344" spans="1:7" ht="12.75">
      <c r="A344" s="452"/>
      <c r="B344" s="417"/>
      <c r="C344" s="417">
        <v>4040</v>
      </c>
      <c r="D344" s="204" t="s">
        <v>187</v>
      </c>
      <c r="E344" s="289">
        <v>144131</v>
      </c>
      <c r="F344" s="289"/>
      <c r="G344" s="566">
        <f t="shared" si="6"/>
        <v>144131</v>
      </c>
    </row>
    <row r="345" spans="1:7" ht="12.75">
      <c r="A345" s="452"/>
      <c r="B345" s="417"/>
      <c r="C345" s="417">
        <v>4110</v>
      </c>
      <c r="D345" s="204" t="s">
        <v>188</v>
      </c>
      <c r="E345" s="289">
        <v>324802</v>
      </c>
      <c r="F345" s="289">
        <f>298+252+3400</f>
        <v>3950</v>
      </c>
      <c r="G345" s="566">
        <f t="shared" si="6"/>
        <v>328752</v>
      </c>
    </row>
    <row r="346" spans="1:7" ht="12.75">
      <c r="A346" s="452"/>
      <c r="B346" s="417"/>
      <c r="C346" s="417">
        <v>4120</v>
      </c>
      <c r="D346" s="204" t="s">
        <v>189</v>
      </c>
      <c r="E346" s="289">
        <v>48063</v>
      </c>
      <c r="F346" s="289">
        <f>147+63-500</f>
        <v>-290</v>
      </c>
      <c r="G346" s="566">
        <f t="shared" si="6"/>
        <v>47773</v>
      </c>
    </row>
    <row r="347" spans="1:7" ht="12.75">
      <c r="A347" s="452"/>
      <c r="B347" s="417"/>
      <c r="C347" s="417">
        <v>4170</v>
      </c>
      <c r="D347" s="204" t="s">
        <v>466</v>
      </c>
      <c r="E347" s="289">
        <v>6340</v>
      </c>
      <c r="F347" s="289">
        <f>-259+200</f>
        <v>-59</v>
      </c>
      <c r="G347" s="566">
        <f t="shared" si="6"/>
        <v>6281</v>
      </c>
    </row>
    <row r="348" spans="1:7" ht="12.75">
      <c r="A348" s="452"/>
      <c r="B348" s="417"/>
      <c r="C348" s="417">
        <v>4210</v>
      </c>
      <c r="D348" s="204" t="s">
        <v>190</v>
      </c>
      <c r="E348" s="289">
        <v>561188</v>
      </c>
      <c r="F348" s="289">
        <f>-5000-16949+706+22526</f>
        <v>1283</v>
      </c>
      <c r="G348" s="566">
        <f t="shared" si="6"/>
        <v>562471</v>
      </c>
    </row>
    <row r="349" spans="1:7" ht="12.75">
      <c r="A349" s="452"/>
      <c r="B349" s="417"/>
      <c r="C349" s="417">
        <v>4220</v>
      </c>
      <c r="D349" s="204" t="s">
        <v>223</v>
      </c>
      <c r="E349" s="289">
        <v>424558</v>
      </c>
      <c r="F349" s="289">
        <f>3018-720</f>
        <v>2298</v>
      </c>
      <c r="G349" s="566">
        <f t="shared" si="6"/>
        <v>426856</v>
      </c>
    </row>
    <row r="350" spans="1:7" ht="12.75">
      <c r="A350" s="452"/>
      <c r="B350" s="417"/>
      <c r="C350" s="417">
        <v>4230</v>
      </c>
      <c r="D350" s="204" t="s">
        <v>224</v>
      </c>
      <c r="E350" s="289">
        <v>38106</v>
      </c>
      <c r="F350" s="289">
        <v>108</v>
      </c>
      <c r="G350" s="566">
        <f t="shared" si="6"/>
        <v>38214</v>
      </c>
    </row>
    <row r="351" spans="1:7" ht="12.75">
      <c r="A351" s="452"/>
      <c r="B351" s="417"/>
      <c r="C351" s="417">
        <v>4260</v>
      </c>
      <c r="D351" s="204" t="s">
        <v>191</v>
      </c>
      <c r="E351" s="289">
        <v>147850</v>
      </c>
      <c r="F351" s="289">
        <f>-565-3000+419</f>
        <v>-3146</v>
      </c>
      <c r="G351" s="566">
        <f t="shared" si="6"/>
        <v>144704</v>
      </c>
    </row>
    <row r="352" spans="1:7" ht="12.75">
      <c r="A352" s="452"/>
      <c r="B352" s="417"/>
      <c r="C352" s="417">
        <v>4270</v>
      </c>
      <c r="D352" s="204" t="s">
        <v>192</v>
      </c>
      <c r="E352" s="289">
        <v>389864</v>
      </c>
      <c r="F352" s="289">
        <f>-14640+30000-44989</f>
        <v>-29629</v>
      </c>
      <c r="G352" s="566">
        <f t="shared" si="6"/>
        <v>360235</v>
      </c>
    </row>
    <row r="353" spans="1:7" ht="12.75">
      <c r="A353" s="452"/>
      <c r="B353" s="417"/>
      <c r="C353" s="417">
        <v>4280</v>
      </c>
      <c r="D353" s="204" t="s">
        <v>193</v>
      </c>
      <c r="E353" s="289">
        <v>1610</v>
      </c>
      <c r="F353" s="289">
        <f>-98-341</f>
        <v>-439</v>
      </c>
      <c r="G353" s="566">
        <f t="shared" si="6"/>
        <v>1171</v>
      </c>
    </row>
    <row r="354" spans="1:7" ht="12.75">
      <c r="A354" s="452"/>
      <c r="B354" s="417"/>
      <c r="C354" s="417">
        <v>4300</v>
      </c>
      <c r="D354" s="204" t="s">
        <v>182</v>
      </c>
      <c r="E354" s="289">
        <v>126082</v>
      </c>
      <c r="F354" s="289">
        <f>18640+7750+724+22751</f>
        <v>49865</v>
      </c>
      <c r="G354" s="566">
        <f t="shared" si="6"/>
        <v>175947</v>
      </c>
    </row>
    <row r="355" spans="1:7" ht="12.75">
      <c r="A355" s="452"/>
      <c r="B355" s="417"/>
      <c r="C355" s="417">
        <v>4410</v>
      </c>
      <c r="D355" s="204" t="s">
        <v>194</v>
      </c>
      <c r="E355" s="289">
        <v>7500</v>
      </c>
      <c r="F355" s="289">
        <f>-263-1140</f>
        <v>-1403</v>
      </c>
      <c r="G355" s="566">
        <f t="shared" si="6"/>
        <v>6097</v>
      </c>
    </row>
    <row r="356" spans="1:7" ht="12.75">
      <c r="A356" s="452"/>
      <c r="B356" s="417"/>
      <c r="C356" s="417">
        <v>4420</v>
      </c>
      <c r="D356" s="204" t="s">
        <v>209</v>
      </c>
      <c r="E356" s="289">
        <v>0</v>
      </c>
      <c r="F356" s="289"/>
      <c r="G356" s="566">
        <f t="shared" si="6"/>
        <v>0</v>
      </c>
    </row>
    <row r="357" spans="1:7" ht="12.75">
      <c r="A357" s="452"/>
      <c r="B357" s="417"/>
      <c r="C357" s="417">
        <v>4430</v>
      </c>
      <c r="D357" s="204" t="s">
        <v>195</v>
      </c>
      <c r="E357" s="289">
        <v>17580</v>
      </c>
      <c r="F357" s="289">
        <f>1608-912</f>
        <v>696</v>
      </c>
      <c r="G357" s="566">
        <f t="shared" si="6"/>
        <v>18276</v>
      </c>
    </row>
    <row r="358" spans="1:7" ht="12.75">
      <c r="A358" s="452"/>
      <c r="B358" s="417"/>
      <c r="C358" s="417">
        <v>4440</v>
      </c>
      <c r="D358" s="204" t="s">
        <v>196</v>
      </c>
      <c r="E358" s="289">
        <v>80820</v>
      </c>
      <c r="F358" s="289"/>
      <c r="G358" s="566">
        <f t="shared" si="6"/>
        <v>80820</v>
      </c>
    </row>
    <row r="359" spans="1:7" ht="12.75">
      <c r="A359" s="452"/>
      <c r="B359" s="417"/>
      <c r="C359" s="417">
        <v>4480</v>
      </c>
      <c r="D359" s="204" t="s">
        <v>197</v>
      </c>
      <c r="E359" s="289">
        <v>16024</v>
      </c>
      <c r="F359" s="289"/>
      <c r="G359" s="566">
        <f aca="true" t="shared" si="9" ref="G359:G441">E359+F359</f>
        <v>16024</v>
      </c>
    </row>
    <row r="360" spans="1:7" ht="12.75">
      <c r="A360" s="452"/>
      <c r="B360" s="417"/>
      <c r="C360" s="417">
        <v>4520</v>
      </c>
      <c r="D360" s="204" t="s">
        <v>225</v>
      </c>
      <c r="E360" s="289">
        <v>39</v>
      </c>
      <c r="F360" s="289"/>
      <c r="G360" s="566">
        <f t="shared" si="9"/>
        <v>39</v>
      </c>
    </row>
    <row r="361" spans="1:7" ht="12.75">
      <c r="A361" s="452"/>
      <c r="B361" s="417"/>
      <c r="C361" s="417">
        <v>6050</v>
      </c>
      <c r="D361" s="204" t="s">
        <v>199</v>
      </c>
      <c r="E361" s="289">
        <v>50000</v>
      </c>
      <c r="F361" s="289">
        <f>-30000+11000</f>
        <v>-19000</v>
      </c>
      <c r="G361" s="566">
        <f t="shared" si="9"/>
        <v>31000</v>
      </c>
    </row>
    <row r="362" spans="1:9" ht="12.75">
      <c r="A362" s="452"/>
      <c r="B362" s="417"/>
      <c r="C362" s="417">
        <v>6060</v>
      </c>
      <c r="D362" s="204" t="s">
        <v>448</v>
      </c>
      <c r="E362" s="289">
        <v>42415</v>
      </c>
      <c r="F362" s="289">
        <f>9299+145</f>
        <v>9444</v>
      </c>
      <c r="G362" s="566">
        <f t="shared" si="9"/>
        <v>51859</v>
      </c>
      <c r="I362" s="431"/>
    </row>
    <row r="363" spans="1:9" ht="12.75">
      <c r="A363" s="452"/>
      <c r="B363" s="417"/>
      <c r="C363" s="417"/>
      <c r="D363" s="204"/>
      <c r="E363" s="289"/>
      <c r="F363" s="289"/>
      <c r="G363" s="566"/>
      <c r="I363" s="431"/>
    </row>
    <row r="364" spans="1:9" ht="12.75">
      <c r="A364" s="452"/>
      <c r="B364" s="449">
        <v>85203</v>
      </c>
      <c r="C364" s="449"/>
      <c r="D364" s="651" t="s">
        <v>422</v>
      </c>
      <c r="E364" s="564">
        <f>SUM(E365:E379)</f>
        <v>250844</v>
      </c>
      <c r="F364" s="564">
        <f>SUM(F365:F379)</f>
        <v>0</v>
      </c>
      <c r="G364" s="567">
        <f>E364+F364</f>
        <v>250844</v>
      </c>
      <c r="I364" s="431"/>
    </row>
    <row r="365" spans="1:9" ht="12.75">
      <c r="A365" s="452"/>
      <c r="B365" s="417"/>
      <c r="C365" s="417">
        <v>4010</v>
      </c>
      <c r="D365" s="204" t="s">
        <v>186</v>
      </c>
      <c r="E365" s="289">
        <v>93696</v>
      </c>
      <c r="F365" s="289">
        <v>124</v>
      </c>
      <c r="G365" s="566">
        <f t="shared" si="9"/>
        <v>93820</v>
      </c>
      <c r="I365" s="431"/>
    </row>
    <row r="366" spans="1:9" ht="12.75">
      <c r="A366" s="452"/>
      <c r="B366" s="417"/>
      <c r="C366" s="417">
        <v>4040</v>
      </c>
      <c r="D366" s="204" t="s">
        <v>187</v>
      </c>
      <c r="E366" s="289">
        <v>5318</v>
      </c>
      <c r="F366" s="289"/>
      <c r="G366" s="566">
        <f t="shared" si="9"/>
        <v>5318</v>
      </c>
      <c r="I366" s="431"/>
    </row>
    <row r="367" spans="1:9" ht="12.75">
      <c r="A367" s="452"/>
      <c r="B367" s="417"/>
      <c r="C367" s="417">
        <v>4110</v>
      </c>
      <c r="D367" s="204" t="s">
        <v>188</v>
      </c>
      <c r="E367" s="289">
        <v>17336</v>
      </c>
      <c r="F367" s="289">
        <v>-107</v>
      </c>
      <c r="G367" s="566">
        <f t="shared" si="9"/>
        <v>17229</v>
      </c>
      <c r="I367" s="431"/>
    </row>
    <row r="368" spans="1:9" ht="12.75">
      <c r="A368" s="452"/>
      <c r="B368" s="417"/>
      <c r="C368" s="417">
        <v>4120</v>
      </c>
      <c r="D368" s="204" t="s">
        <v>189</v>
      </c>
      <c r="E368" s="289">
        <v>2426</v>
      </c>
      <c r="F368" s="289">
        <v>-17</v>
      </c>
      <c r="G368" s="566">
        <f t="shared" si="9"/>
        <v>2409</v>
      </c>
      <c r="H368" s="431"/>
      <c r="I368" s="431"/>
    </row>
    <row r="369" spans="1:9" ht="12.75">
      <c r="A369" s="452"/>
      <c r="B369" s="417"/>
      <c r="C369" s="417">
        <v>4210</v>
      </c>
      <c r="D369" s="204" t="s">
        <v>190</v>
      </c>
      <c r="E369" s="289">
        <v>90298</v>
      </c>
      <c r="F369" s="289">
        <v>6863</v>
      </c>
      <c r="G369" s="566">
        <f t="shared" si="9"/>
        <v>97161</v>
      </c>
      <c r="I369" s="431"/>
    </row>
    <row r="370" spans="1:9" ht="12.75">
      <c r="A370" s="452"/>
      <c r="B370" s="417"/>
      <c r="C370" s="417">
        <v>4220</v>
      </c>
      <c r="D370" s="204" t="s">
        <v>223</v>
      </c>
      <c r="E370" s="289">
        <v>16770</v>
      </c>
      <c r="F370" s="289"/>
      <c r="G370" s="566">
        <f t="shared" si="9"/>
        <v>16770</v>
      </c>
      <c r="I370" s="431"/>
    </row>
    <row r="371" spans="1:9" ht="12.75">
      <c r="A371" s="452"/>
      <c r="B371" s="417"/>
      <c r="C371" s="417">
        <v>4230</v>
      </c>
      <c r="D371" s="204" t="s">
        <v>534</v>
      </c>
      <c r="E371" s="289">
        <v>224</v>
      </c>
      <c r="F371" s="289">
        <v>13</v>
      </c>
      <c r="G371" s="566">
        <f t="shared" si="9"/>
        <v>237</v>
      </c>
      <c r="I371" s="431"/>
    </row>
    <row r="372" spans="1:9" ht="12.75">
      <c r="A372" s="452"/>
      <c r="B372" s="417"/>
      <c r="C372" s="417">
        <v>4260</v>
      </c>
      <c r="D372" s="204" t="s">
        <v>191</v>
      </c>
      <c r="E372" s="289">
        <v>5500</v>
      </c>
      <c r="F372" s="289">
        <v>-3355</v>
      </c>
      <c r="G372" s="566">
        <f>F372+E372</f>
        <v>2145</v>
      </c>
      <c r="I372" s="431"/>
    </row>
    <row r="373" spans="1:9" ht="12.75">
      <c r="A373" s="452"/>
      <c r="B373" s="417"/>
      <c r="C373" s="417">
        <v>4270</v>
      </c>
      <c r="D373" s="204" t="s">
        <v>192</v>
      </c>
      <c r="E373" s="289">
        <v>1500</v>
      </c>
      <c r="F373" s="289"/>
      <c r="G373" s="566">
        <f>F373+E373</f>
        <v>1500</v>
      </c>
      <c r="I373" s="431"/>
    </row>
    <row r="374" spans="1:9" ht="12.75">
      <c r="A374" s="452"/>
      <c r="B374" s="417"/>
      <c r="C374" s="417">
        <v>4280</v>
      </c>
      <c r="D374" s="204" t="s">
        <v>193</v>
      </c>
      <c r="E374" s="289">
        <v>400</v>
      </c>
      <c r="F374" s="289">
        <v>-178</v>
      </c>
      <c r="G374" s="566">
        <f t="shared" si="9"/>
        <v>222</v>
      </c>
      <c r="I374" s="431"/>
    </row>
    <row r="375" spans="1:9" ht="12.75">
      <c r="A375" s="452"/>
      <c r="B375" s="417"/>
      <c r="C375" s="417">
        <v>4300</v>
      </c>
      <c r="D375" s="204" t="s">
        <v>182</v>
      </c>
      <c r="E375" s="289">
        <v>7543</v>
      </c>
      <c r="F375" s="289">
        <v>-1057</v>
      </c>
      <c r="G375" s="566">
        <f t="shared" si="9"/>
        <v>6486</v>
      </c>
      <c r="I375" s="431"/>
    </row>
    <row r="376" spans="1:9" ht="12.75">
      <c r="A376" s="452"/>
      <c r="B376" s="417"/>
      <c r="C376" s="417">
        <v>4410</v>
      </c>
      <c r="D376" s="204" t="s">
        <v>194</v>
      </c>
      <c r="E376" s="289">
        <v>1500</v>
      </c>
      <c r="F376" s="289">
        <v>-1065</v>
      </c>
      <c r="G376" s="566">
        <f t="shared" si="9"/>
        <v>435</v>
      </c>
      <c r="I376" s="431"/>
    </row>
    <row r="377" spans="1:9" ht="12.75">
      <c r="A377" s="452"/>
      <c r="B377" s="417"/>
      <c r="C377" s="417">
        <v>4430</v>
      </c>
      <c r="D377" s="204" t="s">
        <v>195</v>
      </c>
      <c r="E377" s="289">
        <v>3200</v>
      </c>
      <c r="F377" s="289">
        <v>-1221</v>
      </c>
      <c r="G377" s="566">
        <f t="shared" si="9"/>
        <v>1979</v>
      </c>
      <c r="I377" s="431"/>
    </row>
    <row r="378" spans="1:9" ht="12.75">
      <c r="A378" s="452"/>
      <c r="B378" s="417"/>
      <c r="C378" s="417">
        <v>4440</v>
      </c>
      <c r="D378" s="204" t="s">
        <v>196</v>
      </c>
      <c r="E378" s="289">
        <v>5133</v>
      </c>
      <c r="F378" s="289"/>
      <c r="G378" s="566">
        <f t="shared" si="9"/>
        <v>5133</v>
      </c>
      <c r="I378" s="431"/>
    </row>
    <row r="379" spans="1:9" ht="12.75">
      <c r="A379" s="452"/>
      <c r="B379" s="417"/>
      <c r="C379" s="417">
        <v>6060</v>
      </c>
      <c r="D379" s="204" t="s">
        <v>448</v>
      </c>
      <c r="E379" s="289">
        <v>0</v>
      </c>
      <c r="F379" s="289"/>
      <c r="G379" s="566">
        <f t="shared" si="9"/>
        <v>0</v>
      </c>
      <c r="I379" s="431"/>
    </row>
    <row r="380" spans="1:7" ht="12.75">
      <c r="A380" s="452"/>
      <c r="B380" s="417"/>
      <c r="C380" s="417"/>
      <c r="D380" s="204"/>
      <c r="E380" s="289"/>
      <c r="F380" s="289"/>
      <c r="G380" s="566"/>
    </row>
    <row r="381" spans="1:7" ht="12.75">
      <c r="A381" s="452"/>
      <c r="B381" s="449">
        <v>85204</v>
      </c>
      <c r="C381" s="449"/>
      <c r="D381" s="651" t="s">
        <v>28</v>
      </c>
      <c r="E381" s="564">
        <f>SUM(E382:E386)</f>
        <v>1376401</v>
      </c>
      <c r="F381" s="564">
        <f>SUM(F382:F386)</f>
        <v>0</v>
      </c>
      <c r="G381" s="567">
        <f t="shared" si="9"/>
        <v>1376401</v>
      </c>
    </row>
    <row r="382" spans="1:7" ht="12.75">
      <c r="A382" s="452"/>
      <c r="B382" s="417"/>
      <c r="C382" s="417">
        <v>2310</v>
      </c>
      <c r="D382" s="204" t="s">
        <v>184</v>
      </c>
      <c r="E382" s="289">
        <v>107000</v>
      </c>
      <c r="F382" s="289"/>
      <c r="G382" s="566">
        <f t="shared" si="9"/>
        <v>107000</v>
      </c>
    </row>
    <row r="383" spans="1:7" ht="12.75">
      <c r="A383" s="452"/>
      <c r="B383" s="417"/>
      <c r="C383" s="417">
        <v>3110</v>
      </c>
      <c r="D383" s="204" t="s">
        <v>222</v>
      </c>
      <c r="E383" s="289">
        <v>1215006</v>
      </c>
      <c r="F383" s="289"/>
      <c r="G383" s="566">
        <f t="shared" si="9"/>
        <v>1215006</v>
      </c>
    </row>
    <row r="384" spans="1:7" ht="12.75">
      <c r="A384" s="452"/>
      <c r="B384" s="417"/>
      <c r="C384" s="417">
        <v>4110</v>
      </c>
      <c r="D384" s="204" t="s">
        <v>188</v>
      </c>
      <c r="E384" s="289">
        <v>3729</v>
      </c>
      <c r="F384" s="289"/>
      <c r="G384" s="566">
        <f t="shared" si="9"/>
        <v>3729</v>
      </c>
    </row>
    <row r="385" spans="1:7" ht="12.75">
      <c r="A385" s="452"/>
      <c r="B385" s="417"/>
      <c r="C385" s="417">
        <v>4120</v>
      </c>
      <c r="D385" s="204" t="s">
        <v>189</v>
      </c>
      <c r="E385" s="289">
        <v>563</v>
      </c>
      <c r="F385" s="289"/>
      <c r="G385" s="566">
        <f t="shared" si="9"/>
        <v>563</v>
      </c>
    </row>
    <row r="386" spans="1:7" ht="12.75">
      <c r="A386" s="452"/>
      <c r="B386" s="417"/>
      <c r="C386" s="417">
        <v>4300</v>
      </c>
      <c r="D386" s="204" t="s">
        <v>182</v>
      </c>
      <c r="E386" s="289">
        <v>50103</v>
      </c>
      <c r="F386" s="289"/>
      <c r="G386" s="566">
        <f t="shared" si="9"/>
        <v>50103</v>
      </c>
    </row>
    <row r="387" spans="1:7" ht="12.75">
      <c r="A387" s="452"/>
      <c r="B387" s="417"/>
      <c r="C387" s="417"/>
      <c r="D387" s="204"/>
      <c r="E387" s="289"/>
      <c r="F387" s="289"/>
      <c r="G387" s="566"/>
    </row>
    <row r="388" spans="1:7" ht="12.75">
      <c r="A388" s="452"/>
      <c r="B388" s="449">
        <v>85218</v>
      </c>
      <c r="C388" s="449"/>
      <c r="D388" s="651" t="s">
        <v>19</v>
      </c>
      <c r="E388" s="564">
        <f>SUM(E389:E402)</f>
        <v>548950</v>
      </c>
      <c r="F388" s="564">
        <f>SUM(F389:F402)</f>
        <v>8141</v>
      </c>
      <c r="G388" s="567">
        <f t="shared" si="9"/>
        <v>557091</v>
      </c>
    </row>
    <row r="389" spans="1:9" ht="12.75">
      <c r="A389" s="452"/>
      <c r="B389" s="417"/>
      <c r="C389" s="417">
        <v>4010</v>
      </c>
      <c r="D389" s="204" t="s">
        <v>186</v>
      </c>
      <c r="E389" s="289">
        <v>302701</v>
      </c>
      <c r="F389" s="289"/>
      <c r="G389" s="566">
        <f t="shared" si="9"/>
        <v>302701</v>
      </c>
      <c r="I389" s="431"/>
    </row>
    <row r="390" spans="1:7" ht="12.75">
      <c r="A390" s="452"/>
      <c r="B390" s="417"/>
      <c r="C390" s="417">
        <v>4040</v>
      </c>
      <c r="D390" s="204" t="s">
        <v>187</v>
      </c>
      <c r="E390" s="289">
        <v>23898</v>
      </c>
      <c r="F390" s="289"/>
      <c r="G390" s="566">
        <f t="shared" si="9"/>
        <v>23898</v>
      </c>
    </row>
    <row r="391" spans="1:7" ht="12.75">
      <c r="A391" s="452"/>
      <c r="B391" s="417"/>
      <c r="C391" s="417">
        <v>4110</v>
      </c>
      <c r="D391" s="204" t="s">
        <v>188</v>
      </c>
      <c r="E391" s="289">
        <v>62672</v>
      </c>
      <c r="F391" s="289">
        <v>-2000</v>
      </c>
      <c r="G391" s="566">
        <f t="shared" si="9"/>
        <v>60672</v>
      </c>
    </row>
    <row r="392" spans="1:7" ht="12.75">
      <c r="A392" s="452"/>
      <c r="B392" s="417"/>
      <c r="C392" s="417">
        <v>4120</v>
      </c>
      <c r="D392" s="204" t="s">
        <v>189</v>
      </c>
      <c r="E392" s="289">
        <v>8578</v>
      </c>
      <c r="F392" s="289"/>
      <c r="G392" s="566">
        <f t="shared" si="9"/>
        <v>8578</v>
      </c>
    </row>
    <row r="393" spans="1:7" ht="12.75">
      <c r="A393" s="452"/>
      <c r="B393" s="417"/>
      <c r="C393" s="417">
        <v>4210</v>
      </c>
      <c r="D393" s="204" t="s">
        <v>190</v>
      </c>
      <c r="E393" s="289">
        <v>39900</v>
      </c>
      <c r="F393" s="289">
        <f>9815+480</f>
        <v>10295</v>
      </c>
      <c r="G393" s="566">
        <f t="shared" si="9"/>
        <v>50195</v>
      </c>
    </row>
    <row r="394" spans="1:7" ht="12.75">
      <c r="A394" s="452"/>
      <c r="B394" s="417"/>
      <c r="C394" s="417">
        <v>4260</v>
      </c>
      <c r="D394" s="204" t="s">
        <v>191</v>
      </c>
      <c r="E394" s="289">
        <v>27120</v>
      </c>
      <c r="F394" s="289">
        <v>-2531</v>
      </c>
      <c r="G394" s="566">
        <f t="shared" si="9"/>
        <v>24589</v>
      </c>
    </row>
    <row r="395" spans="1:7" ht="12.75">
      <c r="A395" s="452"/>
      <c r="B395" s="417"/>
      <c r="C395" s="417">
        <v>4270</v>
      </c>
      <c r="D395" s="204" t="s">
        <v>192</v>
      </c>
      <c r="E395" s="289">
        <v>2431</v>
      </c>
      <c r="F395" s="289">
        <v>4473</v>
      </c>
      <c r="G395" s="566">
        <f t="shared" si="9"/>
        <v>6904</v>
      </c>
    </row>
    <row r="396" spans="1:7" ht="12.75">
      <c r="A396" s="452"/>
      <c r="B396" s="417"/>
      <c r="C396" s="417">
        <v>4280</v>
      </c>
      <c r="D396" s="204" t="s">
        <v>193</v>
      </c>
      <c r="E396" s="289">
        <v>210</v>
      </c>
      <c r="F396" s="289">
        <v>-30</v>
      </c>
      <c r="G396" s="566">
        <f t="shared" si="9"/>
        <v>180</v>
      </c>
    </row>
    <row r="397" spans="1:7" ht="12.75">
      <c r="A397" s="452"/>
      <c r="B397" s="417"/>
      <c r="C397" s="417">
        <v>4300</v>
      </c>
      <c r="D397" s="204" t="s">
        <v>182</v>
      </c>
      <c r="E397" s="289">
        <v>65600</v>
      </c>
      <c r="F397" s="289"/>
      <c r="G397" s="566">
        <f t="shared" si="9"/>
        <v>65600</v>
      </c>
    </row>
    <row r="398" spans="1:7" ht="12.75">
      <c r="A398" s="452"/>
      <c r="B398" s="417"/>
      <c r="C398" s="417">
        <v>4410</v>
      </c>
      <c r="D398" s="204" t="s">
        <v>194</v>
      </c>
      <c r="E398" s="289">
        <v>3415</v>
      </c>
      <c r="F398" s="289">
        <v>-2000</v>
      </c>
      <c r="G398" s="566">
        <f t="shared" si="9"/>
        <v>1415</v>
      </c>
    </row>
    <row r="399" spans="1:7" ht="12.75">
      <c r="A399" s="452"/>
      <c r="B399" s="417"/>
      <c r="C399" s="417">
        <v>4430</v>
      </c>
      <c r="D399" s="204" t="s">
        <v>195</v>
      </c>
      <c r="E399" s="289">
        <v>4100</v>
      </c>
      <c r="F399" s="289"/>
      <c r="G399" s="566">
        <f t="shared" si="9"/>
        <v>4100</v>
      </c>
    </row>
    <row r="400" spans="1:7" ht="12.75">
      <c r="A400" s="452"/>
      <c r="B400" s="417"/>
      <c r="C400" s="417">
        <v>4440</v>
      </c>
      <c r="D400" s="204" t="s">
        <v>196</v>
      </c>
      <c r="E400" s="289">
        <v>8025</v>
      </c>
      <c r="F400" s="289"/>
      <c r="G400" s="566">
        <f t="shared" si="9"/>
        <v>8025</v>
      </c>
    </row>
    <row r="401" spans="1:7" ht="12.75">
      <c r="A401" s="452"/>
      <c r="B401" s="417"/>
      <c r="C401" s="417">
        <v>4580</v>
      </c>
      <c r="D401" s="204" t="s">
        <v>70</v>
      </c>
      <c r="E401" s="289">
        <v>300</v>
      </c>
      <c r="F401" s="289">
        <v>-66</v>
      </c>
      <c r="G401" s="566">
        <f t="shared" si="9"/>
        <v>234</v>
      </c>
    </row>
    <row r="402" spans="1:7" ht="12.75">
      <c r="A402" s="452"/>
      <c r="B402" s="417"/>
      <c r="C402" s="417">
        <v>6060</v>
      </c>
      <c r="D402" s="204" t="s">
        <v>448</v>
      </c>
      <c r="E402" s="289">
        <v>0</v>
      </c>
      <c r="F402" s="289"/>
      <c r="G402" s="566">
        <f t="shared" si="9"/>
        <v>0</v>
      </c>
    </row>
    <row r="403" spans="1:7" ht="12.75">
      <c r="A403" s="452"/>
      <c r="B403" s="204"/>
      <c r="C403" s="418"/>
      <c r="D403" s="204"/>
      <c r="E403" s="289"/>
      <c r="F403" s="289"/>
      <c r="G403" s="566"/>
    </row>
    <row r="404" spans="1:7" ht="12.75">
      <c r="A404" s="452"/>
      <c r="B404" s="449">
        <v>85220</v>
      </c>
      <c r="C404" s="449"/>
      <c r="D404" s="651" t="s">
        <v>248</v>
      </c>
      <c r="E404" s="564">
        <f>SUM(E405:E410)</f>
        <v>134216</v>
      </c>
      <c r="F404" s="564">
        <f>SUM(F405:F410)</f>
        <v>-23550</v>
      </c>
      <c r="G404" s="567">
        <f t="shared" si="9"/>
        <v>110666</v>
      </c>
    </row>
    <row r="405" spans="1:7" ht="12.75">
      <c r="A405" s="452"/>
      <c r="B405" s="417"/>
      <c r="C405" s="417">
        <v>4210</v>
      </c>
      <c r="D405" s="204" t="s">
        <v>190</v>
      </c>
      <c r="E405" s="289">
        <v>7752</v>
      </c>
      <c r="F405" s="289">
        <v>-1890</v>
      </c>
      <c r="G405" s="566">
        <f t="shared" si="9"/>
        <v>5862</v>
      </c>
    </row>
    <row r="406" spans="1:7" ht="12.75">
      <c r="A406" s="452"/>
      <c r="B406" s="417"/>
      <c r="C406" s="417">
        <v>4220</v>
      </c>
      <c r="D406" s="204" t="s">
        <v>223</v>
      </c>
      <c r="E406" s="289">
        <v>9464</v>
      </c>
      <c r="F406" s="289">
        <v>-6630</v>
      </c>
      <c r="G406" s="566">
        <f t="shared" si="9"/>
        <v>2834</v>
      </c>
    </row>
    <row r="407" spans="1:7" ht="12.75">
      <c r="A407" s="452"/>
      <c r="B407" s="417"/>
      <c r="C407" s="417">
        <v>4230</v>
      </c>
      <c r="D407" s="204" t="s">
        <v>224</v>
      </c>
      <c r="E407" s="289">
        <v>1000</v>
      </c>
      <c r="F407" s="289">
        <v>-1000</v>
      </c>
      <c r="G407" s="566">
        <f t="shared" si="9"/>
        <v>0</v>
      </c>
    </row>
    <row r="408" spans="1:7" ht="12.75">
      <c r="A408" s="452"/>
      <c r="B408" s="204"/>
      <c r="C408" s="418" t="s">
        <v>246</v>
      </c>
      <c r="D408" s="204" t="s">
        <v>191</v>
      </c>
      <c r="E408" s="289">
        <v>2000</v>
      </c>
      <c r="F408" s="289">
        <v>-100</v>
      </c>
      <c r="G408" s="566">
        <f t="shared" si="9"/>
        <v>1900</v>
      </c>
    </row>
    <row r="409" spans="1:7" ht="12.75">
      <c r="A409" s="452"/>
      <c r="B409" s="204"/>
      <c r="C409" s="418" t="s">
        <v>247</v>
      </c>
      <c r="D409" s="204" t="s">
        <v>192</v>
      </c>
      <c r="E409" s="289">
        <v>113000</v>
      </c>
      <c r="F409" s="289">
        <v>-12930</v>
      </c>
      <c r="G409" s="566">
        <f t="shared" si="9"/>
        <v>100070</v>
      </c>
    </row>
    <row r="410" spans="1:7" ht="12.75">
      <c r="A410" s="452"/>
      <c r="B410" s="204"/>
      <c r="C410" s="418" t="s">
        <v>181</v>
      </c>
      <c r="D410" s="204" t="s">
        <v>182</v>
      </c>
      <c r="E410" s="289">
        <v>1000</v>
      </c>
      <c r="F410" s="289">
        <v>-1000</v>
      </c>
      <c r="G410" s="566">
        <f t="shared" si="9"/>
        <v>0</v>
      </c>
    </row>
    <row r="411" spans="1:7" ht="12.75">
      <c r="A411" s="452"/>
      <c r="B411" s="204"/>
      <c r="C411" s="418"/>
      <c r="D411" s="204"/>
      <c r="E411" s="289"/>
      <c r="F411" s="289"/>
      <c r="G411" s="566"/>
    </row>
    <row r="412" spans="1:7" ht="12.75">
      <c r="A412" s="452"/>
      <c r="B412" s="651">
        <v>85233</v>
      </c>
      <c r="C412" s="704"/>
      <c r="D412" s="651" t="s">
        <v>150</v>
      </c>
      <c r="E412" s="564">
        <f>E413</f>
        <v>750</v>
      </c>
      <c r="F412" s="564">
        <f>F413</f>
        <v>0</v>
      </c>
      <c r="G412" s="567">
        <f>F412+E412</f>
        <v>750</v>
      </c>
    </row>
    <row r="413" spans="1:7" ht="12.75">
      <c r="A413" s="452"/>
      <c r="B413" s="204"/>
      <c r="C413" s="418" t="s">
        <v>181</v>
      </c>
      <c r="D413" s="204" t="s">
        <v>182</v>
      </c>
      <c r="E413" s="289">
        <v>750</v>
      </c>
      <c r="F413" s="289"/>
      <c r="G413" s="566">
        <f>F413+E413</f>
        <v>750</v>
      </c>
    </row>
    <row r="414" spans="1:7" ht="12.75">
      <c r="A414" s="452"/>
      <c r="B414" s="204"/>
      <c r="C414" s="418"/>
      <c r="D414" s="204"/>
      <c r="E414" s="289"/>
      <c r="F414" s="289"/>
      <c r="G414" s="566"/>
    </row>
    <row r="415" spans="1:7" ht="12.75">
      <c r="A415" s="452"/>
      <c r="B415" s="204"/>
      <c r="C415" s="418"/>
      <c r="D415" s="204"/>
      <c r="E415" s="289"/>
      <c r="F415" s="289"/>
      <c r="G415" s="566"/>
    </row>
    <row r="416" spans="1:7" ht="12.75">
      <c r="A416" s="452"/>
      <c r="B416" s="651">
        <v>85295</v>
      </c>
      <c r="C416" s="704"/>
      <c r="D416" s="651" t="s">
        <v>25</v>
      </c>
      <c r="E416" s="564">
        <f>SUM(E417:E421)</f>
        <v>261600</v>
      </c>
      <c r="F416" s="564">
        <f>SUM(F417:F421)</f>
        <v>0</v>
      </c>
      <c r="G416" s="567">
        <f>F416+E416</f>
        <v>261600</v>
      </c>
    </row>
    <row r="417" spans="1:7" ht="12.75">
      <c r="A417" s="452"/>
      <c r="B417" s="204"/>
      <c r="C417" s="418" t="s">
        <v>437</v>
      </c>
      <c r="D417" s="204" t="s">
        <v>438</v>
      </c>
      <c r="E417" s="289">
        <v>1600</v>
      </c>
      <c r="F417" s="289">
        <v>0</v>
      </c>
      <c r="G417" s="566">
        <f>F417+E417</f>
        <v>1600</v>
      </c>
    </row>
    <row r="418" spans="1:7" ht="12.75">
      <c r="A418" s="452"/>
      <c r="B418" s="204"/>
      <c r="C418" s="418"/>
      <c r="D418" s="204" t="s">
        <v>439</v>
      </c>
      <c r="E418" s="289"/>
      <c r="F418" s="289"/>
      <c r="G418" s="566"/>
    </row>
    <row r="419" spans="1:7" ht="12.75">
      <c r="A419" s="452"/>
      <c r="B419" s="204"/>
      <c r="C419" s="418" t="s">
        <v>202</v>
      </c>
      <c r="D419" s="204" t="s">
        <v>190</v>
      </c>
      <c r="E419" s="289">
        <v>42184</v>
      </c>
      <c r="F419" s="289">
        <v>-1689</v>
      </c>
      <c r="G419" s="566">
        <f>E419+F419</f>
        <v>40495</v>
      </c>
    </row>
    <row r="420" spans="1:7" ht="12.75">
      <c r="A420" s="452"/>
      <c r="B420" s="204"/>
      <c r="C420" s="418" t="s">
        <v>247</v>
      </c>
      <c r="D420" s="204" t="s">
        <v>192</v>
      </c>
      <c r="E420" s="289">
        <v>214816</v>
      </c>
      <c r="F420" s="289"/>
      <c r="G420" s="566">
        <f>E420+F420</f>
        <v>214816</v>
      </c>
    </row>
    <row r="421" spans="1:7" ht="12.75">
      <c r="A421" s="452"/>
      <c r="B421" s="204"/>
      <c r="C421" s="418" t="s">
        <v>181</v>
      </c>
      <c r="D421" s="204" t="s">
        <v>182</v>
      </c>
      <c r="E421" s="289">
        <v>3000</v>
      </c>
      <c r="F421" s="289">
        <v>1689</v>
      </c>
      <c r="G421" s="566">
        <f>E421+F421</f>
        <v>4689</v>
      </c>
    </row>
    <row r="422" spans="1:7" ht="12.75">
      <c r="A422" s="452"/>
      <c r="B422" s="204"/>
      <c r="C422" s="418"/>
      <c r="D422" s="204"/>
      <c r="E422" s="289"/>
      <c r="F422" s="289"/>
      <c r="G422" s="566"/>
    </row>
    <row r="423" spans="1:7" ht="13.5" thickBot="1">
      <c r="A423" s="408">
        <v>853</v>
      </c>
      <c r="B423" s="415"/>
      <c r="C423" s="415"/>
      <c r="D423" s="416" t="s">
        <v>241</v>
      </c>
      <c r="E423" s="627">
        <f>E424+E438+E464+E460</f>
        <v>4116473</v>
      </c>
      <c r="F423" s="627">
        <f>F424+F438+F464+F460</f>
        <v>87835</v>
      </c>
      <c r="G423" s="739">
        <f t="shared" si="9"/>
        <v>4204308</v>
      </c>
    </row>
    <row r="424" spans="1:7" ht="12.75">
      <c r="A424" s="392"/>
      <c r="B424" s="449">
        <v>85321</v>
      </c>
      <c r="C424" s="449"/>
      <c r="D424" s="651" t="s">
        <v>474</v>
      </c>
      <c r="E424" s="564">
        <f>SUM(E425:E436)</f>
        <v>283125</v>
      </c>
      <c r="F424" s="564">
        <f>SUM(F425:F436)</f>
        <v>0</v>
      </c>
      <c r="G424" s="567">
        <f t="shared" si="9"/>
        <v>283125</v>
      </c>
    </row>
    <row r="425" spans="1:9" ht="12.75">
      <c r="A425" s="392"/>
      <c r="B425" s="417"/>
      <c r="C425" s="417">
        <v>4010</v>
      </c>
      <c r="D425" s="204" t="s">
        <v>186</v>
      </c>
      <c r="E425" s="289">
        <v>61565</v>
      </c>
      <c r="F425" s="289"/>
      <c r="G425" s="566">
        <f t="shared" si="9"/>
        <v>61565</v>
      </c>
      <c r="I425" s="431"/>
    </row>
    <row r="426" spans="1:7" ht="12.75">
      <c r="A426" s="392"/>
      <c r="B426" s="417"/>
      <c r="C426" s="417">
        <v>4040</v>
      </c>
      <c r="D426" s="204" t="s">
        <v>187</v>
      </c>
      <c r="E426" s="289">
        <v>4431</v>
      </c>
      <c r="F426" s="289"/>
      <c r="G426" s="566">
        <f t="shared" si="9"/>
        <v>4431</v>
      </c>
    </row>
    <row r="427" spans="1:7" ht="12.75">
      <c r="A427" s="392"/>
      <c r="B427" s="417"/>
      <c r="C427" s="417">
        <v>4110</v>
      </c>
      <c r="D427" s="204" t="s">
        <v>188</v>
      </c>
      <c r="E427" s="289">
        <v>13860</v>
      </c>
      <c r="F427" s="289">
        <v>-2000</v>
      </c>
      <c r="G427" s="566">
        <f t="shared" si="9"/>
        <v>11860</v>
      </c>
    </row>
    <row r="428" spans="1:7" ht="12.75">
      <c r="A428" s="392"/>
      <c r="B428" s="417"/>
      <c r="C428" s="417">
        <v>4120</v>
      </c>
      <c r="D428" s="204" t="s">
        <v>189</v>
      </c>
      <c r="E428" s="289">
        <v>2094</v>
      </c>
      <c r="F428" s="289">
        <v>-387</v>
      </c>
      <c r="G428" s="566">
        <f t="shared" si="9"/>
        <v>1707</v>
      </c>
    </row>
    <row r="429" spans="1:7" ht="12.75">
      <c r="A429" s="392"/>
      <c r="B429" s="417"/>
      <c r="C429" s="417">
        <v>4210</v>
      </c>
      <c r="D429" s="204" t="s">
        <v>190</v>
      </c>
      <c r="E429" s="289">
        <v>34620</v>
      </c>
      <c r="F429" s="289">
        <v>-7862</v>
      </c>
      <c r="G429" s="566">
        <f t="shared" si="9"/>
        <v>26758</v>
      </c>
    </row>
    <row r="430" spans="1:7" ht="12.75">
      <c r="A430" s="392"/>
      <c r="B430" s="417"/>
      <c r="C430" s="417">
        <v>4260</v>
      </c>
      <c r="D430" s="204" t="s">
        <v>191</v>
      </c>
      <c r="E430" s="289">
        <v>11520</v>
      </c>
      <c r="F430" s="289">
        <v>-1238</v>
      </c>
      <c r="G430" s="566">
        <f t="shared" si="9"/>
        <v>10282</v>
      </c>
    </row>
    <row r="431" spans="1:7" ht="12.75">
      <c r="A431" s="392"/>
      <c r="B431" s="417"/>
      <c r="C431" s="417">
        <v>4270</v>
      </c>
      <c r="D431" s="204" t="s">
        <v>192</v>
      </c>
      <c r="E431" s="289">
        <v>5600</v>
      </c>
      <c r="F431" s="289"/>
      <c r="G431" s="566">
        <f t="shared" si="9"/>
        <v>5600</v>
      </c>
    </row>
    <row r="432" spans="1:7" ht="12.75">
      <c r="A432" s="392"/>
      <c r="B432" s="417"/>
      <c r="C432" s="417">
        <v>4280</v>
      </c>
      <c r="D432" s="204" t="s">
        <v>193</v>
      </c>
      <c r="E432" s="289">
        <v>100</v>
      </c>
      <c r="F432" s="289">
        <v>-40</v>
      </c>
      <c r="G432" s="566">
        <f t="shared" si="9"/>
        <v>60</v>
      </c>
    </row>
    <row r="433" spans="1:7" ht="12.75">
      <c r="A433" s="392"/>
      <c r="B433" s="417"/>
      <c r="C433" s="417">
        <v>4300</v>
      </c>
      <c r="D433" s="204" t="s">
        <v>182</v>
      </c>
      <c r="E433" s="289">
        <v>142376</v>
      </c>
      <c r="F433" s="289">
        <v>12000</v>
      </c>
      <c r="G433" s="566">
        <f t="shared" si="9"/>
        <v>154376</v>
      </c>
    </row>
    <row r="434" spans="1:7" ht="12.75">
      <c r="A434" s="392"/>
      <c r="B434" s="417"/>
      <c r="C434" s="417">
        <v>4410</v>
      </c>
      <c r="D434" s="204" t="s">
        <v>194</v>
      </c>
      <c r="E434" s="289">
        <v>4000</v>
      </c>
      <c r="F434" s="289">
        <v>-855</v>
      </c>
      <c r="G434" s="566">
        <f t="shared" si="9"/>
        <v>3145</v>
      </c>
    </row>
    <row r="435" spans="1:7" ht="12.75">
      <c r="A435" s="392"/>
      <c r="B435" s="417"/>
      <c r="C435" s="417">
        <v>4430</v>
      </c>
      <c r="D435" s="204" t="s">
        <v>195</v>
      </c>
      <c r="E435" s="289">
        <v>972</v>
      </c>
      <c r="F435" s="289"/>
      <c r="G435" s="566">
        <f t="shared" si="9"/>
        <v>972</v>
      </c>
    </row>
    <row r="436" spans="1:7" ht="12.75">
      <c r="A436" s="392"/>
      <c r="B436" s="417"/>
      <c r="C436" s="417">
        <v>4440</v>
      </c>
      <c r="D436" s="204" t="s">
        <v>196</v>
      </c>
      <c r="E436" s="289">
        <v>1987</v>
      </c>
      <c r="F436" s="289">
        <v>382</v>
      </c>
      <c r="G436" s="566">
        <f t="shared" si="9"/>
        <v>2369</v>
      </c>
    </row>
    <row r="437" spans="1:7" ht="12.75">
      <c r="A437" s="392"/>
      <c r="B437" s="417"/>
      <c r="C437" s="417"/>
      <c r="D437" s="204"/>
      <c r="E437" s="289"/>
      <c r="F437" s="289"/>
      <c r="G437" s="566"/>
    </row>
    <row r="438" spans="1:7" ht="12.75">
      <c r="A438" s="410"/>
      <c r="B438" s="449">
        <v>85333</v>
      </c>
      <c r="C438" s="449"/>
      <c r="D438" s="651" t="s">
        <v>20</v>
      </c>
      <c r="E438" s="564">
        <f>SUM(E439:E457)</f>
        <v>2557046</v>
      </c>
      <c r="F438" s="564">
        <f>SUM(F439:F457)</f>
        <v>88175</v>
      </c>
      <c r="G438" s="567">
        <f t="shared" si="9"/>
        <v>2645221</v>
      </c>
    </row>
    <row r="439" spans="1:9" ht="12.75">
      <c r="A439" s="410"/>
      <c r="B439" s="417"/>
      <c r="C439" s="417">
        <v>4010</v>
      </c>
      <c r="D439" s="204" t="s">
        <v>186</v>
      </c>
      <c r="E439" s="289">
        <v>1725536</v>
      </c>
      <c r="F439" s="289">
        <f>15964+14954</f>
        <v>30918</v>
      </c>
      <c r="G439" s="566">
        <f t="shared" si="9"/>
        <v>1756454</v>
      </c>
      <c r="I439" s="431"/>
    </row>
    <row r="440" spans="1:7" ht="12.75">
      <c r="A440" s="410"/>
      <c r="B440" s="417"/>
      <c r="C440" s="417">
        <v>4040</v>
      </c>
      <c r="D440" s="204" t="s">
        <v>187</v>
      </c>
      <c r="E440" s="289">
        <v>120339</v>
      </c>
      <c r="F440" s="289"/>
      <c r="G440" s="566">
        <f t="shared" si="9"/>
        <v>120339</v>
      </c>
    </row>
    <row r="441" spans="1:7" ht="12.75">
      <c r="A441" s="410"/>
      <c r="B441" s="417"/>
      <c r="C441" s="417">
        <v>4110</v>
      </c>
      <c r="D441" s="204" t="s">
        <v>188</v>
      </c>
      <c r="E441" s="289">
        <v>297872</v>
      </c>
      <c r="F441" s="289">
        <v>-9572</v>
      </c>
      <c r="G441" s="566">
        <f t="shared" si="9"/>
        <v>288300</v>
      </c>
    </row>
    <row r="442" spans="1:7" ht="12.75">
      <c r="A442" s="410"/>
      <c r="B442" s="417"/>
      <c r="C442" s="417">
        <v>4120</v>
      </c>
      <c r="D442" s="204" t="s">
        <v>189</v>
      </c>
      <c r="E442" s="289">
        <v>42355</v>
      </c>
      <c r="F442" s="289">
        <v>2145</v>
      </c>
      <c r="G442" s="566">
        <f aca="true" t="shared" si="10" ref="G442:G541">E442+F442</f>
        <v>44500</v>
      </c>
    </row>
    <row r="443" spans="1:7" ht="12.75">
      <c r="A443" s="410"/>
      <c r="B443" s="417"/>
      <c r="C443" s="417">
        <v>4140</v>
      </c>
      <c r="D443" s="204" t="s">
        <v>726</v>
      </c>
      <c r="E443" s="289">
        <v>20200</v>
      </c>
      <c r="F443" s="289">
        <v>-2200</v>
      </c>
      <c r="G443" s="566">
        <f t="shared" si="10"/>
        <v>18000</v>
      </c>
    </row>
    <row r="444" spans="1:7" ht="12.75">
      <c r="A444" s="410"/>
      <c r="B444" s="417"/>
      <c r="C444" s="417">
        <v>4170</v>
      </c>
      <c r="D444" s="204" t="s">
        <v>470</v>
      </c>
      <c r="E444" s="289">
        <v>30235</v>
      </c>
      <c r="F444" s="289">
        <v>7565</v>
      </c>
      <c r="G444" s="566">
        <f t="shared" si="10"/>
        <v>37800</v>
      </c>
    </row>
    <row r="445" spans="1:7" ht="12.75">
      <c r="A445" s="410"/>
      <c r="B445" s="417"/>
      <c r="C445" s="417">
        <v>4210</v>
      </c>
      <c r="D445" s="204" t="s">
        <v>190</v>
      </c>
      <c r="E445" s="289">
        <v>52114</v>
      </c>
      <c r="F445" s="289">
        <v>5886</v>
      </c>
      <c r="G445" s="566">
        <f t="shared" si="10"/>
        <v>58000</v>
      </c>
    </row>
    <row r="446" spans="1:7" ht="12.75">
      <c r="A446" s="410"/>
      <c r="B446" s="417"/>
      <c r="C446" s="417">
        <v>4260</v>
      </c>
      <c r="D446" s="204" t="s">
        <v>191</v>
      </c>
      <c r="E446" s="289">
        <v>95000</v>
      </c>
      <c r="F446" s="289">
        <v>19000</v>
      </c>
      <c r="G446" s="566">
        <f t="shared" si="10"/>
        <v>114000</v>
      </c>
    </row>
    <row r="447" spans="1:7" ht="12.75">
      <c r="A447" s="410"/>
      <c r="B447" s="417"/>
      <c r="C447" s="417">
        <v>4270</v>
      </c>
      <c r="D447" s="204" t="s">
        <v>192</v>
      </c>
      <c r="E447" s="289">
        <v>5000</v>
      </c>
      <c r="F447" s="289">
        <v>-2500</v>
      </c>
      <c r="G447" s="566">
        <f t="shared" si="10"/>
        <v>2500</v>
      </c>
    </row>
    <row r="448" spans="1:7" ht="12.75">
      <c r="A448" s="410"/>
      <c r="B448" s="417"/>
      <c r="C448" s="417">
        <v>4280</v>
      </c>
      <c r="D448" s="204" t="s">
        <v>193</v>
      </c>
      <c r="E448" s="289">
        <v>3010</v>
      </c>
      <c r="F448" s="289">
        <v>1990</v>
      </c>
      <c r="G448" s="566">
        <f t="shared" si="10"/>
        <v>5000</v>
      </c>
    </row>
    <row r="449" spans="1:7" ht="12.75">
      <c r="A449" s="410"/>
      <c r="B449" s="417"/>
      <c r="C449" s="417">
        <v>4300</v>
      </c>
      <c r="D449" s="204" t="s">
        <v>182</v>
      </c>
      <c r="E449" s="289">
        <v>82217</v>
      </c>
      <c r="F449" s="289">
        <v>32783</v>
      </c>
      <c r="G449" s="566">
        <f t="shared" si="10"/>
        <v>115000</v>
      </c>
    </row>
    <row r="450" spans="1:7" ht="12.75">
      <c r="A450" s="410"/>
      <c r="B450" s="417"/>
      <c r="C450" s="417">
        <v>4350</v>
      </c>
      <c r="D450" s="204" t="s">
        <v>467</v>
      </c>
      <c r="E450" s="289">
        <v>100</v>
      </c>
      <c r="F450" s="289"/>
      <c r="G450" s="566">
        <f t="shared" si="10"/>
        <v>100</v>
      </c>
    </row>
    <row r="451" spans="1:7" ht="12.75">
      <c r="A451" s="410"/>
      <c r="B451" s="417"/>
      <c r="C451" s="417">
        <v>4410</v>
      </c>
      <c r="D451" s="204" t="s">
        <v>194</v>
      </c>
      <c r="E451" s="289">
        <v>1500</v>
      </c>
      <c r="F451" s="289">
        <v>-300</v>
      </c>
      <c r="G451" s="566">
        <f t="shared" si="10"/>
        <v>1200</v>
      </c>
    </row>
    <row r="452" spans="1:7" ht="12.75">
      <c r="A452" s="410"/>
      <c r="B452" s="417"/>
      <c r="C452" s="417">
        <v>4430</v>
      </c>
      <c r="D452" s="204" t="s">
        <v>195</v>
      </c>
      <c r="E452" s="289">
        <v>5740</v>
      </c>
      <c r="F452" s="289">
        <v>1260</v>
      </c>
      <c r="G452" s="566">
        <f>F452+E452</f>
        <v>7000</v>
      </c>
    </row>
    <row r="453" spans="1:7" ht="12.75">
      <c r="A453" s="410"/>
      <c r="B453" s="417"/>
      <c r="C453" s="417">
        <v>4440</v>
      </c>
      <c r="D453" s="204" t="s">
        <v>196</v>
      </c>
      <c r="E453" s="289">
        <v>60223</v>
      </c>
      <c r="F453" s="289"/>
      <c r="G453" s="566">
        <f t="shared" si="10"/>
        <v>60223</v>
      </c>
    </row>
    <row r="454" spans="1:7" ht="12.75" customHeight="1">
      <c r="A454" s="410"/>
      <c r="B454" s="417"/>
      <c r="C454" s="417">
        <v>4480</v>
      </c>
      <c r="D454" s="204" t="s">
        <v>197</v>
      </c>
      <c r="E454" s="289">
        <v>5500</v>
      </c>
      <c r="F454" s="289">
        <v>1000</v>
      </c>
      <c r="G454" s="566">
        <f t="shared" si="10"/>
        <v>6500</v>
      </c>
    </row>
    <row r="455" spans="1:7" ht="12.75" customHeight="1">
      <c r="A455" s="410"/>
      <c r="B455" s="417"/>
      <c r="C455" s="417">
        <v>4510</v>
      </c>
      <c r="D455" s="204" t="s">
        <v>198</v>
      </c>
      <c r="E455" s="289">
        <v>75</v>
      </c>
      <c r="F455" s="289"/>
      <c r="G455" s="566">
        <f t="shared" si="10"/>
        <v>75</v>
      </c>
    </row>
    <row r="456" spans="1:7" ht="12.75" customHeight="1">
      <c r="A456" s="410"/>
      <c r="B456" s="417"/>
      <c r="C456" s="417">
        <v>4580</v>
      </c>
      <c r="D456" s="204" t="s">
        <v>70</v>
      </c>
      <c r="E456" s="289">
        <v>6000</v>
      </c>
      <c r="F456" s="289">
        <v>200</v>
      </c>
      <c r="G456" s="566">
        <f t="shared" si="10"/>
        <v>6200</v>
      </c>
    </row>
    <row r="457" spans="1:7" ht="12.75" customHeight="1">
      <c r="A457" s="410"/>
      <c r="B457" s="417"/>
      <c r="C457" s="417">
        <v>4600</v>
      </c>
      <c r="D457" s="204" t="s">
        <v>727</v>
      </c>
      <c r="E457" s="289">
        <v>4030</v>
      </c>
      <c r="F457" s="289"/>
      <c r="G457" s="566">
        <f t="shared" si="10"/>
        <v>4030</v>
      </c>
    </row>
    <row r="458" spans="1:7" ht="12.75" customHeight="1">
      <c r="A458" s="410"/>
      <c r="B458" s="417"/>
      <c r="C458" s="417"/>
      <c r="D458" s="204" t="s">
        <v>728</v>
      </c>
      <c r="E458" s="289"/>
      <c r="F458" s="289"/>
      <c r="G458" s="566"/>
    </row>
    <row r="459" spans="1:7" ht="12.75" customHeight="1">
      <c r="A459" s="410"/>
      <c r="B459" s="417"/>
      <c r="C459" s="417"/>
      <c r="D459" s="204"/>
      <c r="E459" s="289"/>
      <c r="F459" s="289"/>
      <c r="G459" s="566"/>
    </row>
    <row r="460" spans="1:7" ht="12.75" customHeight="1">
      <c r="A460" s="410"/>
      <c r="B460" s="449">
        <v>85334</v>
      </c>
      <c r="C460" s="449"/>
      <c r="D460" s="651" t="s">
        <v>737</v>
      </c>
      <c r="E460" s="564">
        <f>E461</f>
        <v>5745</v>
      </c>
      <c r="F460" s="564">
        <f>F461</f>
        <v>0</v>
      </c>
      <c r="G460" s="567">
        <f>G461</f>
        <v>5745</v>
      </c>
    </row>
    <row r="461" spans="1:7" ht="12.75" customHeight="1">
      <c r="A461" s="410"/>
      <c r="B461" s="417"/>
      <c r="C461" s="417">
        <v>3110</v>
      </c>
      <c r="D461" s="204" t="s">
        <v>222</v>
      </c>
      <c r="E461" s="289">
        <v>5745</v>
      </c>
      <c r="F461" s="289"/>
      <c r="G461" s="566">
        <f>E461+F461</f>
        <v>5745</v>
      </c>
    </row>
    <row r="462" spans="1:7" ht="12.75" customHeight="1">
      <c r="A462" s="410"/>
      <c r="B462" s="417"/>
      <c r="C462" s="417"/>
      <c r="D462" s="204"/>
      <c r="E462" s="289"/>
      <c r="F462" s="289"/>
      <c r="G462" s="566"/>
    </row>
    <row r="463" spans="1:7" ht="12.75">
      <c r="A463" s="410"/>
      <c r="B463" s="417"/>
      <c r="C463" s="417"/>
      <c r="D463" s="204"/>
      <c r="E463" s="289"/>
      <c r="F463" s="289"/>
      <c r="G463" s="566"/>
    </row>
    <row r="464" spans="1:7" ht="12.75">
      <c r="A464" s="410"/>
      <c r="B464" s="449">
        <v>85395</v>
      </c>
      <c r="C464" s="449"/>
      <c r="D464" s="651" t="s">
        <v>25</v>
      </c>
      <c r="E464" s="564">
        <f>SUM(E465:E478)</f>
        <v>1270557</v>
      </c>
      <c r="F464" s="564">
        <f>SUM(F465:F478)</f>
        <v>-340</v>
      </c>
      <c r="G464" s="567">
        <f>E464+F464</f>
        <v>1270217</v>
      </c>
    </row>
    <row r="465" spans="1:7" ht="12.75">
      <c r="A465" s="410"/>
      <c r="B465" s="417"/>
      <c r="C465" s="417">
        <v>2820</v>
      </c>
      <c r="D465" s="204" t="s">
        <v>438</v>
      </c>
      <c r="E465" s="289">
        <v>5300</v>
      </c>
      <c r="F465" s="289"/>
      <c r="G465" s="566">
        <f>E465+F465</f>
        <v>5300</v>
      </c>
    </row>
    <row r="466" spans="1:7" ht="12.75">
      <c r="A466" s="410"/>
      <c r="B466" s="417"/>
      <c r="C466" s="417"/>
      <c r="D466" s="204" t="s">
        <v>783</v>
      </c>
      <c r="E466" s="289"/>
      <c r="F466" s="289"/>
      <c r="G466" s="566"/>
    </row>
    <row r="467" spans="1:7" ht="12.75">
      <c r="A467" s="410"/>
      <c r="B467" s="417"/>
      <c r="C467" s="417">
        <v>3118</v>
      </c>
      <c r="D467" s="204" t="s">
        <v>222</v>
      </c>
      <c r="E467" s="289">
        <v>426475</v>
      </c>
      <c r="F467" s="289">
        <v>-85943</v>
      </c>
      <c r="G467" s="566">
        <f aca="true" t="shared" si="11" ref="G467:G472">SUM(E467:F467)</f>
        <v>340532</v>
      </c>
    </row>
    <row r="468" spans="1:7" ht="12.75">
      <c r="A468" s="410"/>
      <c r="B468" s="417"/>
      <c r="C468" s="417">
        <v>4018</v>
      </c>
      <c r="D468" s="204" t="s">
        <v>186</v>
      </c>
      <c r="E468" s="289">
        <v>208186</v>
      </c>
      <c r="F468" s="289">
        <v>-34890</v>
      </c>
      <c r="G468" s="566">
        <f t="shared" si="11"/>
        <v>173296</v>
      </c>
    </row>
    <row r="469" spans="1:7" ht="12.75">
      <c r="A469" s="410"/>
      <c r="B469" s="417"/>
      <c r="C469" s="417">
        <v>4110</v>
      </c>
      <c r="D469" s="204" t="s">
        <v>188</v>
      </c>
      <c r="E469" s="289">
        <v>755</v>
      </c>
      <c r="F469" s="289">
        <v>-755</v>
      </c>
      <c r="G469" s="566">
        <f t="shared" si="11"/>
        <v>0</v>
      </c>
    </row>
    <row r="470" spans="1:7" ht="12.75">
      <c r="A470" s="410"/>
      <c r="B470" s="417"/>
      <c r="C470" s="417">
        <v>4118</v>
      </c>
      <c r="D470" s="204" t="s">
        <v>188</v>
      </c>
      <c r="E470" s="289">
        <v>35871</v>
      </c>
      <c r="F470" s="289">
        <v>98022</v>
      </c>
      <c r="G470" s="566">
        <f t="shared" si="11"/>
        <v>133893</v>
      </c>
    </row>
    <row r="471" spans="1:7" ht="12.75">
      <c r="A471" s="410"/>
      <c r="B471" s="417"/>
      <c r="C471" s="417">
        <v>4120</v>
      </c>
      <c r="D471" s="204" t="s">
        <v>189</v>
      </c>
      <c r="E471" s="289">
        <v>1102</v>
      </c>
      <c r="F471" s="289">
        <v>-1102</v>
      </c>
      <c r="G471" s="566">
        <f t="shared" si="11"/>
        <v>0</v>
      </c>
    </row>
    <row r="472" spans="1:7" ht="12.75">
      <c r="A472" s="410"/>
      <c r="B472" s="417"/>
      <c r="C472" s="417">
        <v>4210</v>
      </c>
      <c r="D472" s="204" t="s">
        <v>190</v>
      </c>
      <c r="E472" s="289">
        <v>13663</v>
      </c>
      <c r="F472" s="289">
        <v>-13313</v>
      </c>
      <c r="G472" s="566">
        <f t="shared" si="11"/>
        <v>350</v>
      </c>
    </row>
    <row r="473" spans="1:7" ht="12.75">
      <c r="A473" s="410"/>
      <c r="B473" s="417"/>
      <c r="C473" s="417">
        <v>4218</v>
      </c>
      <c r="D473" s="204" t="s">
        <v>190</v>
      </c>
      <c r="E473" s="289">
        <v>40000</v>
      </c>
      <c r="F473" s="289">
        <v>171290</v>
      </c>
      <c r="G473" s="566">
        <f aca="true" t="shared" si="12" ref="G473:G478">SUM(E473:F473)</f>
        <v>211290</v>
      </c>
    </row>
    <row r="474" spans="1:7" ht="12.75">
      <c r="A474" s="410"/>
      <c r="B474" s="417"/>
      <c r="C474" s="417">
        <v>4270</v>
      </c>
      <c r="D474" s="204" t="s">
        <v>192</v>
      </c>
      <c r="E474" s="289">
        <v>0</v>
      </c>
      <c r="F474" s="289"/>
      <c r="G474" s="566">
        <f t="shared" si="12"/>
        <v>0</v>
      </c>
    </row>
    <row r="475" spans="1:7" ht="12.75">
      <c r="A475" s="410"/>
      <c r="B475" s="417"/>
      <c r="C475" s="417">
        <v>4288</v>
      </c>
      <c r="D475" s="204" t="s">
        <v>762</v>
      </c>
      <c r="E475" s="289">
        <v>9270</v>
      </c>
      <c r="F475" s="289">
        <v>99</v>
      </c>
      <c r="G475" s="566">
        <f t="shared" si="12"/>
        <v>9369</v>
      </c>
    </row>
    <row r="476" spans="1:7" ht="12.75">
      <c r="A476" s="410"/>
      <c r="B476" s="417"/>
      <c r="C476" s="417">
        <v>4300</v>
      </c>
      <c r="D476" s="204" t="s">
        <v>182</v>
      </c>
      <c r="E476" s="289">
        <v>4885</v>
      </c>
      <c r="F476" s="289">
        <v>-2914</v>
      </c>
      <c r="G476" s="566">
        <f t="shared" si="12"/>
        <v>1971</v>
      </c>
    </row>
    <row r="477" spans="1:7" ht="12.75">
      <c r="A477" s="410"/>
      <c r="B477" s="417"/>
      <c r="C477" s="417">
        <v>4308</v>
      </c>
      <c r="D477" s="204" t="s">
        <v>182</v>
      </c>
      <c r="E477" s="289">
        <v>253615</v>
      </c>
      <c r="F477" s="289">
        <v>-96655</v>
      </c>
      <c r="G477" s="566">
        <f t="shared" si="12"/>
        <v>156960</v>
      </c>
    </row>
    <row r="478" spans="1:7" ht="12.75">
      <c r="A478" s="410"/>
      <c r="B478" s="417"/>
      <c r="C478" s="417">
        <v>4309</v>
      </c>
      <c r="D478" s="204" t="s">
        <v>182</v>
      </c>
      <c r="E478" s="289">
        <v>271435</v>
      </c>
      <c r="F478" s="289">
        <v>-34179</v>
      </c>
      <c r="G478" s="566">
        <f t="shared" si="12"/>
        <v>237256</v>
      </c>
    </row>
    <row r="479" spans="1:7" ht="12.75">
      <c r="A479" s="452"/>
      <c r="B479" s="417"/>
      <c r="C479" s="417"/>
      <c r="D479" s="204"/>
      <c r="E479" s="289"/>
      <c r="F479" s="289"/>
      <c r="G479" s="566"/>
    </row>
    <row r="480" spans="1:7" ht="13.5" thickBot="1">
      <c r="A480" s="408">
        <v>854</v>
      </c>
      <c r="B480" s="415"/>
      <c r="C480" s="415"/>
      <c r="D480" s="416" t="s">
        <v>29</v>
      </c>
      <c r="E480" s="627">
        <f>E481+E489+E509+E525+E568+E545+E564</f>
        <v>3611852</v>
      </c>
      <c r="F480" s="627">
        <f>F481+F489+F509+F525+F568+F545+F564</f>
        <v>62744</v>
      </c>
      <c r="G480" s="739">
        <f t="shared" si="10"/>
        <v>3674596</v>
      </c>
    </row>
    <row r="481" spans="1:7" ht="12.75">
      <c r="A481" s="410"/>
      <c r="B481" s="449">
        <v>85401</v>
      </c>
      <c r="C481" s="449"/>
      <c r="D481" s="651" t="s">
        <v>226</v>
      </c>
      <c r="E481" s="564">
        <f>SUM(E482:E487)</f>
        <v>44345</v>
      </c>
      <c r="F481" s="564">
        <f>SUM(F482:F487)</f>
        <v>-1329</v>
      </c>
      <c r="G481" s="567">
        <f t="shared" si="10"/>
        <v>43016</v>
      </c>
    </row>
    <row r="482" spans="1:9" ht="12.75">
      <c r="A482" s="410"/>
      <c r="B482" s="417"/>
      <c r="C482" s="417">
        <v>4010</v>
      </c>
      <c r="D482" s="204" t="s">
        <v>186</v>
      </c>
      <c r="E482" s="289">
        <v>31219</v>
      </c>
      <c r="F482" s="289">
        <v>-885</v>
      </c>
      <c r="G482" s="566">
        <f t="shared" si="10"/>
        <v>30334</v>
      </c>
      <c r="I482" s="431"/>
    </row>
    <row r="483" spans="1:7" ht="12.75">
      <c r="A483" s="410"/>
      <c r="B483" s="417"/>
      <c r="C483" s="417">
        <v>4040</v>
      </c>
      <c r="D483" s="204" t="s">
        <v>187</v>
      </c>
      <c r="E483" s="289">
        <v>2410</v>
      </c>
      <c r="F483" s="289"/>
      <c r="G483" s="566">
        <f t="shared" si="10"/>
        <v>2410</v>
      </c>
    </row>
    <row r="484" spans="1:7" ht="12.75">
      <c r="A484" s="410"/>
      <c r="B484" s="417"/>
      <c r="C484" s="417">
        <v>4110</v>
      </c>
      <c r="D484" s="204" t="s">
        <v>188</v>
      </c>
      <c r="E484" s="289">
        <v>6015</v>
      </c>
      <c r="F484" s="289">
        <v>-395</v>
      </c>
      <c r="G484" s="566">
        <f t="shared" si="10"/>
        <v>5620</v>
      </c>
    </row>
    <row r="485" spans="1:7" ht="12.75">
      <c r="A485" s="410"/>
      <c r="B485" s="417"/>
      <c r="C485" s="417">
        <v>4120</v>
      </c>
      <c r="D485" s="204" t="s">
        <v>189</v>
      </c>
      <c r="E485" s="289">
        <v>855</v>
      </c>
      <c r="F485" s="289">
        <v>-49</v>
      </c>
      <c r="G485" s="566">
        <f t="shared" si="10"/>
        <v>806</v>
      </c>
    </row>
    <row r="486" spans="1:7" ht="12.75">
      <c r="A486" s="410"/>
      <c r="B486" s="417"/>
      <c r="C486" s="417">
        <v>4210</v>
      </c>
      <c r="D486" s="204" t="s">
        <v>190</v>
      </c>
      <c r="E486" s="289">
        <v>0</v>
      </c>
      <c r="F486" s="289"/>
      <c r="G486" s="566">
        <f t="shared" si="10"/>
        <v>0</v>
      </c>
    </row>
    <row r="487" spans="1:7" ht="12.75">
      <c r="A487" s="410"/>
      <c r="B487" s="417"/>
      <c r="C487" s="417">
        <v>4440</v>
      </c>
      <c r="D487" s="204" t="s">
        <v>196</v>
      </c>
      <c r="E487" s="289">
        <v>3846</v>
      </c>
      <c r="F487" s="289"/>
      <c r="G487" s="566">
        <f t="shared" si="10"/>
        <v>3846</v>
      </c>
    </row>
    <row r="488" spans="1:7" ht="14.25" customHeight="1">
      <c r="A488" s="410"/>
      <c r="B488" s="417"/>
      <c r="C488" s="417"/>
      <c r="D488" s="204"/>
      <c r="E488" s="289"/>
      <c r="F488" s="289"/>
      <c r="G488" s="566"/>
    </row>
    <row r="489" spans="1:7" ht="12.75">
      <c r="A489" s="410"/>
      <c r="B489" s="449">
        <v>85406</v>
      </c>
      <c r="C489" s="449"/>
      <c r="D489" s="651" t="s">
        <v>701</v>
      </c>
      <c r="E489" s="564">
        <f>SUM(E490:E507)</f>
        <v>588307</v>
      </c>
      <c r="F489" s="564">
        <f>SUM(F490:F507)</f>
        <v>22385</v>
      </c>
      <c r="G489" s="567">
        <f t="shared" si="10"/>
        <v>610692</v>
      </c>
    </row>
    <row r="490" spans="1:8" ht="12.75">
      <c r="A490" s="410"/>
      <c r="B490" s="417"/>
      <c r="C490" s="417">
        <v>2310</v>
      </c>
      <c r="D490" s="204" t="s">
        <v>184</v>
      </c>
      <c r="E490" s="289">
        <v>120000</v>
      </c>
      <c r="F490" s="289">
        <v>300</v>
      </c>
      <c r="G490" s="566">
        <f t="shared" si="10"/>
        <v>120300</v>
      </c>
      <c r="H490" s="431"/>
    </row>
    <row r="491" spans="1:7" ht="12.75">
      <c r="A491" s="410"/>
      <c r="B491" s="417"/>
      <c r="C491" s="417">
        <v>3020</v>
      </c>
      <c r="D491" s="204" t="s">
        <v>185</v>
      </c>
      <c r="E491" s="289">
        <v>330</v>
      </c>
      <c r="F491" s="289"/>
      <c r="G491" s="566">
        <f t="shared" si="10"/>
        <v>330</v>
      </c>
    </row>
    <row r="492" spans="1:9" ht="12.75">
      <c r="A492" s="410"/>
      <c r="B492" s="417"/>
      <c r="C492" s="417">
        <v>4010</v>
      </c>
      <c r="D492" s="204" t="s">
        <v>186</v>
      </c>
      <c r="E492" s="289">
        <v>303739</v>
      </c>
      <c r="F492" s="289">
        <v>13653</v>
      </c>
      <c r="G492" s="566">
        <f t="shared" si="10"/>
        <v>317392</v>
      </c>
      <c r="I492" s="431"/>
    </row>
    <row r="493" spans="1:7" ht="12.75">
      <c r="A493" s="410"/>
      <c r="B493" s="417"/>
      <c r="C493" s="417">
        <v>4040</v>
      </c>
      <c r="D493" s="204" t="s">
        <v>187</v>
      </c>
      <c r="E493" s="289">
        <v>24151</v>
      </c>
      <c r="F493" s="289"/>
      <c r="G493" s="566">
        <f t="shared" si="10"/>
        <v>24151</v>
      </c>
    </row>
    <row r="494" spans="1:7" ht="12.75">
      <c r="A494" s="410"/>
      <c r="B494" s="417"/>
      <c r="C494" s="417">
        <v>4110</v>
      </c>
      <c r="D494" s="204" t="s">
        <v>188</v>
      </c>
      <c r="E494" s="289">
        <v>58135</v>
      </c>
      <c r="F494" s="289">
        <v>741</v>
      </c>
      <c r="G494" s="566">
        <f t="shared" si="10"/>
        <v>58876</v>
      </c>
    </row>
    <row r="495" spans="1:7" ht="12.75">
      <c r="A495" s="410"/>
      <c r="B495" s="417"/>
      <c r="C495" s="417">
        <v>4120</v>
      </c>
      <c r="D495" s="204" t="s">
        <v>189</v>
      </c>
      <c r="E495" s="289">
        <v>8035</v>
      </c>
      <c r="F495" s="289">
        <v>187</v>
      </c>
      <c r="G495" s="566">
        <f t="shared" si="10"/>
        <v>8222</v>
      </c>
    </row>
    <row r="496" spans="1:7" ht="12.75">
      <c r="A496" s="410"/>
      <c r="B496" s="417"/>
      <c r="C496" s="417">
        <v>4170</v>
      </c>
      <c r="D496" s="204" t="s">
        <v>466</v>
      </c>
      <c r="E496" s="289">
        <v>0</v>
      </c>
      <c r="F496" s="289"/>
      <c r="G496" s="566">
        <f t="shared" si="10"/>
        <v>0</v>
      </c>
    </row>
    <row r="497" spans="1:7" ht="12.75">
      <c r="A497" s="410"/>
      <c r="B497" s="417"/>
      <c r="C497" s="417">
        <v>4210</v>
      </c>
      <c r="D497" s="204" t="s">
        <v>190</v>
      </c>
      <c r="E497" s="289">
        <v>11770</v>
      </c>
      <c r="F497" s="289">
        <f>2457+3959</f>
        <v>6416</v>
      </c>
      <c r="G497" s="566">
        <f t="shared" si="10"/>
        <v>18186</v>
      </c>
    </row>
    <row r="498" spans="1:7" ht="12.75">
      <c r="A498" s="410"/>
      <c r="B498" s="417"/>
      <c r="C498" s="417">
        <v>4240</v>
      </c>
      <c r="D498" s="204" t="s">
        <v>218</v>
      </c>
      <c r="E498" s="289">
        <v>15766</v>
      </c>
      <c r="F498" s="289">
        <f>-2457+5000-4102</f>
        <v>-1559</v>
      </c>
      <c r="G498" s="566">
        <f t="shared" si="10"/>
        <v>14207</v>
      </c>
    </row>
    <row r="499" spans="1:7" ht="12.75">
      <c r="A499" s="410"/>
      <c r="B499" s="417"/>
      <c r="C499" s="417">
        <v>4260</v>
      </c>
      <c r="D499" s="204" t="s">
        <v>191</v>
      </c>
      <c r="E499" s="289">
        <v>9070</v>
      </c>
      <c r="F499" s="289"/>
      <c r="G499" s="566">
        <f t="shared" si="10"/>
        <v>9070</v>
      </c>
    </row>
    <row r="500" spans="1:7" ht="12.75">
      <c r="A500" s="410"/>
      <c r="B500" s="417"/>
      <c r="C500" s="417">
        <v>4270</v>
      </c>
      <c r="D500" s="204" t="s">
        <v>192</v>
      </c>
      <c r="E500" s="289">
        <v>2833</v>
      </c>
      <c r="F500" s="289">
        <f>2500+126</f>
        <v>2626</v>
      </c>
      <c r="G500" s="566">
        <f t="shared" si="10"/>
        <v>5459</v>
      </c>
    </row>
    <row r="501" spans="1:7" ht="12.75">
      <c r="A501" s="410"/>
      <c r="B501" s="204"/>
      <c r="C501" s="417">
        <v>4280</v>
      </c>
      <c r="D501" s="204" t="s">
        <v>193</v>
      </c>
      <c r="E501" s="289">
        <v>40</v>
      </c>
      <c r="F501" s="289"/>
      <c r="G501" s="566">
        <f t="shared" si="10"/>
        <v>40</v>
      </c>
    </row>
    <row r="502" spans="1:7" ht="12.75">
      <c r="A502" s="410"/>
      <c r="B502" s="204"/>
      <c r="C502" s="417">
        <v>4300</v>
      </c>
      <c r="D502" s="204" t="s">
        <v>182</v>
      </c>
      <c r="E502" s="289">
        <v>9251</v>
      </c>
      <c r="F502" s="289"/>
      <c r="G502" s="566">
        <f t="shared" si="10"/>
        <v>9251</v>
      </c>
    </row>
    <row r="503" spans="1:7" ht="12.75">
      <c r="A503" s="410"/>
      <c r="B503" s="204"/>
      <c r="C503" s="417">
        <v>4350</v>
      </c>
      <c r="D503" s="204" t="s">
        <v>467</v>
      </c>
      <c r="E503" s="289">
        <v>43</v>
      </c>
      <c r="F503" s="289"/>
      <c r="G503" s="566">
        <f>F503+E503</f>
        <v>43</v>
      </c>
    </row>
    <row r="504" spans="1:7" ht="12.75">
      <c r="A504" s="410"/>
      <c r="B504" s="204"/>
      <c r="C504" s="417">
        <v>4410</v>
      </c>
      <c r="D504" s="204" t="s">
        <v>194</v>
      </c>
      <c r="E504" s="289">
        <v>2455</v>
      </c>
      <c r="F504" s="289">
        <f>4+17</f>
        <v>21</v>
      </c>
      <c r="G504" s="566">
        <f t="shared" si="10"/>
        <v>2476</v>
      </c>
    </row>
    <row r="505" spans="1:7" ht="12.75">
      <c r="A505" s="410"/>
      <c r="B505" s="204"/>
      <c r="C505" s="417">
        <v>4430</v>
      </c>
      <c r="D505" s="204" t="s">
        <v>195</v>
      </c>
      <c r="E505" s="289">
        <v>1876</v>
      </c>
      <c r="F505" s="289"/>
      <c r="G505" s="566">
        <f t="shared" si="10"/>
        <v>1876</v>
      </c>
    </row>
    <row r="506" spans="1:7" ht="12.75">
      <c r="A506" s="410"/>
      <c r="B506" s="204"/>
      <c r="C506" s="417">
        <v>4440</v>
      </c>
      <c r="D506" s="204" t="s">
        <v>196</v>
      </c>
      <c r="E506" s="289">
        <v>20813</v>
      </c>
      <c r="F506" s="289"/>
      <c r="G506" s="566">
        <f t="shared" si="10"/>
        <v>20813</v>
      </c>
    </row>
    <row r="507" spans="1:7" ht="12.75">
      <c r="A507" s="410"/>
      <c r="B507" s="204"/>
      <c r="C507" s="417">
        <v>6050</v>
      </c>
      <c r="D507" s="204" t="s">
        <v>199</v>
      </c>
      <c r="E507" s="289">
        <v>0</v>
      </c>
      <c r="F507" s="289"/>
      <c r="G507" s="566">
        <f t="shared" si="10"/>
        <v>0</v>
      </c>
    </row>
    <row r="508" spans="1:7" ht="12.75">
      <c r="A508" s="410"/>
      <c r="B508" s="204"/>
      <c r="C508" s="417"/>
      <c r="D508" s="204"/>
      <c r="E508" s="289"/>
      <c r="F508" s="289"/>
      <c r="G508" s="566"/>
    </row>
    <row r="509" spans="1:7" ht="12.75">
      <c r="A509" s="452"/>
      <c r="B509" s="449">
        <v>85410</v>
      </c>
      <c r="C509" s="449"/>
      <c r="D509" s="651" t="s">
        <v>73</v>
      </c>
      <c r="E509" s="564">
        <f>SUM(E510:E522)</f>
        <v>248606</v>
      </c>
      <c r="F509" s="564">
        <f>SUM(F510:F523)</f>
        <v>9946</v>
      </c>
      <c r="G509" s="567">
        <f t="shared" si="10"/>
        <v>258552</v>
      </c>
    </row>
    <row r="510" spans="1:7" ht="12.75">
      <c r="A510" s="452"/>
      <c r="B510" s="204"/>
      <c r="C510" s="417">
        <v>3020</v>
      </c>
      <c r="D510" s="204" t="s">
        <v>185</v>
      </c>
      <c r="E510" s="289">
        <v>136</v>
      </c>
      <c r="F510" s="289"/>
      <c r="G510" s="566">
        <f t="shared" si="10"/>
        <v>136</v>
      </c>
    </row>
    <row r="511" spans="1:9" ht="12.75">
      <c r="A511" s="452"/>
      <c r="B511" s="204"/>
      <c r="C511" s="417">
        <v>4010</v>
      </c>
      <c r="D511" s="204" t="s">
        <v>186</v>
      </c>
      <c r="E511" s="289">
        <v>70638</v>
      </c>
      <c r="F511" s="289"/>
      <c r="G511" s="566">
        <f t="shared" si="10"/>
        <v>70638</v>
      </c>
      <c r="I511" s="431"/>
    </row>
    <row r="512" spans="1:7" ht="12.75">
      <c r="A512" s="452"/>
      <c r="B512" s="204"/>
      <c r="C512" s="417">
        <v>4040</v>
      </c>
      <c r="D512" s="204" t="s">
        <v>187</v>
      </c>
      <c r="E512" s="289">
        <v>5128</v>
      </c>
      <c r="F512" s="289"/>
      <c r="G512" s="566">
        <f t="shared" si="10"/>
        <v>5128</v>
      </c>
    </row>
    <row r="513" spans="1:7" ht="12.75">
      <c r="A513" s="452"/>
      <c r="B513" s="204"/>
      <c r="C513" s="417">
        <v>4110</v>
      </c>
      <c r="D513" s="204" t="s">
        <v>188</v>
      </c>
      <c r="E513" s="289">
        <v>15396</v>
      </c>
      <c r="F513" s="289"/>
      <c r="G513" s="566">
        <f t="shared" si="10"/>
        <v>15396</v>
      </c>
    </row>
    <row r="514" spans="1:7" ht="12.75">
      <c r="A514" s="452"/>
      <c r="B514" s="204"/>
      <c r="C514" s="417">
        <v>4120</v>
      </c>
      <c r="D514" s="204" t="s">
        <v>189</v>
      </c>
      <c r="E514" s="289">
        <v>1862</v>
      </c>
      <c r="F514" s="289">
        <v>-54</v>
      </c>
      <c r="G514" s="566">
        <f t="shared" si="10"/>
        <v>1808</v>
      </c>
    </row>
    <row r="515" spans="1:7" ht="12.75">
      <c r="A515" s="452"/>
      <c r="B515" s="204"/>
      <c r="C515" s="417">
        <v>4210</v>
      </c>
      <c r="D515" s="204" t="s">
        <v>190</v>
      </c>
      <c r="E515" s="289">
        <v>67786</v>
      </c>
      <c r="F515" s="289">
        <f>9000+3392</f>
        <v>12392</v>
      </c>
      <c r="G515" s="566">
        <f t="shared" si="10"/>
        <v>80178</v>
      </c>
    </row>
    <row r="516" spans="1:7" ht="12.75">
      <c r="A516" s="452"/>
      <c r="B516" s="204"/>
      <c r="C516" s="417">
        <v>4220</v>
      </c>
      <c r="D516" s="204" t="s">
        <v>223</v>
      </c>
      <c r="E516" s="289">
        <v>57548</v>
      </c>
      <c r="F516" s="289">
        <v>-1000</v>
      </c>
      <c r="G516" s="566">
        <f t="shared" si="10"/>
        <v>56548</v>
      </c>
    </row>
    <row r="517" spans="1:7" ht="12.75">
      <c r="A517" s="452"/>
      <c r="B517" s="204"/>
      <c r="C517" s="417">
        <v>4260</v>
      </c>
      <c r="D517" s="204" t="s">
        <v>191</v>
      </c>
      <c r="E517" s="289">
        <v>11500</v>
      </c>
      <c r="F517" s="289">
        <v>1000</v>
      </c>
      <c r="G517" s="566">
        <f t="shared" si="10"/>
        <v>12500</v>
      </c>
    </row>
    <row r="518" spans="1:7" ht="12.75">
      <c r="A518" s="452"/>
      <c r="B518" s="204"/>
      <c r="C518" s="417">
        <v>4270</v>
      </c>
      <c r="D518" s="204" t="s">
        <v>192</v>
      </c>
      <c r="E518" s="289">
        <v>2000</v>
      </c>
      <c r="F518" s="289">
        <v>-1428</v>
      </c>
      <c r="G518" s="566">
        <f t="shared" si="10"/>
        <v>572</v>
      </c>
    </row>
    <row r="519" spans="1:7" ht="12.75">
      <c r="A519" s="452"/>
      <c r="B519" s="204"/>
      <c r="C519" s="417">
        <v>4280</v>
      </c>
      <c r="D519" s="204" t="s">
        <v>193</v>
      </c>
      <c r="E519" s="289">
        <v>150</v>
      </c>
      <c r="F519" s="289"/>
      <c r="G519" s="566">
        <f t="shared" si="10"/>
        <v>150</v>
      </c>
    </row>
    <row r="520" spans="1:7" ht="12.75">
      <c r="A520" s="452"/>
      <c r="B520" s="204"/>
      <c r="C520" s="417">
        <v>4300</v>
      </c>
      <c r="D520" s="204" t="s">
        <v>182</v>
      </c>
      <c r="E520" s="289">
        <v>2940</v>
      </c>
      <c r="F520" s="289"/>
      <c r="G520" s="566">
        <f t="shared" si="10"/>
        <v>2940</v>
      </c>
    </row>
    <row r="521" spans="1:7" ht="12.75">
      <c r="A521" s="452"/>
      <c r="B521" s="204"/>
      <c r="C521" s="417">
        <v>4440</v>
      </c>
      <c r="D521" s="204" t="s">
        <v>196</v>
      </c>
      <c r="E521" s="289">
        <v>5358</v>
      </c>
      <c r="F521" s="289"/>
      <c r="G521" s="566">
        <f t="shared" si="10"/>
        <v>5358</v>
      </c>
    </row>
    <row r="522" spans="1:7" ht="12.75">
      <c r="A522" s="452"/>
      <c r="B522" s="204"/>
      <c r="C522" s="417">
        <v>4530</v>
      </c>
      <c r="D522" s="204" t="s">
        <v>445</v>
      </c>
      <c r="E522" s="289">
        <v>8164</v>
      </c>
      <c r="F522" s="289">
        <v>-964</v>
      </c>
      <c r="G522" s="566">
        <f t="shared" si="10"/>
        <v>7200</v>
      </c>
    </row>
    <row r="523" spans="1:7" ht="12.75">
      <c r="A523" s="452"/>
      <c r="B523" s="204"/>
      <c r="C523" s="417">
        <v>6050</v>
      </c>
      <c r="D523" s="204" t="s">
        <v>199</v>
      </c>
      <c r="E523" s="289">
        <v>0</v>
      </c>
      <c r="F523" s="289"/>
      <c r="G523" s="566">
        <f t="shared" si="10"/>
        <v>0</v>
      </c>
    </row>
    <row r="524" spans="1:7" ht="12.75">
      <c r="A524" s="452"/>
      <c r="B524" s="204"/>
      <c r="C524" s="417"/>
      <c r="D524" s="204"/>
      <c r="E524" s="289"/>
      <c r="F524" s="289"/>
      <c r="G524" s="566"/>
    </row>
    <row r="525" spans="1:7" ht="12.75">
      <c r="A525" s="452"/>
      <c r="B525" s="651">
        <v>85415</v>
      </c>
      <c r="C525" s="449"/>
      <c r="D525" s="651" t="s">
        <v>42</v>
      </c>
      <c r="E525" s="564">
        <f>SUM(E526:E543)</f>
        <v>825813</v>
      </c>
      <c r="F525" s="564">
        <f>SUM(F526:F543)</f>
        <v>-22111</v>
      </c>
      <c r="G525" s="567">
        <f t="shared" si="10"/>
        <v>803702</v>
      </c>
    </row>
    <row r="526" spans="1:7" ht="12.75">
      <c r="A526" s="452"/>
      <c r="B526" s="204"/>
      <c r="C526" s="417">
        <v>3240</v>
      </c>
      <c r="D526" s="204" t="s">
        <v>227</v>
      </c>
      <c r="E526" s="289">
        <v>333300</v>
      </c>
      <c r="F526" s="289">
        <v>-30440</v>
      </c>
      <c r="G526" s="566">
        <f t="shared" si="10"/>
        <v>302860</v>
      </c>
    </row>
    <row r="527" spans="1:7" ht="12.75">
      <c r="A527" s="452"/>
      <c r="B527" s="204"/>
      <c r="C527" s="417">
        <v>3248</v>
      </c>
      <c r="D527" s="204" t="s">
        <v>486</v>
      </c>
      <c r="E527" s="289">
        <v>261328</v>
      </c>
      <c r="F527" s="289">
        <f>-705+712+5125-10461</f>
        <v>-5329</v>
      </c>
      <c r="G527" s="566">
        <f aca="true" t="shared" si="13" ref="G527:G535">F527+E527</f>
        <v>255999</v>
      </c>
    </row>
    <row r="528" spans="1:8" ht="12.75">
      <c r="A528" s="452"/>
      <c r="B528" s="204"/>
      <c r="C528" s="417">
        <v>3249</v>
      </c>
      <c r="D528" s="204" t="s">
        <v>486</v>
      </c>
      <c r="E528" s="289">
        <v>123754</v>
      </c>
      <c r="F528" s="289">
        <f>-331+335+2412-5698</f>
        <v>-3282</v>
      </c>
      <c r="G528" s="566">
        <f t="shared" si="13"/>
        <v>120472</v>
      </c>
      <c r="H528" s="431"/>
    </row>
    <row r="529" spans="1:7" ht="12.75">
      <c r="A529" s="452"/>
      <c r="B529" s="204"/>
      <c r="C529" s="417">
        <v>4110</v>
      </c>
      <c r="D529" s="204" t="s">
        <v>188</v>
      </c>
      <c r="E529" s="289">
        <v>2395</v>
      </c>
      <c r="F529" s="289">
        <f>757+384</f>
        <v>1141</v>
      </c>
      <c r="G529" s="566">
        <f t="shared" si="13"/>
        <v>3536</v>
      </c>
    </row>
    <row r="530" spans="1:7" ht="12.75">
      <c r="A530" s="452"/>
      <c r="B530" s="204"/>
      <c r="C530" s="417">
        <v>4118</v>
      </c>
      <c r="D530" s="204" t="s">
        <v>188</v>
      </c>
      <c r="E530" s="289">
        <v>119</v>
      </c>
      <c r="F530" s="289"/>
      <c r="G530" s="566">
        <f t="shared" si="13"/>
        <v>119</v>
      </c>
    </row>
    <row r="531" spans="1:7" ht="12.75">
      <c r="A531" s="452"/>
      <c r="B531" s="204"/>
      <c r="C531" s="417">
        <v>4119</v>
      </c>
      <c r="D531" s="204" t="s">
        <v>188</v>
      </c>
      <c r="E531" s="289">
        <v>56</v>
      </c>
      <c r="F531" s="289"/>
      <c r="G531" s="566">
        <f t="shared" si="13"/>
        <v>56</v>
      </c>
    </row>
    <row r="532" spans="1:7" ht="12.75">
      <c r="A532" s="452"/>
      <c r="B532" s="204"/>
      <c r="C532" s="417">
        <v>4120</v>
      </c>
      <c r="D532" s="204" t="s">
        <v>189</v>
      </c>
      <c r="E532" s="289">
        <v>443</v>
      </c>
      <c r="F532" s="289">
        <v>53</v>
      </c>
      <c r="G532" s="566">
        <f t="shared" si="13"/>
        <v>496</v>
      </c>
    </row>
    <row r="533" spans="1:7" ht="12.75">
      <c r="A533" s="452"/>
      <c r="B533" s="204"/>
      <c r="C533" s="417">
        <v>4128</v>
      </c>
      <c r="D533" s="204" t="s">
        <v>189</v>
      </c>
      <c r="E533" s="289">
        <v>17</v>
      </c>
      <c r="F533" s="289"/>
      <c r="G533" s="566">
        <f t="shared" si="13"/>
        <v>17</v>
      </c>
    </row>
    <row r="534" spans="1:7" ht="12.75">
      <c r="A534" s="452"/>
      <c r="B534" s="204"/>
      <c r="C534" s="417">
        <v>4129</v>
      </c>
      <c r="D534" s="204" t="s">
        <v>189</v>
      </c>
      <c r="E534" s="289">
        <v>8</v>
      </c>
      <c r="F534" s="289"/>
      <c r="G534" s="566">
        <f t="shared" si="13"/>
        <v>8</v>
      </c>
    </row>
    <row r="535" spans="1:7" ht="12.75">
      <c r="A535" s="452"/>
      <c r="B535" s="204"/>
      <c r="C535" s="417">
        <v>4170</v>
      </c>
      <c r="D535" s="204" t="s">
        <v>466</v>
      </c>
      <c r="E535" s="289">
        <v>29000</v>
      </c>
      <c r="F535" s="289"/>
      <c r="G535" s="566">
        <f t="shared" si="13"/>
        <v>29000</v>
      </c>
    </row>
    <row r="536" spans="1:7" ht="12.75">
      <c r="A536" s="452"/>
      <c r="B536" s="204"/>
      <c r="C536" s="417">
        <v>4178</v>
      </c>
      <c r="D536" s="204" t="s">
        <v>466</v>
      </c>
      <c r="E536" s="289">
        <v>2720</v>
      </c>
      <c r="F536" s="289">
        <f>816+816+816</f>
        <v>2448</v>
      </c>
      <c r="G536" s="566">
        <f>E536+F536</f>
        <v>5168</v>
      </c>
    </row>
    <row r="537" spans="1:7" ht="12.75">
      <c r="A537" s="452"/>
      <c r="B537" s="204"/>
      <c r="C537" s="417">
        <v>4179</v>
      </c>
      <c r="D537" s="204" t="s">
        <v>466</v>
      </c>
      <c r="E537" s="289">
        <v>1280</v>
      </c>
      <c r="F537" s="289">
        <f>384+384+384</f>
        <v>1152</v>
      </c>
      <c r="G537" s="566">
        <f>E537+F537</f>
        <v>2432</v>
      </c>
    </row>
    <row r="538" spans="1:7" ht="12.75">
      <c r="A538" s="452"/>
      <c r="B538" s="204"/>
      <c r="C538" s="417">
        <v>4210</v>
      </c>
      <c r="D538" s="204" t="s">
        <v>190</v>
      </c>
      <c r="E538" s="289">
        <v>142</v>
      </c>
      <c r="F538" s="289"/>
      <c r="G538" s="566">
        <f>E538+F538</f>
        <v>142</v>
      </c>
    </row>
    <row r="539" spans="1:7" ht="12.75">
      <c r="A539" s="452"/>
      <c r="B539" s="204"/>
      <c r="C539" s="417">
        <v>4218</v>
      </c>
      <c r="D539" s="204" t="s">
        <v>190</v>
      </c>
      <c r="E539" s="289">
        <v>0</v>
      </c>
      <c r="F539" s="289">
        <f>179+179+179+7655</f>
        <v>8192</v>
      </c>
      <c r="G539" s="566">
        <f>E539+F539</f>
        <v>8192</v>
      </c>
    </row>
    <row r="540" spans="1:7" ht="12.75">
      <c r="A540" s="452"/>
      <c r="B540" s="204"/>
      <c r="C540" s="417">
        <v>4219</v>
      </c>
      <c r="D540" s="204" t="s">
        <v>190</v>
      </c>
      <c r="E540" s="289">
        <v>0</v>
      </c>
      <c r="F540" s="289">
        <f>84+84+84+3602</f>
        <v>3854</v>
      </c>
      <c r="G540" s="566">
        <f>E540+F540</f>
        <v>3854</v>
      </c>
    </row>
    <row r="541" spans="1:7" ht="12.75">
      <c r="A541" s="452"/>
      <c r="B541" s="204"/>
      <c r="C541" s="417">
        <v>4300</v>
      </c>
      <c r="D541" s="204" t="s">
        <v>182</v>
      </c>
      <c r="E541" s="289">
        <v>64746</v>
      </c>
      <c r="F541" s="289">
        <v>100</v>
      </c>
      <c r="G541" s="566">
        <f t="shared" si="10"/>
        <v>64846</v>
      </c>
    </row>
    <row r="542" spans="1:7" ht="12.75">
      <c r="A542" s="452"/>
      <c r="B542" s="204"/>
      <c r="C542" s="417">
        <v>4308</v>
      </c>
      <c r="D542" s="204" t="s">
        <v>182</v>
      </c>
      <c r="E542" s="289">
        <v>4956</v>
      </c>
      <c r="F542" s="289"/>
      <c r="G542" s="566">
        <f>E542+F542</f>
        <v>4956</v>
      </c>
    </row>
    <row r="543" spans="1:7" ht="12.75">
      <c r="A543" s="452"/>
      <c r="B543" s="204"/>
      <c r="C543" s="417">
        <v>4309</v>
      </c>
      <c r="D543" s="204" t="s">
        <v>182</v>
      </c>
      <c r="E543" s="289">
        <v>1549</v>
      </c>
      <c r="F543" s="289"/>
      <c r="G543" s="566">
        <f>E543+F543</f>
        <v>1549</v>
      </c>
    </row>
    <row r="544" spans="1:7" ht="12.75">
      <c r="A544" s="452"/>
      <c r="B544" s="204"/>
      <c r="C544" s="417"/>
      <c r="D544" s="204"/>
      <c r="E544" s="289"/>
      <c r="F544" s="289"/>
      <c r="G544" s="566"/>
    </row>
    <row r="545" spans="1:7" ht="12.75">
      <c r="A545" s="452"/>
      <c r="B545" s="651">
        <v>85420</v>
      </c>
      <c r="C545" s="449"/>
      <c r="D545" s="651" t="s">
        <v>415</v>
      </c>
      <c r="E545" s="564">
        <f>SUM(E546:E562)</f>
        <v>1894369</v>
      </c>
      <c r="F545" s="564">
        <f>SUM(F546:F562)</f>
        <v>53853</v>
      </c>
      <c r="G545" s="567">
        <f aca="true" t="shared" si="14" ref="G545:G589">E545+F545</f>
        <v>1948222</v>
      </c>
    </row>
    <row r="546" spans="1:7" ht="12.75">
      <c r="A546" s="452"/>
      <c r="B546" s="204"/>
      <c r="C546" s="417">
        <v>3020</v>
      </c>
      <c r="D546" s="204" t="s">
        <v>185</v>
      </c>
      <c r="E546" s="289">
        <v>56265</v>
      </c>
      <c r="F546" s="289">
        <v>2450</v>
      </c>
      <c r="G546" s="566">
        <f t="shared" si="14"/>
        <v>58715</v>
      </c>
    </row>
    <row r="547" spans="1:7" ht="12.75">
      <c r="A547" s="452"/>
      <c r="B547" s="204"/>
      <c r="C547" s="417">
        <v>3110</v>
      </c>
      <c r="D547" s="204" t="s">
        <v>222</v>
      </c>
      <c r="E547" s="289">
        <v>4000</v>
      </c>
      <c r="F547" s="289">
        <v>-3025</v>
      </c>
      <c r="G547" s="566">
        <f t="shared" si="14"/>
        <v>975</v>
      </c>
    </row>
    <row r="548" spans="1:9" ht="12.75">
      <c r="A548" s="452"/>
      <c r="B548" s="204"/>
      <c r="C548" s="417">
        <v>4010</v>
      </c>
      <c r="D548" s="204" t="s">
        <v>186</v>
      </c>
      <c r="E548" s="289">
        <v>912907</v>
      </c>
      <c r="F548" s="289">
        <v>20645</v>
      </c>
      <c r="G548" s="566">
        <f t="shared" si="14"/>
        <v>933552</v>
      </c>
      <c r="I548" s="431"/>
    </row>
    <row r="549" spans="1:7" ht="12.75">
      <c r="A549" s="452"/>
      <c r="B549" s="204"/>
      <c r="C549" s="417">
        <v>4040</v>
      </c>
      <c r="D549" s="204" t="s">
        <v>187</v>
      </c>
      <c r="E549" s="289">
        <v>67815</v>
      </c>
      <c r="F549" s="289"/>
      <c r="G549" s="566">
        <f t="shared" si="14"/>
        <v>67815</v>
      </c>
    </row>
    <row r="550" spans="1:7" ht="12.75">
      <c r="A550" s="452"/>
      <c r="B550" s="204"/>
      <c r="C550" s="417">
        <v>4110</v>
      </c>
      <c r="D550" s="204" t="s">
        <v>188</v>
      </c>
      <c r="E550" s="289">
        <v>172989</v>
      </c>
      <c r="F550" s="289">
        <v>4952</v>
      </c>
      <c r="G550" s="566">
        <f t="shared" si="14"/>
        <v>177941</v>
      </c>
    </row>
    <row r="551" spans="1:7" ht="12.75">
      <c r="A551" s="452"/>
      <c r="B551" s="204"/>
      <c r="C551" s="417">
        <v>4120</v>
      </c>
      <c r="D551" s="204" t="s">
        <v>189</v>
      </c>
      <c r="E551" s="289">
        <v>24674</v>
      </c>
      <c r="F551" s="289">
        <v>-2</v>
      </c>
      <c r="G551" s="566">
        <f t="shared" si="14"/>
        <v>24672</v>
      </c>
    </row>
    <row r="552" spans="1:7" ht="12.75">
      <c r="A552" s="452"/>
      <c r="B552" s="204"/>
      <c r="C552" s="417">
        <v>4170</v>
      </c>
      <c r="D552" s="204" t="s">
        <v>466</v>
      </c>
      <c r="E552" s="289">
        <v>3000</v>
      </c>
      <c r="F552" s="289">
        <v>-2675</v>
      </c>
      <c r="G552" s="566">
        <f t="shared" si="14"/>
        <v>325</v>
      </c>
    </row>
    <row r="553" spans="1:7" ht="12.75">
      <c r="A553" s="452"/>
      <c r="B553" s="204"/>
      <c r="C553" s="417">
        <v>4210</v>
      </c>
      <c r="D553" s="204" t="s">
        <v>190</v>
      </c>
      <c r="E553" s="289">
        <v>277070</v>
      </c>
      <c r="F553" s="289">
        <f>3959+20102</f>
        <v>24061</v>
      </c>
      <c r="G553" s="566">
        <f t="shared" si="14"/>
        <v>301131</v>
      </c>
    </row>
    <row r="554" spans="1:7" ht="12.75">
      <c r="A554" s="452"/>
      <c r="B554" s="204"/>
      <c r="C554" s="417">
        <v>4220</v>
      </c>
      <c r="D554" s="204" t="s">
        <v>223</v>
      </c>
      <c r="E554" s="289">
        <v>5000</v>
      </c>
      <c r="F554" s="289">
        <v>-2385</v>
      </c>
      <c r="G554" s="566">
        <f t="shared" si="14"/>
        <v>2615</v>
      </c>
    </row>
    <row r="555" spans="1:7" ht="12.75">
      <c r="A555" s="452"/>
      <c r="B555" s="204"/>
      <c r="C555" s="417">
        <v>4260</v>
      </c>
      <c r="D555" s="204" t="s">
        <v>191</v>
      </c>
      <c r="E555" s="289">
        <v>39646</v>
      </c>
      <c r="F555" s="289">
        <v>2897</v>
      </c>
      <c r="G555" s="566">
        <f t="shared" si="14"/>
        <v>42543</v>
      </c>
    </row>
    <row r="556" spans="1:7" ht="12.75">
      <c r="A556" s="452"/>
      <c r="B556" s="204"/>
      <c r="C556" s="417">
        <v>4270</v>
      </c>
      <c r="D556" s="204" t="s">
        <v>192</v>
      </c>
      <c r="E556" s="289">
        <v>3000</v>
      </c>
      <c r="F556" s="289">
        <v>-1997</v>
      </c>
      <c r="G556" s="566">
        <f t="shared" si="14"/>
        <v>1003</v>
      </c>
    </row>
    <row r="557" spans="1:7" ht="12.75">
      <c r="A557" s="452"/>
      <c r="B557" s="204"/>
      <c r="C557" s="417">
        <v>4300</v>
      </c>
      <c r="D557" s="204" t="s">
        <v>182</v>
      </c>
      <c r="E557" s="289">
        <v>226753</v>
      </c>
      <c r="F557" s="289">
        <v>13388</v>
      </c>
      <c r="G557" s="566">
        <f t="shared" si="14"/>
        <v>240141</v>
      </c>
    </row>
    <row r="558" spans="1:7" ht="12.75">
      <c r="A558" s="452"/>
      <c r="B558" s="204"/>
      <c r="C558" s="417">
        <v>4410</v>
      </c>
      <c r="D558" s="204" t="s">
        <v>194</v>
      </c>
      <c r="E558" s="289">
        <v>3150</v>
      </c>
      <c r="F558" s="289">
        <v>791</v>
      </c>
      <c r="G558" s="566">
        <f t="shared" si="14"/>
        <v>3941</v>
      </c>
    </row>
    <row r="559" spans="1:7" ht="12.75">
      <c r="A559" s="452"/>
      <c r="B559" s="204"/>
      <c r="C559" s="417">
        <v>4420</v>
      </c>
      <c r="D559" s="204" t="s">
        <v>209</v>
      </c>
      <c r="E559" s="289">
        <v>1850</v>
      </c>
      <c r="F559" s="289">
        <v>-81</v>
      </c>
      <c r="G559" s="566">
        <f t="shared" si="14"/>
        <v>1769</v>
      </c>
    </row>
    <row r="560" spans="1:7" ht="12.75">
      <c r="A560" s="452"/>
      <c r="B560" s="204"/>
      <c r="C560" s="417">
        <v>4430</v>
      </c>
      <c r="D560" s="204" t="s">
        <v>195</v>
      </c>
      <c r="E560" s="289">
        <v>12134</v>
      </c>
      <c r="F560" s="289">
        <v>-5166</v>
      </c>
      <c r="G560" s="566">
        <f t="shared" si="14"/>
        <v>6968</v>
      </c>
    </row>
    <row r="561" spans="1:7" ht="12.75">
      <c r="A561" s="452"/>
      <c r="B561" s="204"/>
      <c r="C561" s="417">
        <v>4440</v>
      </c>
      <c r="D561" s="204" t="s">
        <v>196</v>
      </c>
      <c r="E561" s="289">
        <v>84116</v>
      </c>
      <c r="F561" s="289"/>
      <c r="G561" s="566">
        <f t="shared" si="14"/>
        <v>84116</v>
      </c>
    </row>
    <row r="562" spans="1:7" ht="12.75">
      <c r="A562" s="452"/>
      <c r="B562" s="204"/>
      <c r="C562" s="417">
        <v>6060</v>
      </c>
      <c r="D562" s="204" t="s">
        <v>244</v>
      </c>
      <c r="E562" s="289">
        <v>0</v>
      </c>
      <c r="F562" s="289"/>
      <c r="G562" s="566">
        <f t="shared" si="14"/>
        <v>0</v>
      </c>
    </row>
    <row r="563" spans="1:7" ht="12.75">
      <c r="A563" s="452"/>
      <c r="B563" s="204"/>
      <c r="C563" s="417"/>
      <c r="D563" s="204"/>
      <c r="E563" s="289"/>
      <c r="F563" s="289"/>
      <c r="G563" s="566"/>
    </row>
    <row r="564" spans="1:7" ht="12.75">
      <c r="A564" s="452"/>
      <c r="B564" s="651">
        <v>85446</v>
      </c>
      <c r="C564" s="449"/>
      <c r="D564" s="651" t="s">
        <v>150</v>
      </c>
      <c r="E564" s="564">
        <f>SUM(E565:E566)</f>
        <v>3793</v>
      </c>
      <c r="F564" s="564">
        <f>SUM(F565:F566)</f>
        <v>0</v>
      </c>
      <c r="G564" s="567">
        <f t="shared" si="14"/>
        <v>3793</v>
      </c>
    </row>
    <row r="565" spans="1:7" ht="12.75">
      <c r="A565" s="452"/>
      <c r="B565" s="204"/>
      <c r="C565" s="417">
        <v>4300</v>
      </c>
      <c r="D565" s="204" t="s">
        <v>182</v>
      </c>
      <c r="E565" s="289">
        <v>3180</v>
      </c>
      <c r="F565" s="289"/>
      <c r="G565" s="566">
        <f t="shared" si="14"/>
        <v>3180</v>
      </c>
    </row>
    <row r="566" spans="1:7" ht="12.75">
      <c r="A566" s="452"/>
      <c r="B566" s="204"/>
      <c r="C566" s="417">
        <v>4410</v>
      </c>
      <c r="D566" s="204" t="s">
        <v>194</v>
      </c>
      <c r="E566" s="289">
        <v>613</v>
      </c>
      <c r="F566" s="289"/>
      <c r="G566" s="566">
        <f t="shared" si="14"/>
        <v>613</v>
      </c>
    </row>
    <row r="567" spans="1:7" ht="12.75">
      <c r="A567" s="452"/>
      <c r="B567" s="204"/>
      <c r="C567" s="417"/>
      <c r="D567" s="204"/>
      <c r="E567" s="289"/>
      <c r="F567" s="289"/>
      <c r="G567" s="566"/>
    </row>
    <row r="568" spans="1:7" ht="12.75">
      <c r="A568" s="452"/>
      <c r="B568" s="651">
        <v>85495</v>
      </c>
      <c r="C568" s="449"/>
      <c r="D568" s="651" t="s">
        <v>25</v>
      </c>
      <c r="E568" s="564">
        <f>SUM(E569)</f>
        <v>6619</v>
      </c>
      <c r="F568" s="564">
        <f>SUM(F569)</f>
        <v>0</v>
      </c>
      <c r="G568" s="567">
        <f t="shared" si="14"/>
        <v>6619</v>
      </c>
    </row>
    <row r="569" spans="1:7" ht="12.75">
      <c r="A569" s="452"/>
      <c r="B569" s="204"/>
      <c r="C569" s="417">
        <v>4440</v>
      </c>
      <c r="D569" s="204" t="s">
        <v>196</v>
      </c>
      <c r="E569" s="289">
        <v>6619</v>
      </c>
      <c r="F569" s="289"/>
      <c r="G569" s="566">
        <f t="shared" si="14"/>
        <v>6619</v>
      </c>
    </row>
    <row r="570" spans="1:7" ht="12.75">
      <c r="A570" s="410"/>
      <c r="B570" s="417"/>
      <c r="C570" s="417"/>
      <c r="D570" s="204"/>
      <c r="E570" s="289"/>
      <c r="F570" s="289"/>
      <c r="G570" s="566"/>
    </row>
    <row r="571" spans="1:7" ht="13.5" thickBot="1">
      <c r="A571" s="408">
        <v>921</v>
      </c>
      <c r="B571" s="415"/>
      <c r="C571" s="415"/>
      <c r="D571" s="416" t="s">
        <v>45</v>
      </c>
      <c r="E571" s="627">
        <f>E572+E580</f>
        <v>55000</v>
      </c>
      <c r="F571" s="627">
        <f>F572+F580</f>
        <v>838</v>
      </c>
      <c r="G571" s="739">
        <f t="shared" si="14"/>
        <v>55838</v>
      </c>
    </row>
    <row r="572" spans="1:7" ht="12.75">
      <c r="A572" s="410"/>
      <c r="B572" s="449">
        <v>92105</v>
      </c>
      <c r="C572" s="449"/>
      <c r="D572" s="651" t="s">
        <v>228</v>
      </c>
      <c r="E572" s="564">
        <f>SUM(E573:E578)</f>
        <v>20000</v>
      </c>
      <c r="F572" s="564">
        <f>SUM(F573:F578)</f>
        <v>838</v>
      </c>
      <c r="G572" s="567">
        <f t="shared" si="14"/>
        <v>20838</v>
      </c>
    </row>
    <row r="573" spans="1:8" ht="12.75">
      <c r="A573" s="410"/>
      <c r="B573" s="417"/>
      <c r="C573" s="418" t="s">
        <v>437</v>
      </c>
      <c r="D573" s="204" t="s">
        <v>438</v>
      </c>
      <c r="E573" s="289">
        <v>4000</v>
      </c>
      <c r="F573" s="289"/>
      <c r="G573" s="566">
        <f t="shared" si="14"/>
        <v>4000</v>
      </c>
      <c r="H573" s="431"/>
    </row>
    <row r="574" spans="1:8" ht="12.75">
      <c r="A574" s="410"/>
      <c r="B574" s="417"/>
      <c r="C574" s="418"/>
      <c r="D574" s="204" t="s">
        <v>439</v>
      </c>
      <c r="E574" s="289"/>
      <c r="F574" s="289"/>
      <c r="G574" s="566"/>
      <c r="H574" s="431"/>
    </row>
    <row r="575" spans="1:7" ht="12.75">
      <c r="A575" s="410"/>
      <c r="B575" s="417"/>
      <c r="C575" s="417">
        <v>3020</v>
      </c>
      <c r="D575" s="204" t="s">
        <v>185</v>
      </c>
      <c r="E575" s="289">
        <v>5000</v>
      </c>
      <c r="F575" s="289"/>
      <c r="G575" s="566">
        <f t="shared" si="14"/>
        <v>5000</v>
      </c>
    </row>
    <row r="576" spans="1:7" ht="12.75">
      <c r="A576" s="410"/>
      <c r="B576" s="417"/>
      <c r="C576" s="417">
        <v>4170</v>
      </c>
      <c r="D576" s="204" t="s">
        <v>466</v>
      </c>
      <c r="E576" s="289">
        <v>0</v>
      </c>
      <c r="F576" s="289">
        <v>560</v>
      </c>
      <c r="G576" s="566">
        <f t="shared" si="14"/>
        <v>560</v>
      </c>
    </row>
    <row r="577" spans="1:7" ht="12.75">
      <c r="A577" s="410"/>
      <c r="B577" s="417"/>
      <c r="C577" s="417">
        <v>4210</v>
      </c>
      <c r="D577" s="204" t="s">
        <v>190</v>
      </c>
      <c r="E577" s="289">
        <v>1840</v>
      </c>
      <c r="F577" s="289"/>
      <c r="G577" s="566">
        <f t="shared" si="14"/>
        <v>1840</v>
      </c>
    </row>
    <row r="578" spans="1:7" ht="12.75">
      <c r="A578" s="410"/>
      <c r="B578" s="417"/>
      <c r="C578" s="417">
        <v>4300</v>
      </c>
      <c r="D578" s="204" t="s">
        <v>182</v>
      </c>
      <c r="E578" s="289">
        <v>9160</v>
      </c>
      <c r="F578" s="289">
        <v>278</v>
      </c>
      <c r="G578" s="566">
        <f t="shared" si="14"/>
        <v>9438</v>
      </c>
    </row>
    <row r="579" spans="1:7" ht="12.75">
      <c r="A579" s="410"/>
      <c r="B579" s="417"/>
      <c r="C579" s="417"/>
      <c r="D579" s="204"/>
      <c r="E579" s="289"/>
      <c r="F579" s="289"/>
      <c r="G579" s="566"/>
    </row>
    <row r="580" spans="1:7" ht="12.75">
      <c r="A580" s="410"/>
      <c r="B580" s="449">
        <v>92116</v>
      </c>
      <c r="C580" s="449"/>
      <c r="D580" s="651" t="s">
        <v>229</v>
      </c>
      <c r="E580" s="564">
        <f>E581</f>
        <v>35000</v>
      </c>
      <c r="F580" s="564">
        <f>F581</f>
        <v>0</v>
      </c>
      <c r="G580" s="567">
        <f t="shared" si="14"/>
        <v>35000</v>
      </c>
    </row>
    <row r="581" spans="1:8" ht="12.75">
      <c r="A581" s="410"/>
      <c r="B581" s="417"/>
      <c r="C581" s="417">
        <v>2310</v>
      </c>
      <c r="D581" s="204" t="s">
        <v>184</v>
      </c>
      <c r="E581" s="289">
        <v>35000</v>
      </c>
      <c r="F581" s="289"/>
      <c r="G581" s="566">
        <f t="shared" si="14"/>
        <v>35000</v>
      </c>
      <c r="H581" s="431"/>
    </row>
    <row r="582" spans="1:7" ht="12.75">
      <c r="A582" s="410"/>
      <c r="B582" s="417"/>
      <c r="C582" s="417"/>
      <c r="D582" s="204"/>
      <c r="E582" s="289"/>
      <c r="F582" s="289"/>
      <c r="G582" s="566"/>
    </row>
    <row r="583" spans="1:7" ht="13.5" thickBot="1">
      <c r="A583" s="408">
        <v>926</v>
      </c>
      <c r="B583" s="415"/>
      <c r="C583" s="415"/>
      <c r="D583" s="416" t="s">
        <v>230</v>
      </c>
      <c r="E583" s="627">
        <f>E584</f>
        <v>94700</v>
      </c>
      <c r="F583" s="627">
        <f>F584</f>
        <v>-278</v>
      </c>
      <c r="G583" s="739">
        <f t="shared" si="14"/>
        <v>94422</v>
      </c>
    </row>
    <row r="584" spans="1:7" ht="12.75">
      <c r="A584" s="410"/>
      <c r="B584" s="449">
        <v>92605</v>
      </c>
      <c r="C584" s="449"/>
      <c r="D584" s="651" t="s">
        <v>231</v>
      </c>
      <c r="E584" s="564">
        <f>SUM(E585:E589)</f>
        <v>94700</v>
      </c>
      <c r="F584" s="564">
        <f>SUM(F585:F589)</f>
        <v>-278</v>
      </c>
      <c r="G584" s="567">
        <f t="shared" si="14"/>
        <v>94422</v>
      </c>
    </row>
    <row r="585" spans="1:8" ht="12.75">
      <c r="A585" s="410"/>
      <c r="B585" s="417"/>
      <c r="C585" s="418" t="s">
        <v>437</v>
      </c>
      <c r="D585" s="204" t="s">
        <v>438</v>
      </c>
      <c r="E585" s="289">
        <v>64000</v>
      </c>
      <c r="F585" s="289"/>
      <c r="G585" s="566">
        <f t="shared" si="14"/>
        <v>64000</v>
      </c>
      <c r="H585" s="431"/>
    </row>
    <row r="586" spans="1:8" ht="12.75">
      <c r="A586" s="410"/>
      <c r="B586" s="417"/>
      <c r="C586" s="418"/>
      <c r="D586" s="204" t="s">
        <v>439</v>
      </c>
      <c r="E586" s="289"/>
      <c r="F586" s="289"/>
      <c r="G586" s="566"/>
      <c r="H586" s="431"/>
    </row>
    <row r="587" spans="1:7" ht="12.75">
      <c r="A587" s="410"/>
      <c r="B587" s="417"/>
      <c r="C587" s="417">
        <v>3020</v>
      </c>
      <c r="D587" s="204" t="s">
        <v>232</v>
      </c>
      <c r="E587" s="289">
        <v>10000</v>
      </c>
      <c r="F587" s="289"/>
      <c r="G587" s="566">
        <f t="shared" si="14"/>
        <v>10000</v>
      </c>
    </row>
    <row r="588" spans="1:7" ht="12.75">
      <c r="A588" s="410"/>
      <c r="B588" s="417"/>
      <c r="C588" s="417">
        <v>4210</v>
      </c>
      <c r="D588" s="204" t="s">
        <v>190</v>
      </c>
      <c r="E588" s="289">
        <v>5580</v>
      </c>
      <c r="F588" s="289">
        <v>-278</v>
      </c>
      <c r="G588" s="566">
        <f t="shared" si="14"/>
        <v>5302</v>
      </c>
    </row>
    <row r="589" spans="1:7" ht="12.75">
      <c r="A589" s="410"/>
      <c r="B589" s="417"/>
      <c r="C589" s="417">
        <v>4300</v>
      </c>
      <c r="D589" s="204" t="s">
        <v>182</v>
      </c>
      <c r="E589" s="289">
        <v>15120</v>
      </c>
      <c r="F589" s="289"/>
      <c r="G589" s="566">
        <f t="shared" si="14"/>
        <v>15120</v>
      </c>
    </row>
    <row r="590" spans="1:7" ht="13.5" thickBot="1">
      <c r="A590" s="410"/>
      <c r="B590" s="417"/>
      <c r="C590" s="417"/>
      <c r="D590" s="204"/>
      <c r="E590" s="289"/>
      <c r="F590" s="289"/>
      <c r="G590" s="566"/>
    </row>
    <row r="591" spans="1:7" ht="17.25" customHeight="1" thickBot="1">
      <c r="A591" s="951" t="s">
        <v>507</v>
      </c>
      <c r="B591" s="952"/>
      <c r="C591" s="952"/>
      <c r="D591" s="952"/>
      <c r="E591" s="850">
        <f>E583+E571+E480+E423+E315+E294+E282+E190+E186+E177+E166+E90+E71+E62+E55+E29+E22+E15+E154</f>
        <v>40352246</v>
      </c>
      <c r="F591" s="850">
        <f>F583+F571+F480+F423+F315+F294+F282+F190+F186+F177+F166+F90+F71+F62+F55+F29+F22+F15+F154</f>
        <v>-1428139</v>
      </c>
      <c r="G591" s="774">
        <f>F591+E591</f>
        <v>38924107</v>
      </c>
    </row>
    <row r="592" ht="12.75">
      <c r="E592" s="190"/>
    </row>
    <row r="593" spans="5:11" ht="12.75">
      <c r="E593" s="190" t="s">
        <v>411</v>
      </c>
      <c r="H593" s="430"/>
      <c r="I593" s="430"/>
      <c r="J593" s="430"/>
      <c r="K593" s="430"/>
    </row>
    <row r="594" spans="5:11" ht="12.75">
      <c r="E594" s="190" t="s">
        <v>284</v>
      </c>
      <c r="G594" s="469"/>
      <c r="H594" s="431"/>
      <c r="J594" s="430"/>
      <c r="K594" s="430"/>
    </row>
    <row r="595" spans="5:11" ht="12.75">
      <c r="E595" s="190" t="s">
        <v>412</v>
      </c>
      <c r="G595" s="469"/>
      <c r="H595" s="469"/>
      <c r="I595" s="470"/>
      <c r="J595" s="430"/>
      <c r="K595" s="430"/>
    </row>
    <row r="596" spans="5:10" ht="12.75">
      <c r="E596" s="190" t="s">
        <v>413</v>
      </c>
      <c r="G596" s="469"/>
      <c r="H596" s="469"/>
      <c r="I596" s="470"/>
      <c r="J596" s="429"/>
    </row>
    <row r="597" spans="5:10" ht="12.75">
      <c r="E597" s="190" t="s">
        <v>414</v>
      </c>
      <c r="G597" s="469"/>
      <c r="H597" s="469"/>
      <c r="I597" s="470"/>
      <c r="J597" s="429"/>
    </row>
    <row r="598" spans="5:10" ht="12.75">
      <c r="E598" s="190"/>
      <c r="J598" s="429"/>
    </row>
    <row r="599" ht="12.75">
      <c r="E599" s="190"/>
    </row>
    <row r="600" ht="12.75">
      <c r="E600" s="190"/>
    </row>
    <row r="601" ht="12.75">
      <c r="E601" s="190"/>
    </row>
    <row r="602" ht="12.75">
      <c r="E602" s="190"/>
    </row>
    <row r="603" ht="12.75">
      <c r="E603" s="190"/>
    </row>
    <row r="604" ht="12.75">
      <c r="E604" s="190"/>
    </row>
    <row r="605" ht="12.75">
      <c r="E605" s="190"/>
    </row>
    <row r="606" ht="12.75">
      <c r="E606" s="190"/>
    </row>
    <row r="607" ht="12.75">
      <c r="E607" s="190"/>
    </row>
    <row r="608" ht="12.75">
      <c r="E608" s="190"/>
    </row>
    <row r="609" ht="12.75">
      <c r="E609" s="190"/>
    </row>
    <row r="610" ht="12.75">
      <c r="E610" s="190"/>
    </row>
    <row r="611" ht="12.75">
      <c r="E611" s="190"/>
    </row>
    <row r="612" ht="12.75">
      <c r="E612" s="190"/>
    </row>
    <row r="613" ht="12.75">
      <c r="E613" s="190"/>
    </row>
    <row r="614" ht="12.75">
      <c r="E614" s="190"/>
    </row>
    <row r="615" ht="12.75">
      <c r="E615" s="190"/>
    </row>
    <row r="616" ht="12.75">
      <c r="E616" s="190"/>
    </row>
    <row r="617" ht="12.75">
      <c r="E617" s="190"/>
    </row>
    <row r="618" ht="12.75">
      <c r="E618" s="190"/>
    </row>
    <row r="619" ht="12.75">
      <c r="E619" s="190"/>
    </row>
    <row r="620" ht="12.75">
      <c r="E620" s="190"/>
    </row>
    <row r="621" ht="12.75">
      <c r="E621" s="190"/>
    </row>
    <row r="622" ht="12.75">
      <c r="E622" s="190"/>
    </row>
    <row r="623" ht="12.75">
      <c r="E623" s="190"/>
    </row>
    <row r="624" ht="12.75">
      <c r="E624" s="190"/>
    </row>
    <row r="625" ht="12.75">
      <c r="E625" s="190"/>
    </row>
    <row r="626" ht="12.75">
      <c r="E626" s="190"/>
    </row>
    <row r="627" ht="12.75">
      <c r="E627" s="190"/>
    </row>
    <row r="628" ht="12.75">
      <c r="E628" s="190"/>
    </row>
    <row r="629" ht="12.75">
      <c r="E629" s="190"/>
    </row>
    <row r="630" ht="12.75">
      <c r="E630" s="190"/>
    </row>
    <row r="631" ht="12.75">
      <c r="E631" s="190"/>
    </row>
    <row r="632" ht="12.75">
      <c r="E632" s="190"/>
    </row>
    <row r="633" ht="12.75">
      <c r="E633" s="190"/>
    </row>
    <row r="634" ht="12.75">
      <c r="E634" s="190"/>
    </row>
    <row r="635" ht="12.75">
      <c r="E635" s="190"/>
    </row>
    <row r="636" ht="12.75">
      <c r="E636" s="190"/>
    </row>
    <row r="637" ht="12.75">
      <c r="E637" s="190"/>
    </row>
    <row r="638" ht="12.75">
      <c r="E638" s="190"/>
    </row>
    <row r="639" ht="12.75">
      <c r="E639" s="190"/>
    </row>
    <row r="640" ht="12.75">
      <c r="E640" s="190"/>
    </row>
    <row r="641" ht="12.75">
      <c r="E641" s="190"/>
    </row>
    <row r="642" ht="12.75">
      <c r="E642" s="190"/>
    </row>
    <row r="643" ht="12.75">
      <c r="E643" s="190"/>
    </row>
    <row r="644" ht="12.75">
      <c r="E644" s="190"/>
    </row>
    <row r="645" ht="12.75">
      <c r="E645" s="190"/>
    </row>
    <row r="646" ht="12.75">
      <c r="E646" s="190"/>
    </row>
    <row r="647" ht="12.75">
      <c r="E647" s="190"/>
    </row>
    <row r="648" ht="12.75">
      <c r="E648" s="190"/>
    </row>
    <row r="649" ht="12.75">
      <c r="E649" s="190"/>
    </row>
    <row r="650" ht="12.75">
      <c r="E650" s="190"/>
    </row>
    <row r="651" ht="12.75">
      <c r="E651" s="190"/>
    </row>
    <row r="652" ht="12.75">
      <c r="E652" s="190"/>
    </row>
    <row r="653" ht="12.75">
      <c r="E653" s="190"/>
    </row>
    <row r="654" ht="12.75">
      <c r="E654" s="190"/>
    </row>
    <row r="655" ht="12.75">
      <c r="E655" s="190"/>
    </row>
    <row r="656" ht="12.75">
      <c r="E656" s="190"/>
    </row>
    <row r="657" ht="12.75">
      <c r="E657" s="190"/>
    </row>
    <row r="658" ht="12.75">
      <c r="E658" s="190"/>
    </row>
    <row r="659" ht="12.75">
      <c r="E659" s="190"/>
    </row>
    <row r="660" ht="12.75">
      <c r="E660" s="190"/>
    </row>
    <row r="661" ht="12.75">
      <c r="E661" s="190"/>
    </row>
    <row r="662" ht="12.75">
      <c r="E662" s="190"/>
    </row>
    <row r="663" ht="12.75">
      <c r="E663" s="190"/>
    </row>
    <row r="664" ht="12.75">
      <c r="E664" s="190"/>
    </row>
    <row r="665" ht="12.75">
      <c r="E665" s="190"/>
    </row>
    <row r="666" ht="12.75">
      <c r="E666" s="190"/>
    </row>
    <row r="667" ht="12.75">
      <c r="E667" s="190"/>
    </row>
    <row r="668" ht="12.75">
      <c r="E668" s="190"/>
    </row>
    <row r="669" ht="12.75">
      <c r="E669" s="190"/>
    </row>
    <row r="670" ht="12.75">
      <c r="E670" s="190"/>
    </row>
    <row r="671" ht="12.75">
      <c r="E671" s="190"/>
    </row>
    <row r="672" ht="12.75">
      <c r="E672" s="190"/>
    </row>
    <row r="673" ht="12.75">
      <c r="E673" s="190"/>
    </row>
    <row r="674" ht="12.75">
      <c r="E674" s="190"/>
    </row>
    <row r="675" ht="12.75">
      <c r="E675" s="190"/>
    </row>
    <row r="676" ht="12.75">
      <c r="E676" s="190"/>
    </row>
    <row r="677" ht="12.75">
      <c r="E677" s="190"/>
    </row>
    <row r="678" ht="12.75">
      <c r="E678" s="190"/>
    </row>
    <row r="679" ht="12.75">
      <c r="E679" s="190"/>
    </row>
    <row r="680" ht="12.75">
      <c r="E680" s="190"/>
    </row>
    <row r="681" ht="12.75">
      <c r="E681" s="190"/>
    </row>
    <row r="682" ht="12.75">
      <c r="E682" s="190"/>
    </row>
    <row r="683" ht="12.75">
      <c r="E683" s="190"/>
    </row>
    <row r="684" ht="12.75">
      <c r="E684" s="190"/>
    </row>
    <row r="685" ht="12.75">
      <c r="E685" s="190"/>
    </row>
    <row r="686" ht="12.75">
      <c r="E686" s="190"/>
    </row>
    <row r="687" ht="12.75">
      <c r="E687" s="190"/>
    </row>
    <row r="688" ht="12.75">
      <c r="E688" s="190"/>
    </row>
    <row r="689" ht="12.75">
      <c r="E689" s="190"/>
    </row>
    <row r="690" ht="12.75">
      <c r="E690" s="190"/>
    </row>
    <row r="691" ht="12.75">
      <c r="E691" s="190"/>
    </row>
    <row r="692" ht="12.75">
      <c r="E692" s="190"/>
    </row>
    <row r="693" ht="12.75">
      <c r="E693" s="190"/>
    </row>
    <row r="694" ht="12.75">
      <c r="E694" s="190"/>
    </row>
    <row r="695" ht="12.75">
      <c r="E695" s="190"/>
    </row>
    <row r="696" ht="12.75">
      <c r="E696" s="190"/>
    </row>
    <row r="697" ht="12.75">
      <c r="E697" s="190"/>
    </row>
    <row r="698" ht="12.75">
      <c r="E698" s="190"/>
    </row>
    <row r="699" ht="12.75">
      <c r="E699" s="190"/>
    </row>
    <row r="700" ht="12.75">
      <c r="E700" s="190"/>
    </row>
    <row r="701" ht="12.75">
      <c r="E701" s="190"/>
    </row>
    <row r="702" ht="12.75">
      <c r="E702" s="190"/>
    </row>
    <row r="703" ht="12.75">
      <c r="E703" s="190"/>
    </row>
    <row r="704" ht="12.75">
      <c r="E704" s="190"/>
    </row>
    <row r="705" ht="12.75">
      <c r="E705" s="190"/>
    </row>
    <row r="706" ht="12.75">
      <c r="E706" s="190"/>
    </row>
    <row r="707" ht="12.75">
      <c r="E707" s="190"/>
    </row>
    <row r="708" ht="12.75">
      <c r="E708" s="190"/>
    </row>
    <row r="709" ht="12.75">
      <c r="E709" s="190"/>
    </row>
    <row r="710" ht="12.75">
      <c r="E710" s="190"/>
    </row>
    <row r="711" ht="12.75">
      <c r="E711" s="190"/>
    </row>
    <row r="712" ht="12.75">
      <c r="E712" s="190"/>
    </row>
    <row r="713" ht="12.75">
      <c r="E713" s="190"/>
    </row>
    <row r="714" ht="12.75">
      <c r="E714" s="190"/>
    </row>
    <row r="715" ht="12.75">
      <c r="E715" s="190"/>
    </row>
    <row r="716" ht="12.75">
      <c r="E716" s="190"/>
    </row>
    <row r="717" ht="12.75">
      <c r="E717" s="190"/>
    </row>
    <row r="718" ht="12.75">
      <c r="E718" s="190"/>
    </row>
    <row r="719" ht="12.75">
      <c r="E719" s="190"/>
    </row>
    <row r="720" ht="12.75">
      <c r="E720" s="190"/>
    </row>
    <row r="721" ht="12.75">
      <c r="E721" s="190"/>
    </row>
    <row r="722" ht="12.75">
      <c r="E722" s="190"/>
    </row>
    <row r="723" ht="12.75">
      <c r="E723" s="190"/>
    </row>
    <row r="724" ht="12.75">
      <c r="E724" s="190"/>
    </row>
    <row r="725" ht="12.75">
      <c r="E725" s="190"/>
    </row>
    <row r="726" ht="12.75">
      <c r="E726" s="190"/>
    </row>
    <row r="727" ht="12.75">
      <c r="E727" s="190"/>
    </row>
    <row r="728" ht="12.75">
      <c r="E728" s="190"/>
    </row>
    <row r="729" ht="12.75">
      <c r="E729" s="190"/>
    </row>
    <row r="730" ht="12.75">
      <c r="E730" s="190"/>
    </row>
    <row r="731" ht="12.75">
      <c r="E731" s="190"/>
    </row>
    <row r="732" ht="12.75">
      <c r="E732" s="190"/>
    </row>
    <row r="733" ht="12.75">
      <c r="E733" s="190"/>
    </row>
    <row r="734" ht="12.75">
      <c r="E734" s="190"/>
    </row>
    <row r="735" ht="12.75">
      <c r="E735" s="190"/>
    </row>
    <row r="736" ht="12.75">
      <c r="E736" s="190"/>
    </row>
    <row r="737" ht="12.75">
      <c r="E737" s="190"/>
    </row>
    <row r="738" ht="12.75">
      <c r="E738" s="190"/>
    </row>
    <row r="739" ht="12.75">
      <c r="E739" s="190"/>
    </row>
    <row r="740" ht="12.75">
      <c r="E740" s="190"/>
    </row>
    <row r="741" ht="12.75">
      <c r="E741" s="190"/>
    </row>
    <row r="742" ht="12.75">
      <c r="E742" s="190"/>
    </row>
    <row r="743" ht="12.75">
      <c r="E743" s="190"/>
    </row>
    <row r="744" ht="12.75">
      <c r="E744" s="190"/>
    </row>
    <row r="745" ht="12.75">
      <c r="E745" s="190"/>
    </row>
    <row r="746" ht="12.75">
      <c r="E746" s="190"/>
    </row>
    <row r="747" ht="12.75">
      <c r="E747" s="190"/>
    </row>
    <row r="748" ht="12.75">
      <c r="E748" s="190"/>
    </row>
    <row r="749" ht="12.75">
      <c r="E749" s="190"/>
    </row>
    <row r="750" ht="12.75">
      <c r="E750" s="190"/>
    </row>
    <row r="751" ht="12.75">
      <c r="E751" s="190"/>
    </row>
    <row r="752" ht="12.75">
      <c r="E752" s="190"/>
    </row>
    <row r="753" ht="12.75">
      <c r="E753" s="190"/>
    </row>
    <row r="754" ht="12.75">
      <c r="E754" s="190"/>
    </row>
    <row r="755" ht="12.75">
      <c r="E755" s="190"/>
    </row>
    <row r="756" ht="12.75">
      <c r="E756" s="190"/>
    </row>
    <row r="757" ht="12.75">
      <c r="E757" s="190"/>
    </row>
    <row r="758" ht="12.75">
      <c r="E758" s="190"/>
    </row>
    <row r="759" ht="12.75">
      <c r="E759" s="190"/>
    </row>
    <row r="760" ht="12.75">
      <c r="E760" s="190"/>
    </row>
    <row r="761" ht="12.75">
      <c r="E761" s="190"/>
    </row>
    <row r="762" ht="12.75">
      <c r="E762" s="190"/>
    </row>
    <row r="763" ht="12.75">
      <c r="E763" s="190"/>
    </row>
    <row r="764" ht="12.75">
      <c r="E764" s="190"/>
    </row>
    <row r="765" ht="12.75">
      <c r="E765" s="190"/>
    </row>
    <row r="766" ht="12.75">
      <c r="E766" s="190"/>
    </row>
    <row r="767" ht="12.75">
      <c r="E767" s="190"/>
    </row>
    <row r="768" ht="12.75">
      <c r="E768" s="190"/>
    </row>
    <row r="769" ht="12.75">
      <c r="E769" s="190"/>
    </row>
    <row r="770" ht="12.75">
      <c r="E770" s="190"/>
    </row>
    <row r="771" ht="12.75">
      <c r="E771" s="190"/>
    </row>
    <row r="772" ht="12.75">
      <c r="E772" s="190"/>
    </row>
    <row r="773" ht="12.75">
      <c r="E773" s="190"/>
    </row>
    <row r="774" ht="12.75">
      <c r="E774" s="190"/>
    </row>
    <row r="775" ht="12.75">
      <c r="E775" s="190"/>
    </row>
    <row r="776" ht="12.75">
      <c r="E776" s="190"/>
    </row>
    <row r="777" ht="12.75">
      <c r="E777" s="190"/>
    </row>
    <row r="778" ht="12.75">
      <c r="E778" s="190"/>
    </row>
    <row r="779" ht="12.75">
      <c r="E779" s="190"/>
    </row>
    <row r="780" ht="12.75">
      <c r="E780" s="190"/>
    </row>
    <row r="781" ht="12.75">
      <c r="E781" s="190"/>
    </row>
    <row r="782" ht="12.75">
      <c r="E782" s="190"/>
    </row>
    <row r="783" ht="12.75">
      <c r="E783" s="190"/>
    </row>
    <row r="784" ht="12.75">
      <c r="E784" s="190"/>
    </row>
    <row r="785" ht="12.75">
      <c r="E785" s="190"/>
    </row>
    <row r="786" ht="12.75">
      <c r="E786" s="190"/>
    </row>
    <row r="787" ht="12.75">
      <c r="E787" s="190"/>
    </row>
    <row r="788" ht="12.75">
      <c r="E788" s="190"/>
    </row>
    <row r="789" ht="12.75">
      <c r="E789" s="190"/>
    </row>
    <row r="790" ht="12.75">
      <c r="E790" s="190"/>
    </row>
    <row r="791" ht="12.75">
      <c r="E791" s="190"/>
    </row>
    <row r="792" ht="12.75">
      <c r="E792" s="190"/>
    </row>
    <row r="793" ht="12.75">
      <c r="E793" s="190"/>
    </row>
    <row r="794" ht="12.75">
      <c r="E794" s="190"/>
    </row>
    <row r="795" ht="12.75">
      <c r="E795" s="190"/>
    </row>
    <row r="796" ht="12.75">
      <c r="E796" s="190"/>
    </row>
    <row r="797" ht="12.75">
      <c r="E797" s="190"/>
    </row>
    <row r="798" ht="12.75">
      <c r="E798" s="190"/>
    </row>
    <row r="799" ht="12.75">
      <c r="E799" s="190"/>
    </row>
    <row r="800" ht="12.75">
      <c r="E800" s="190"/>
    </row>
    <row r="801" ht="12.75">
      <c r="E801" s="190"/>
    </row>
    <row r="802" ht="12.75">
      <c r="E802" s="190"/>
    </row>
    <row r="803" ht="12.75">
      <c r="E803" s="190"/>
    </row>
    <row r="804" ht="12.75">
      <c r="E804" s="190"/>
    </row>
    <row r="805" ht="12.75">
      <c r="E805" s="190"/>
    </row>
    <row r="806" ht="12.75">
      <c r="E806" s="190"/>
    </row>
    <row r="807" ht="12.75">
      <c r="E807" s="190"/>
    </row>
    <row r="808" ht="12.75">
      <c r="E808" s="190"/>
    </row>
    <row r="809" ht="12.75">
      <c r="E809" s="190"/>
    </row>
    <row r="810" ht="12.75">
      <c r="E810" s="190"/>
    </row>
    <row r="811" ht="12.75">
      <c r="E811" s="190"/>
    </row>
    <row r="812" ht="12.75">
      <c r="E812" s="190"/>
    </row>
    <row r="813" ht="12.75">
      <c r="E813" s="190"/>
    </row>
    <row r="814" ht="12.75">
      <c r="E814" s="190"/>
    </row>
    <row r="815" ht="12.75">
      <c r="E815" s="190"/>
    </row>
    <row r="816" ht="12.75">
      <c r="E816" s="190"/>
    </row>
    <row r="817" ht="12.75">
      <c r="E817" s="190"/>
    </row>
    <row r="818" ht="12.75">
      <c r="E818" s="190"/>
    </row>
    <row r="819" ht="12.75">
      <c r="E819" s="190"/>
    </row>
    <row r="820" ht="12.75">
      <c r="E820" s="190"/>
    </row>
    <row r="821" ht="12.75">
      <c r="E821" s="190"/>
    </row>
    <row r="822" ht="12.75">
      <c r="E822" s="190"/>
    </row>
    <row r="823" ht="12.75">
      <c r="E823" s="190"/>
    </row>
    <row r="824" ht="12.75">
      <c r="E824" s="190"/>
    </row>
    <row r="825" ht="12.75">
      <c r="E825" s="190"/>
    </row>
    <row r="826" ht="12.75">
      <c r="E826" s="190"/>
    </row>
    <row r="827" ht="12.75">
      <c r="E827" s="190"/>
    </row>
    <row r="828" ht="12.75">
      <c r="E828" s="190"/>
    </row>
    <row r="829" ht="12.75">
      <c r="E829" s="190"/>
    </row>
    <row r="830" ht="12.75">
      <c r="E830" s="190"/>
    </row>
    <row r="831" ht="12.75">
      <c r="E831" s="190"/>
    </row>
    <row r="832" ht="12.75">
      <c r="E832" s="190"/>
    </row>
    <row r="833" ht="12.75">
      <c r="E833" s="190"/>
    </row>
    <row r="834" ht="12.75">
      <c r="E834" s="190"/>
    </row>
    <row r="835" ht="12.75">
      <c r="E835" s="190"/>
    </row>
    <row r="836" ht="12.75">
      <c r="E836" s="190"/>
    </row>
    <row r="837" ht="12.75">
      <c r="E837" s="190"/>
    </row>
    <row r="838" ht="12.75">
      <c r="E838" s="190"/>
    </row>
    <row r="839" ht="12.75">
      <c r="E839" s="190"/>
    </row>
    <row r="840" ht="12.75">
      <c r="E840" s="190"/>
    </row>
    <row r="841" ht="12.75">
      <c r="E841" s="190"/>
    </row>
    <row r="842" ht="12.75">
      <c r="E842" s="190"/>
    </row>
    <row r="843" ht="12.75">
      <c r="E843" s="190"/>
    </row>
    <row r="844" ht="12.75">
      <c r="E844" s="190"/>
    </row>
    <row r="845" ht="12.75">
      <c r="E845" s="190"/>
    </row>
    <row r="846" ht="12.75">
      <c r="E846" s="190"/>
    </row>
    <row r="847" ht="12.75">
      <c r="E847" s="190"/>
    </row>
    <row r="848" ht="12.75">
      <c r="E848" s="190"/>
    </row>
    <row r="849" ht="12.75">
      <c r="E849" s="190"/>
    </row>
    <row r="850" ht="12.75">
      <c r="E850" s="190"/>
    </row>
    <row r="851" ht="12.75">
      <c r="E851" s="190"/>
    </row>
    <row r="852" ht="12.75">
      <c r="E852" s="190"/>
    </row>
    <row r="853" ht="12.75">
      <c r="E853" s="190"/>
    </row>
    <row r="854" ht="12.75">
      <c r="E854" s="190"/>
    </row>
    <row r="855" ht="12.75">
      <c r="E855" s="190"/>
    </row>
    <row r="856" ht="12.75">
      <c r="E856" s="190"/>
    </row>
    <row r="857" ht="12.75">
      <c r="E857" s="190"/>
    </row>
    <row r="858" ht="12.75">
      <c r="E858" s="190"/>
    </row>
    <row r="859" ht="12.75">
      <c r="E859" s="190"/>
    </row>
    <row r="860" ht="12.75">
      <c r="E860" s="190"/>
    </row>
    <row r="861" ht="12.75">
      <c r="E861" s="190"/>
    </row>
    <row r="862" ht="12.75">
      <c r="E862" s="190"/>
    </row>
    <row r="863" ht="12.75">
      <c r="E863" s="190"/>
    </row>
    <row r="864" ht="12.75">
      <c r="E864" s="190"/>
    </row>
    <row r="865" ht="12.75">
      <c r="E865" s="190"/>
    </row>
    <row r="866" ht="12.75">
      <c r="E866" s="190"/>
    </row>
    <row r="867" ht="12.75">
      <c r="E867" s="190"/>
    </row>
    <row r="868" ht="12.75">
      <c r="E868" s="190"/>
    </row>
    <row r="869" ht="12.75">
      <c r="E869" s="190"/>
    </row>
    <row r="870" ht="12.75">
      <c r="E870" s="190"/>
    </row>
    <row r="871" ht="12.75">
      <c r="E871" s="190"/>
    </row>
    <row r="872" ht="12.75">
      <c r="E872" s="190"/>
    </row>
    <row r="873" ht="12.75">
      <c r="E873" s="190"/>
    </row>
    <row r="874" ht="12.75">
      <c r="E874" s="190"/>
    </row>
    <row r="875" ht="12.75">
      <c r="E875" s="190"/>
    </row>
    <row r="876" ht="12.75">
      <c r="E876" s="190"/>
    </row>
    <row r="877" ht="12.75">
      <c r="E877" s="190"/>
    </row>
    <row r="878" ht="12.75">
      <c r="E878" s="190"/>
    </row>
    <row r="879" ht="12.75">
      <c r="E879" s="190"/>
    </row>
    <row r="880" ht="12.75">
      <c r="E880" s="190"/>
    </row>
    <row r="881" ht="12.75">
      <c r="E881" s="190"/>
    </row>
    <row r="882" ht="12.75">
      <c r="E882" s="190"/>
    </row>
    <row r="883" ht="12.75">
      <c r="E883" s="190"/>
    </row>
    <row r="884" ht="12.75">
      <c r="E884" s="190"/>
    </row>
    <row r="885" ht="12.75">
      <c r="E885" s="190"/>
    </row>
    <row r="886" ht="12.75">
      <c r="E886" s="190"/>
    </row>
    <row r="887" ht="12.75">
      <c r="E887" s="190"/>
    </row>
    <row r="888" ht="12.75">
      <c r="E888" s="190"/>
    </row>
    <row r="889" ht="12.75">
      <c r="E889" s="190"/>
    </row>
    <row r="890" ht="12.75">
      <c r="E890" s="190"/>
    </row>
    <row r="891" ht="12.75">
      <c r="E891" s="190"/>
    </row>
    <row r="892" ht="12.75">
      <c r="E892" s="190"/>
    </row>
    <row r="893" ht="12.75">
      <c r="E893" s="190"/>
    </row>
    <row r="894" ht="12.75">
      <c r="E894" s="190"/>
    </row>
    <row r="895" ht="12.75">
      <c r="E895" s="190"/>
    </row>
    <row r="896" ht="12.75">
      <c r="E896" s="190"/>
    </row>
    <row r="897" ht="12.75">
      <c r="E897" s="190"/>
    </row>
    <row r="898" ht="12.75">
      <c r="E898" s="190"/>
    </row>
    <row r="899" ht="12.75">
      <c r="E899" s="190"/>
    </row>
    <row r="900" ht="12.75">
      <c r="E900" s="190"/>
    </row>
    <row r="901" ht="12.75">
      <c r="E901" s="190"/>
    </row>
    <row r="902" ht="12.75">
      <c r="E902" s="190"/>
    </row>
    <row r="903" ht="12.75">
      <c r="E903" s="190"/>
    </row>
    <row r="904" ht="12.75">
      <c r="E904" s="190"/>
    </row>
    <row r="905" ht="12.75">
      <c r="E905" s="190"/>
    </row>
    <row r="906" ht="12.75">
      <c r="E906" s="190"/>
    </row>
    <row r="907" ht="12.75">
      <c r="E907" s="190"/>
    </row>
    <row r="908" ht="12.75">
      <c r="E908" s="190"/>
    </row>
    <row r="909" ht="12.75">
      <c r="E909" s="190"/>
    </row>
    <row r="910" ht="12.75">
      <c r="E910" s="190"/>
    </row>
    <row r="911" ht="12.75">
      <c r="E911" s="190"/>
    </row>
    <row r="912" ht="12.75">
      <c r="E912" s="190"/>
    </row>
    <row r="913" ht="12.75">
      <c r="E913" s="190"/>
    </row>
    <row r="914" ht="12.75">
      <c r="E914" s="190"/>
    </row>
    <row r="915" ht="12.75">
      <c r="E915" s="190"/>
    </row>
    <row r="916" ht="12.75">
      <c r="E916" s="190"/>
    </row>
    <row r="917" ht="12.75">
      <c r="E917" s="190"/>
    </row>
    <row r="918" ht="12.75">
      <c r="E918" s="190"/>
    </row>
    <row r="919" ht="12.75">
      <c r="E919" s="190"/>
    </row>
    <row r="920" ht="12.75">
      <c r="E920" s="190"/>
    </row>
    <row r="921" ht="12.75">
      <c r="E921" s="190"/>
    </row>
    <row r="922" ht="12.75">
      <c r="E922" s="190"/>
    </row>
    <row r="923" ht="12.75">
      <c r="E923" s="190"/>
    </row>
    <row r="924" ht="12.75">
      <c r="E924" s="190"/>
    </row>
    <row r="925" ht="12.75">
      <c r="E925" s="190"/>
    </row>
    <row r="926" ht="12.75">
      <c r="E926" s="190"/>
    </row>
  </sheetData>
  <mergeCells count="10">
    <mergeCell ref="A9:G9"/>
    <mergeCell ref="A7:G7"/>
    <mergeCell ref="A591:D591"/>
    <mergeCell ref="G10:G12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5" bottom="0.2" header="0.11811023622047245" footer="0.2"/>
  <pageSetup fitToHeight="10" fitToWidth="10" horizontalDpi="300" verticalDpi="300" orientation="portrait" paperSize="9" r:id="rId1"/>
  <rowBreaks count="1" manualBreakCount="1">
    <brk id="3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workbookViewId="0" topLeftCell="A23">
      <selection activeCell="F87" sqref="F87"/>
    </sheetView>
  </sheetViews>
  <sheetFormatPr defaultColWidth="9.00390625" defaultRowHeight="12.75"/>
  <cols>
    <col min="1" max="1" width="4.625" style="185" customWidth="1"/>
    <col min="2" max="2" width="6.125" style="185" customWidth="1"/>
    <col min="3" max="3" width="5.00390625" style="185" customWidth="1"/>
    <col min="4" max="4" width="45.00390625" style="185" customWidth="1"/>
    <col min="5" max="5" width="13.00390625" style="185" customWidth="1"/>
    <col min="6" max="6" width="11.00390625" style="185" customWidth="1"/>
    <col min="7" max="7" width="9.75390625" style="185" customWidth="1"/>
    <col min="8" max="16384" width="9.125" style="185" customWidth="1"/>
  </cols>
  <sheetData>
    <row r="1" spans="5:7" ht="12">
      <c r="E1" s="325"/>
      <c r="F1" s="238" t="s">
        <v>251</v>
      </c>
      <c r="G1" s="326"/>
    </row>
    <row r="2" spans="5:7" ht="12">
      <c r="E2" s="325"/>
      <c r="F2" s="238" t="s">
        <v>48</v>
      </c>
      <c r="G2" s="326"/>
    </row>
    <row r="3" spans="5:7" ht="12">
      <c r="E3" s="325"/>
      <c r="F3" s="238" t="s">
        <v>49</v>
      </c>
      <c r="G3" s="326"/>
    </row>
    <row r="4" spans="5:7" ht="12">
      <c r="E4" s="325"/>
      <c r="F4" s="238" t="s">
        <v>663</v>
      </c>
      <c r="G4" s="326"/>
    </row>
    <row r="9" spans="1:7" ht="12.75">
      <c r="A9" s="950" t="s">
        <v>552</v>
      </c>
      <c r="B9" s="950"/>
      <c r="C9" s="950"/>
      <c r="D9" s="950"/>
      <c r="E9" s="950"/>
      <c r="F9" s="950"/>
      <c r="G9" s="950"/>
    </row>
    <row r="10" spans="1:7" ht="12.75">
      <c r="A10" s="950" t="s">
        <v>553</v>
      </c>
      <c r="B10" s="950"/>
      <c r="C10" s="950"/>
      <c r="D10" s="950"/>
      <c r="E10" s="950"/>
      <c r="F10" s="950"/>
      <c r="G10" s="950"/>
    </row>
    <row r="11" spans="1:7" ht="12">
      <c r="A11" s="965"/>
      <c r="B11" s="965"/>
      <c r="C11" s="965"/>
      <c r="D11" s="965"/>
      <c r="E11" s="965"/>
      <c r="F11" s="965"/>
      <c r="G11" s="965"/>
    </row>
    <row r="12" spans="2:6" ht="9.75">
      <c r="B12" s="305"/>
      <c r="C12" s="305"/>
      <c r="D12" s="305"/>
      <c r="E12" s="305"/>
      <c r="F12" s="305"/>
    </row>
    <row r="13" spans="5:7" ht="10.5" thickBot="1">
      <c r="E13" s="327"/>
      <c r="F13" s="327"/>
      <c r="G13" s="327" t="s">
        <v>90</v>
      </c>
    </row>
    <row r="14" spans="1:7" ht="11.25">
      <c r="A14" s="328"/>
      <c r="B14" s="329"/>
      <c r="C14" s="329"/>
      <c r="D14" s="330"/>
      <c r="E14" s="331" t="s">
        <v>252</v>
      </c>
      <c r="F14" s="331"/>
      <c r="G14" s="332" t="s">
        <v>252</v>
      </c>
    </row>
    <row r="15" spans="1:7" ht="11.25">
      <c r="A15" s="333" t="s">
        <v>58</v>
      </c>
      <c r="B15" s="334" t="s">
        <v>46</v>
      </c>
      <c r="C15" s="334" t="s">
        <v>0</v>
      </c>
      <c r="D15" s="334" t="s">
        <v>253</v>
      </c>
      <c r="E15" s="335" t="s">
        <v>254</v>
      </c>
      <c r="F15" s="335" t="s">
        <v>255</v>
      </c>
      <c r="G15" s="70" t="s">
        <v>256</v>
      </c>
    </row>
    <row r="16" spans="1:7" ht="11.25">
      <c r="A16" s="333"/>
      <c r="B16" s="334"/>
      <c r="C16" s="334"/>
      <c r="D16" s="336"/>
      <c r="E16" s="335" t="s">
        <v>257</v>
      </c>
      <c r="F16" s="336"/>
      <c r="G16" s="70" t="s">
        <v>258</v>
      </c>
    </row>
    <row r="17" spans="1:7" ht="12" thickBot="1">
      <c r="A17" s="337"/>
      <c r="B17" s="338"/>
      <c r="C17" s="339"/>
      <c r="D17" s="340"/>
      <c r="E17" s="340" t="s">
        <v>259</v>
      </c>
      <c r="F17" s="340"/>
      <c r="G17" s="341" t="s">
        <v>260</v>
      </c>
    </row>
    <row r="18" spans="1:7" s="345" customFormat="1" ht="10.5" customHeight="1" thickBot="1">
      <c r="A18" s="342">
        <v>1</v>
      </c>
      <c r="B18" s="343">
        <v>2</v>
      </c>
      <c r="C18" s="343">
        <v>3</v>
      </c>
      <c r="D18" s="343">
        <v>4</v>
      </c>
      <c r="E18" s="211">
        <v>5</v>
      </c>
      <c r="F18" s="344">
        <v>6</v>
      </c>
      <c r="G18" s="216">
        <v>7</v>
      </c>
    </row>
    <row r="19" spans="1:7" ht="12.75">
      <c r="A19" s="346"/>
      <c r="B19" s="261"/>
      <c r="C19" s="261"/>
      <c r="D19" s="261"/>
      <c r="E19" s="261"/>
      <c r="F19" s="208"/>
      <c r="G19" s="347"/>
    </row>
    <row r="20" spans="1:7" ht="13.5" thickBot="1">
      <c r="A20" s="346"/>
      <c r="B20" s="261"/>
      <c r="C20" s="261"/>
      <c r="D20" s="348" t="s">
        <v>261</v>
      </c>
      <c r="E20" s="349">
        <f>E23+E29+E37+E56+E97+E120+E102+E83</f>
        <v>3685894</v>
      </c>
      <c r="F20" s="349">
        <f>F23+F29+F37+F56+F97+F120+F102+F83</f>
        <v>3685894</v>
      </c>
      <c r="G20" s="350">
        <f>G32+G23</f>
        <v>238617</v>
      </c>
    </row>
    <row r="21" spans="1:7" ht="12.75">
      <c r="A21" s="346"/>
      <c r="B21" s="261"/>
      <c r="C21" s="261"/>
      <c r="D21" s="351" t="s">
        <v>62</v>
      </c>
      <c r="E21" s="352"/>
      <c r="F21" s="353"/>
      <c r="G21" s="194"/>
    </row>
    <row r="22" spans="1:7" ht="12.75">
      <c r="A22" s="346"/>
      <c r="B22" s="261"/>
      <c r="C22" s="261"/>
      <c r="D22" s="351"/>
      <c r="E22" s="352"/>
      <c r="F22" s="353"/>
      <c r="G22" s="194"/>
    </row>
    <row r="23" spans="1:7" ht="13.5" thickBot="1">
      <c r="A23" s="354" t="s">
        <v>1</v>
      </c>
      <c r="B23" s="355"/>
      <c r="C23" s="355"/>
      <c r="D23" s="356" t="s">
        <v>2</v>
      </c>
      <c r="E23" s="349">
        <f>E24</f>
        <v>44000</v>
      </c>
      <c r="F23" s="349">
        <f>F24</f>
        <v>44000</v>
      </c>
      <c r="G23" s="193">
        <f>G24</f>
        <v>2617</v>
      </c>
    </row>
    <row r="24" spans="1:7" ht="12.75">
      <c r="A24" s="357"/>
      <c r="B24" s="358" t="s">
        <v>3</v>
      </c>
      <c r="C24" s="297"/>
      <c r="D24" s="359" t="s">
        <v>262</v>
      </c>
      <c r="E24" s="306">
        <f>E25</f>
        <v>44000</v>
      </c>
      <c r="F24" s="306">
        <f>SUM(F25:F27)</f>
        <v>44000</v>
      </c>
      <c r="G24" s="360">
        <f>G26</f>
        <v>2617</v>
      </c>
    </row>
    <row r="25" spans="1:7" ht="12.75">
      <c r="A25" s="357"/>
      <c r="B25" s="261"/>
      <c r="C25" s="187" t="s">
        <v>77</v>
      </c>
      <c r="D25" s="209" t="s">
        <v>263</v>
      </c>
      <c r="E25" s="352">
        <f>'Dochody-ukł.wykon.'!G14</f>
        <v>44000</v>
      </c>
      <c r="F25" s="353"/>
      <c r="G25" s="194"/>
    </row>
    <row r="26" spans="1:7" ht="12.75">
      <c r="A26" s="357"/>
      <c r="B26" s="261"/>
      <c r="C26" s="187" t="s">
        <v>401</v>
      </c>
      <c r="D26" s="209" t="s">
        <v>264</v>
      </c>
      <c r="E26" s="352"/>
      <c r="F26" s="353"/>
      <c r="G26" s="194">
        <v>2617</v>
      </c>
    </row>
    <row r="27" spans="1:7" ht="12.75">
      <c r="A27" s="357"/>
      <c r="B27" s="261"/>
      <c r="C27" s="187" t="s">
        <v>181</v>
      </c>
      <c r="D27" s="209" t="s">
        <v>182</v>
      </c>
      <c r="E27" s="352"/>
      <c r="F27" s="353">
        <f>'WYDATKI ukł.wyk.'!G17</f>
        <v>44000</v>
      </c>
      <c r="G27" s="194"/>
    </row>
    <row r="28" spans="1:7" ht="12.75">
      <c r="A28" s="346"/>
      <c r="B28" s="261"/>
      <c r="C28" s="261"/>
      <c r="D28" s="209"/>
      <c r="E28" s="352"/>
      <c r="F28" s="353"/>
      <c r="G28" s="194"/>
    </row>
    <row r="29" spans="1:7" ht="13.5" thickBot="1">
      <c r="A29" s="361">
        <v>700</v>
      </c>
      <c r="B29" s="355"/>
      <c r="C29" s="355"/>
      <c r="D29" s="210" t="s">
        <v>5</v>
      </c>
      <c r="E29" s="349">
        <f>E30</f>
        <v>41000</v>
      </c>
      <c r="F29" s="349">
        <f>F30</f>
        <v>41000</v>
      </c>
      <c r="G29" s="350">
        <f>G30</f>
        <v>236000</v>
      </c>
    </row>
    <row r="30" spans="1:7" ht="12.75">
      <c r="A30" s="346"/>
      <c r="B30" s="295">
        <v>70005</v>
      </c>
      <c r="C30" s="297"/>
      <c r="D30" s="60" t="s">
        <v>7</v>
      </c>
      <c r="E30" s="306">
        <f>E31</f>
        <v>41000</v>
      </c>
      <c r="F30" s="306">
        <f>SUM(F32:F35)</f>
        <v>41000</v>
      </c>
      <c r="G30" s="362">
        <f>G32</f>
        <v>236000</v>
      </c>
    </row>
    <row r="31" spans="1:7" ht="12.75">
      <c r="A31" s="346"/>
      <c r="B31" s="261"/>
      <c r="C31" s="187" t="s">
        <v>77</v>
      </c>
      <c r="D31" s="209" t="s">
        <v>263</v>
      </c>
      <c r="E31" s="352">
        <f>'Dochody-ukł.wykon.'!G55</f>
        <v>41000</v>
      </c>
      <c r="F31" s="353"/>
      <c r="G31" s="194"/>
    </row>
    <row r="32" spans="1:7" ht="12.75">
      <c r="A32" s="346"/>
      <c r="B32" s="261"/>
      <c r="C32" s="187" t="s">
        <v>401</v>
      </c>
      <c r="D32" s="209" t="s">
        <v>264</v>
      </c>
      <c r="E32" s="352"/>
      <c r="F32" s="353"/>
      <c r="G32" s="307">
        <v>236000</v>
      </c>
    </row>
    <row r="33" spans="1:7" ht="12.75">
      <c r="A33" s="346"/>
      <c r="B33" s="261"/>
      <c r="C33" s="187" t="s">
        <v>247</v>
      </c>
      <c r="D33" s="209" t="s">
        <v>192</v>
      </c>
      <c r="E33" s="352"/>
      <c r="F33" s="353">
        <v>16038</v>
      </c>
      <c r="G33" s="307"/>
    </row>
    <row r="34" spans="1:7" ht="12.75">
      <c r="A34" s="346"/>
      <c r="B34" s="261"/>
      <c r="C34" s="187" t="s">
        <v>181</v>
      </c>
      <c r="D34" s="209" t="s">
        <v>182</v>
      </c>
      <c r="E34" s="352"/>
      <c r="F34" s="353">
        <v>21235</v>
      </c>
      <c r="G34" s="307"/>
    </row>
    <row r="35" spans="1:7" ht="12.75">
      <c r="A35" s="346"/>
      <c r="B35" s="261"/>
      <c r="C35" s="187" t="s">
        <v>203</v>
      </c>
      <c r="D35" s="209" t="s">
        <v>197</v>
      </c>
      <c r="E35" s="352"/>
      <c r="F35" s="353">
        <v>3727</v>
      </c>
      <c r="G35" s="307"/>
    </row>
    <row r="36" spans="1:7" ht="12.75">
      <c r="A36" s="346"/>
      <c r="B36" s="261"/>
      <c r="C36" s="187"/>
      <c r="D36" s="209"/>
      <c r="E36" s="352"/>
      <c r="F36" s="353"/>
      <c r="G36" s="194"/>
    </row>
    <row r="37" spans="1:7" ht="13.5" thickBot="1">
      <c r="A37" s="361">
        <v>710</v>
      </c>
      <c r="B37" s="355"/>
      <c r="C37" s="363"/>
      <c r="D37" s="210" t="s">
        <v>9</v>
      </c>
      <c r="E37" s="349">
        <f>E38+E41+E44</f>
        <v>277553</v>
      </c>
      <c r="F37" s="349">
        <f>F38+F41+F44</f>
        <v>277553</v>
      </c>
      <c r="G37" s="347"/>
    </row>
    <row r="38" spans="1:7" ht="12.75">
      <c r="A38" s="346"/>
      <c r="B38" s="295">
        <v>71013</v>
      </c>
      <c r="C38" s="296"/>
      <c r="D38" s="60" t="s">
        <v>66</v>
      </c>
      <c r="E38" s="306">
        <f>E39</f>
        <v>40000</v>
      </c>
      <c r="F38" s="306">
        <f>SUM(F40)</f>
        <v>40000</v>
      </c>
      <c r="G38" s="347"/>
    </row>
    <row r="39" spans="1:7" ht="12.75">
      <c r="A39" s="346"/>
      <c r="B39" s="261"/>
      <c r="C39" s="187" t="s">
        <v>77</v>
      </c>
      <c r="D39" s="209" t="s">
        <v>263</v>
      </c>
      <c r="E39" s="352">
        <f>'Dochody-ukł.wykon.'!G67</f>
        <v>40000</v>
      </c>
      <c r="F39" s="353"/>
      <c r="G39" s="347"/>
    </row>
    <row r="40" spans="1:7" ht="12.75">
      <c r="A40" s="346"/>
      <c r="B40" s="261"/>
      <c r="C40" s="187" t="s">
        <v>181</v>
      </c>
      <c r="D40" s="209" t="s">
        <v>182</v>
      </c>
      <c r="E40" s="352"/>
      <c r="F40" s="353">
        <f>'WYDATKI ukł.wyk.'!G73</f>
        <v>40000</v>
      </c>
      <c r="G40" s="347"/>
    </row>
    <row r="41" spans="1:7" ht="12.75">
      <c r="A41" s="346"/>
      <c r="B41" s="295">
        <v>71014</v>
      </c>
      <c r="C41" s="296"/>
      <c r="D41" s="60" t="s">
        <v>12</v>
      </c>
      <c r="E41" s="306">
        <f>E42</f>
        <v>22000</v>
      </c>
      <c r="F41" s="306">
        <f>SUM(F43)</f>
        <v>22000</v>
      </c>
      <c r="G41" s="347"/>
    </row>
    <row r="42" spans="1:7" ht="12.75">
      <c r="A42" s="346"/>
      <c r="B42" s="261"/>
      <c r="C42" s="187" t="s">
        <v>77</v>
      </c>
      <c r="D42" s="209" t="s">
        <v>263</v>
      </c>
      <c r="E42" s="352">
        <f>'Dochody-ukł.wykon.'!G71</f>
        <v>22000</v>
      </c>
      <c r="F42" s="353"/>
      <c r="G42" s="347"/>
    </row>
    <row r="43" spans="1:7" ht="12.75">
      <c r="A43" s="346"/>
      <c r="B43" s="261"/>
      <c r="C43" s="187" t="s">
        <v>181</v>
      </c>
      <c r="D43" s="209" t="s">
        <v>182</v>
      </c>
      <c r="E43" s="352"/>
      <c r="F43" s="353">
        <f>'WYDATKI ukł.wyk.'!G76</f>
        <v>22000</v>
      </c>
      <c r="G43" s="347"/>
    </row>
    <row r="44" spans="1:7" ht="12.75">
      <c r="A44" s="346"/>
      <c r="B44" s="295">
        <v>71015</v>
      </c>
      <c r="C44" s="297"/>
      <c r="D44" s="60" t="s">
        <v>14</v>
      </c>
      <c r="E44" s="306">
        <f>SUM(E45:E45)</f>
        <v>215553</v>
      </c>
      <c r="F44" s="306">
        <f>SUM(F46:F54)</f>
        <v>215553</v>
      </c>
      <c r="G44" s="347"/>
    </row>
    <row r="45" spans="1:7" ht="12.75">
      <c r="A45" s="346"/>
      <c r="B45" s="261"/>
      <c r="C45" s="364">
        <v>2110</v>
      </c>
      <c r="D45" s="209" t="s">
        <v>263</v>
      </c>
      <c r="E45" s="352">
        <f>'Dochody-ukł.wykon.'!G75</f>
        <v>215553</v>
      </c>
      <c r="F45" s="353"/>
      <c r="G45" s="347"/>
    </row>
    <row r="46" spans="1:7" ht="12.75">
      <c r="A46" s="346"/>
      <c r="B46" s="261"/>
      <c r="C46" s="208">
        <v>4010</v>
      </c>
      <c r="D46" s="186" t="s">
        <v>186</v>
      </c>
      <c r="E46" s="352"/>
      <c r="F46" s="353">
        <f>'WYDATKI ukł.wyk.'!G79</f>
        <v>129836</v>
      </c>
      <c r="G46" s="347"/>
    </row>
    <row r="47" spans="1:7" ht="12.75">
      <c r="A47" s="346"/>
      <c r="B47" s="261"/>
      <c r="C47" s="208">
        <v>4040</v>
      </c>
      <c r="D47" s="186" t="s">
        <v>187</v>
      </c>
      <c r="E47" s="352"/>
      <c r="F47" s="353">
        <f>'WYDATKI ukł.wyk.'!G80</f>
        <v>8254</v>
      </c>
      <c r="G47" s="347"/>
    </row>
    <row r="48" spans="1:7" ht="12.75">
      <c r="A48" s="346"/>
      <c r="B48" s="261"/>
      <c r="C48" s="208">
        <v>4110</v>
      </c>
      <c r="D48" s="186" t="s">
        <v>188</v>
      </c>
      <c r="E48" s="352"/>
      <c r="F48" s="353">
        <f>'WYDATKI ukł.wyk.'!G81</f>
        <v>23818</v>
      </c>
      <c r="G48" s="347"/>
    </row>
    <row r="49" spans="1:7" ht="12.75">
      <c r="A49" s="346"/>
      <c r="B49" s="261"/>
      <c r="C49" s="208">
        <v>4120</v>
      </c>
      <c r="D49" s="186" t="s">
        <v>265</v>
      </c>
      <c r="E49" s="352"/>
      <c r="F49" s="353">
        <f>'WYDATKI ukł.wyk.'!G82</f>
        <v>3225</v>
      </c>
      <c r="G49" s="347"/>
    </row>
    <row r="50" spans="1:7" ht="12.75">
      <c r="A50" s="346"/>
      <c r="B50" s="261"/>
      <c r="C50" s="208">
        <v>4170</v>
      </c>
      <c r="D50" s="186" t="s">
        <v>466</v>
      </c>
      <c r="E50" s="352"/>
      <c r="F50" s="353">
        <f>'WYDATKI ukł.wyk.'!G83</f>
        <v>1500</v>
      </c>
      <c r="G50" s="347"/>
    </row>
    <row r="51" spans="1:7" ht="12.75">
      <c r="A51" s="346"/>
      <c r="B51" s="261"/>
      <c r="C51" s="208">
        <v>4210</v>
      </c>
      <c r="D51" s="186" t="s">
        <v>190</v>
      </c>
      <c r="E51" s="352"/>
      <c r="F51" s="353">
        <f>'WYDATKI ukł.wyk.'!G84</f>
        <v>24670</v>
      </c>
      <c r="G51" s="347"/>
    </row>
    <row r="52" spans="1:7" ht="12.75">
      <c r="A52" s="346"/>
      <c r="B52" s="261"/>
      <c r="C52" s="366" t="s">
        <v>181</v>
      </c>
      <c r="D52" s="186" t="s">
        <v>182</v>
      </c>
      <c r="E52" s="352"/>
      <c r="F52" s="353">
        <f>'WYDATKI ukł.wyk.'!G85</f>
        <v>19021</v>
      </c>
      <c r="G52" s="347"/>
    </row>
    <row r="53" spans="1:7" ht="12.75">
      <c r="A53" s="346"/>
      <c r="B53" s="261"/>
      <c r="C53" s="366" t="s">
        <v>473</v>
      </c>
      <c r="D53" s="186" t="s">
        <v>195</v>
      </c>
      <c r="E53" s="352"/>
      <c r="F53" s="353">
        <f>'WYDATKI ukł.wyk.'!G86</f>
        <v>1981</v>
      </c>
      <c r="G53" s="347"/>
    </row>
    <row r="54" spans="1:7" ht="12.75">
      <c r="A54" s="346"/>
      <c r="B54" s="261"/>
      <c r="C54" s="366" t="s">
        <v>267</v>
      </c>
      <c r="D54" s="186" t="s">
        <v>268</v>
      </c>
      <c r="E54" s="352"/>
      <c r="F54" s="353">
        <f>'WYDATKI ukł.wyk.'!G87</f>
        <v>3248</v>
      </c>
      <c r="G54" s="347"/>
    </row>
    <row r="55" spans="1:7" ht="12.75">
      <c r="A55" s="357"/>
      <c r="B55" s="368"/>
      <c r="C55" s="261"/>
      <c r="D55" s="209"/>
      <c r="E55" s="352"/>
      <c r="F55" s="353"/>
      <c r="G55" s="347"/>
    </row>
    <row r="56" spans="1:7" ht="13.5" thickBot="1">
      <c r="A56" s="361">
        <v>750</v>
      </c>
      <c r="B56" s="355"/>
      <c r="C56" s="355"/>
      <c r="D56" s="210" t="s">
        <v>15</v>
      </c>
      <c r="E56" s="349">
        <f>E57+E72</f>
        <v>170420</v>
      </c>
      <c r="F56" s="349">
        <f>F57+F72</f>
        <v>170420</v>
      </c>
      <c r="G56" s="347"/>
    </row>
    <row r="57" spans="1:7" ht="12.75">
      <c r="A57" s="346"/>
      <c r="B57" s="295">
        <v>75011</v>
      </c>
      <c r="C57" s="297"/>
      <c r="D57" s="60" t="s">
        <v>16</v>
      </c>
      <c r="E57" s="306">
        <f>E58</f>
        <v>154421</v>
      </c>
      <c r="F57" s="306">
        <f>SUM(F59:F71)</f>
        <v>154421</v>
      </c>
      <c r="G57" s="347"/>
    </row>
    <row r="58" spans="1:7" ht="12.75">
      <c r="A58" s="346"/>
      <c r="B58" s="261"/>
      <c r="C58" s="261">
        <v>2110</v>
      </c>
      <c r="D58" s="209" t="s">
        <v>263</v>
      </c>
      <c r="E58" s="352">
        <f>'Dochody-ukł.wykon.'!G80</f>
        <v>154421</v>
      </c>
      <c r="F58" s="353"/>
      <c r="G58" s="347"/>
    </row>
    <row r="59" spans="1:7" ht="12.75">
      <c r="A59" s="346"/>
      <c r="B59" s="261"/>
      <c r="C59" s="208">
        <v>3020</v>
      </c>
      <c r="D59" s="188" t="s">
        <v>232</v>
      </c>
      <c r="E59" s="369"/>
      <c r="F59" s="353">
        <v>362</v>
      </c>
      <c r="G59" s="347"/>
    </row>
    <row r="60" spans="1:7" ht="12.75">
      <c r="A60" s="346"/>
      <c r="B60" s="261"/>
      <c r="C60" s="208">
        <v>4010</v>
      </c>
      <c r="D60" s="186" t="s">
        <v>186</v>
      </c>
      <c r="E60" s="352"/>
      <c r="F60" s="353">
        <v>92123</v>
      </c>
      <c r="G60" s="347"/>
    </row>
    <row r="61" spans="1:7" ht="12.75">
      <c r="A61" s="346"/>
      <c r="B61" s="261"/>
      <c r="C61" s="208">
        <v>4040</v>
      </c>
      <c r="D61" s="186" t="s">
        <v>187</v>
      </c>
      <c r="E61" s="352"/>
      <c r="F61" s="353">
        <f>9537-1178+2955</f>
        <v>11314</v>
      </c>
      <c r="G61" s="347"/>
    </row>
    <row r="62" spans="1:7" ht="12.75">
      <c r="A62" s="346"/>
      <c r="B62" s="261"/>
      <c r="C62" s="208">
        <v>4110</v>
      </c>
      <c r="D62" s="186" t="s">
        <v>188</v>
      </c>
      <c r="E62" s="352"/>
      <c r="F62" s="353">
        <v>15843</v>
      </c>
      <c r="G62" s="347"/>
    </row>
    <row r="63" spans="1:7" ht="12.75">
      <c r="A63" s="346"/>
      <c r="B63" s="261"/>
      <c r="C63" s="208">
        <v>4120</v>
      </c>
      <c r="D63" s="186" t="s">
        <v>189</v>
      </c>
      <c r="E63" s="352"/>
      <c r="F63" s="353">
        <v>2503</v>
      </c>
      <c r="G63" s="347"/>
    </row>
    <row r="64" spans="1:7" ht="12.75">
      <c r="A64" s="346"/>
      <c r="B64" s="261"/>
      <c r="C64" s="208">
        <v>4170</v>
      </c>
      <c r="D64" s="186" t="s">
        <v>466</v>
      </c>
      <c r="E64" s="352"/>
      <c r="F64" s="353">
        <f>11000-11000</f>
        <v>0</v>
      </c>
      <c r="G64" s="347"/>
    </row>
    <row r="65" spans="1:7" ht="12.75">
      <c r="A65" s="346"/>
      <c r="B65" s="261"/>
      <c r="C65" s="208">
        <v>4210</v>
      </c>
      <c r="D65" s="186" t="s">
        <v>190</v>
      </c>
      <c r="E65" s="352"/>
      <c r="F65" s="353">
        <v>3863</v>
      </c>
      <c r="G65" s="347"/>
    </row>
    <row r="66" spans="1:7" ht="12.75">
      <c r="A66" s="346"/>
      <c r="B66" s="261"/>
      <c r="C66" s="208">
        <v>4260</v>
      </c>
      <c r="D66" s="186" t="s">
        <v>191</v>
      </c>
      <c r="E66" s="352"/>
      <c r="F66" s="353">
        <v>5226</v>
      </c>
      <c r="G66" s="347"/>
    </row>
    <row r="67" spans="1:7" ht="12.75">
      <c r="A67" s="346"/>
      <c r="B67" s="261"/>
      <c r="C67" s="208">
        <v>4270</v>
      </c>
      <c r="D67" s="186" t="s">
        <v>192</v>
      </c>
      <c r="E67" s="352"/>
      <c r="F67" s="353">
        <v>0</v>
      </c>
      <c r="G67" s="347"/>
    </row>
    <row r="68" spans="1:7" ht="12.75">
      <c r="A68" s="346"/>
      <c r="B68" s="261"/>
      <c r="C68" s="208">
        <v>4280</v>
      </c>
      <c r="D68" s="186" t="s">
        <v>193</v>
      </c>
      <c r="E68" s="352"/>
      <c r="F68" s="353">
        <v>146</v>
      </c>
      <c r="G68" s="347"/>
    </row>
    <row r="69" spans="1:7" ht="12.75">
      <c r="A69" s="346"/>
      <c r="B69" s="261"/>
      <c r="C69" s="366" t="s">
        <v>181</v>
      </c>
      <c r="D69" s="186" t="s">
        <v>182</v>
      </c>
      <c r="E69" s="352"/>
      <c r="F69" s="353">
        <v>17634</v>
      </c>
      <c r="G69" s="347"/>
    </row>
    <row r="70" spans="1:7" ht="12.75">
      <c r="A70" s="346"/>
      <c r="B70" s="261"/>
      <c r="C70" s="366" t="s">
        <v>266</v>
      </c>
      <c r="D70" s="186" t="s">
        <v>194</v>
      </c>
      <c r="E70" s="352"/>
      <c r="F70" s="353">
        <v>458</v>
      </c>
      <c r="G70" s="347"/>
    </row>
    <row r="71" spans="1:7" ht="12.75">
      <c r="A71" s="346"/>
      <c r="B71" s="261"/>
      <c r="C71" s="366" t="s">
        <v>267</v>
      </c>
      <c r="D71" s="186" t="s">
        <v>268</v>
      </c>
      <c r="E71" s="352"/>
      <c r="F71" s="353">
        <v>4949</v>
      </c>
      <c r="G71" s="347"/>
    </row>
    <row r="72" spans="1:7" ht="12.75">
      <c r="A72" s="346"/>
      <c r="B72" s="295">
        <v>75045</v>
      </c>
      <c r="C72" s="297"/>
      <c r="D72" s="60" t="s">
        <v>17</v>
      </c>
      <c r="E72" s="306">
        <f>E73</f>
        <v>15999</v>
      </c>
      <c r="F72" s="306">
        <f>SUM(F74:F80)</f>
        <v>15999</v>
      </c>
      <c r="G72" s="347"/>
    </row>
    <row r="73" spans="1:7" ht="12.75">
      <c r="A73" s="346"/>
      <c r="B73" s="261"/>
      <c r="C73" s="261">
        <v>2110</v>
      </c>
      <c r="D73" s="209" t="s">
        <v>263</v>
      </c>
      <c r="E73" s="352">
        <f>'Dochody-ukł.wykon.'!G93</f>
        <v>15999</v>
      </c>
      <c r="F73" s="353"/>
      <c r="G73" s="347"/>
    </row>
    <row r="74" spans="1:7" ht="12.75">
      <c r="A74" s="346"/>
      <c r="B74" s="261"/>
      <c r="C74" s="366" t="s">
        <v>269</v>
      </c>
      <c r="D74" s="186" t="s">
        <v>208</v>
      </c>
      <c r="E74" s="352"/>
      <c r="F74" s="353">
        <f>'WYDATKI ukł.wyk.'!G138</f>
        <v>1330</v>
      </c>
      <c r="G74" s="347"/>
    </row>
    <row r="75" spans="1:7" ht="12.75">
      <c r="A75" s="346"/>
      <c r="B75" s="261"/>
      <c r="C75" s="208">
        <v>4110</v>
      </c>
      <c r="D75" s="186" t="s">
        <v>188</v>
      </c>
      <c r="E75" s="352"/>
      <c r="F75" s="353">
        <f>'WYDATKI ukł.wyk.'!G139</f>
        <v>885</v>
      </c>
      <c r="G75" s="347"/>
    </row>
    <row r="76" spans="1:7" ht="12.75">
      <c r="A76" s="346"/>
      <c r="B76" s="261"/>
      <c r="C76" s="208">
        <v>4120</v>
      </c>
      <c r="D76" s="186" t="s">
        <v>265</v>
      </c>
      <c r="E76" s="352"/>
      <c r="F76" s="353">
        <f>'WYDATKI ukł.wyk.'!G140</f>
        <v>126</v>
      </c>
      <c r="G76" s="347"/>
    </row>
    <row r="77" spans="1:7" ht="12.75">
      <c r="A77" s="346"/>
      <c r="B77" s="261"/>
      <c r="C77" s="208">
        <v>4170</v>
      </c>
      <c r="D77" s="186" t="s">
        <v>466</v>
      </c>
      <c r="E77" s="352"/>
      <c r="F77" s="353">
        <f>'WYDATKI ukł.wyk.'!G141</f>
        <v>6800</v>
      </c>
      <c r="G77" s="347"/>
    </row>
    <row r="78" spans="1:7" ht="12.75">
      <c r="A78" s="346"/>
      <c r="B78" s="261"/>
      <c r="C78" s="208">
        <v>4210</v>
      </c>
      <c r="D78" s="186" t="s">
        <v>190</v>
      </c>
      <c r="E78" s="352"/>
      <c r="F78" s="353">
        <f>'WYDATKI ukł.wyk.'!G142</f>
        <v>4340</v>
      </c>
      <c r="G78" s="347"/>
    </row>
    <row r="79" spans="1:7" ht="12.75">
      <c r="A79" s="346"/>
      <c r="B79" s="261"/>
      <c r="C79" s="367" t="s">
        <v>181</v>
      </c>
      <c r="D79" s="209" t="s">
        <v>182</v>
      </c>
      <c r="E79" s="352"/>
      <c r="F79" s="353">
        <f>'WYDATKI ukł.wyk.'!G143</f>
        <v>2518</v>
      </c>
      <c r="G79" s="347"/>
    </row>
    <row r="80" spans="1:7" ht="12.75">
      <c r="A80" s="346"/>
      <c r="B80" s="261"/>
      <c r="C80" s="367" t="s">
        <v>266</v>
      </c>
      <c r="D80" s="209" t="s">
        <v>194</v>
      </c>
      <c r="E80" s="352"/>
      <c r="F80" s="353">
        <f>'WYDATKI ukł.wyk.'!G144</f>
        <v>0</v>
      </c>
      <c r="G80" s="347"/>
    </row>
    <row r="81" spans="1:7" ht="12.75">
      <c r="A81" s="346"/>
      <c r="B81" s="261"/>
      <c r="C81" s="367"/>
      <c r="D81" s="209"/>
      <c r="E81" s="352"/>
      <c r="F81" s="353"/>
      <c r="G81" s="347"/>
    </row>
    <row r="82" spans="1:7" ht="12.75">
      <c r="A82" s="346"/>
      <c r="B82" s="261"/>
      <c r="C82" s="187"/>
      <c r="D82" s="824" t="s">
        <v>812</v>
      </c>
      <c r="E82" s="352"/>
      <c r="F82" s="353"/>
      <c r="G82" s="347"/>
    </row>
    <row r="83" spans="1:7" ht="13.5" thickBot="1">
      <c r="A83" s="361">
        <v>751</v>
      </c>
      <c r="B83" s="355"/>
      <c r="C83" s="363"/>
      <c r="D83" s="210" t="s">
        <v>799</v>
      </c>
      <c r="E83" s="349">
        <f>E86</f>
        <v>18109</v>
      </c>
      <c r="F83" s="370">
        <f>F86</f>
        <v>18109</v>
      </c>
      <c r="G83" s="347"/>
    </row>
    <row r="84" spans="1:7" ht="12.75">
      <c r="A84" s="346"/>
      <c r="B84" s="261">
        <v>75109</v>
      </c>
      <c r="C84" s="187"/>
      <c r="D84" s="209" t="s">
        <v>800</v>
      </c>
      <c r="E84" s="352"/>
      <c r="F84" s="353"/>
      <c r="G84" s="347"/>
    </row>
    <row r="85" spans="1:7" ht="12.75">
      <c r="A85" s="346"/>
      <c r="B85" s="261"/>
      <c r="C85" s="187"/>
      <c r="D85" s="209" t="s">
        <v>804</v>
      </c>
      <c r="E85" s="352"/>
      <c r="F85" s="353"/>
      <c r="G85" s="347"/>
    </row>
    <row r="86" spans="1:7" ht="13.5" thickBot="1">
      <c r="A86" s="346"/>
      <c r="B86" s="825"/>
      <c r="C86" s="826"/>
      <c r="D86" s="462" t="s">
        <v>802</v>
      </c>
      <c r="E86" s="379">
        <f>E87</f>
        <v>18109</v>
      </c>
      <c r="F86" s="816">
        <f>SUM(F89:F95)</f>
        <v>18109</v>
      </c>
      <c r="G86" s="347"/>
    </row>
    <row r="87" spans="1:7" ht="12.75">
      <c r="A87" s="346"/>
      <c r="B87" s="261"/>
      <c r="C87" s="187" t="s">
        <v>77</v>
      </c>
      <c r="D87" s="827" t="s">
        <v>686</v>
      </c>
      <c r="E87" s="352">
        <f>'Dochody-ukł.wykon.'!G104</f>
        <v>18109</v>
      </c>
      <c r="F87" s="353"/>
      <c r="G87" s="347"/>
    </row>
    <row r="88" spans="1:7" ht="12.75">
      <c r="A88" s="346"/>
      <c r="B88" s="261"/>
      <c r="C88" s="187"/>
      <c r="D88" s="186" t="s">
        <v>803</v>
      </c>
      <c r="E88" s="352"/>
      <c r="F88" s="353"/>
      <c r="G88" s="347"/>
    </row>
    <row r="89" spans="1:7" ht="12.75">
      <c r="A89" s="346"/>
      <c r="B89" s="261"/>
      <c r="C89" s="261">
        <v>3030</v>
      </c>
      <c r="D89" s="186" t="s">
        <v>208</v>
      </c>
      <c r="E89" s="352"/>
      <c r="F89" s="353">
        <f>'WYDATKI ukł.wyk.'!G158</f>
        <v>1470</v>
      </c>
      <c r="G89" s="347"/>
    </row>
    <row r="90" spans="1:7" ht="12.75">
      <c r="A90" s="346"/>
      <c r="B90" s="261"/>
      <c r="C90" s="261">
        <v>4110</v>
      </c>
      <c r="D90" s="186" t="s">
        <v>188</v>
      </c>
      <c r="E90" s="352"/>
      <c r="F90" s="353">
        <f>'WYDATKI ukł.wyk.'!G159</f>
        <v>1350</v>
      </c>
      <c r="G90" s="347"/>
    </row>
    <row r="91" spans="1:7" ht="12.75">
      <c r="A91" s="346"/>
      <c r="B91" s="261"/>
      <c r="C91" s="261">
        <v>4120</v>
      </c>
      <c r="D91" s="186" t="s">
        <v>189</v>
      </c>
      <c r="E91" s="352"/>
      <c r="F91" s="353">
        <f>'WYDATKI ukł.wyk.'!G160</f>
        <v>192</v>
      </c>
      <c r="G91" s="347"/>
    </row>
    <row r="92" spans="1:7" ht="12.75">
      <c r="A92" s="346"/>
      <c r="B92" s="261"/>
      <c r="C92" s="261">
        <v>4170</v>
      </c>
      <c r="D92" s="186" t="s">
        <v>466</v>
      </c>
      <c r="E92" s="352"/>
      <c r="F92" s="353">
        <f>'WYDATKI ukł.wyk.'!G161</f>
        <v>7821</v>
      </c>
      <c r="G92" s="347"/>
    </row>
    <row r="93" spans="1:7" ht="12.75">
      <c r="A93" s="346"/>
      <c r="B93" s="261"/>
      <c r="C93" s="261">
        <v>4210</v>
      </c>
      <c r="D93" s="186" t="s">
        <v>190</v>
      </c>
      <c r="E93" s="352"/>
      <c r="F93" s="353">
        <f>'WYDATKI ukł.wyk.'!G162</f>
        <v>4404</v>
      </c>
      <c r="G93" s="347"/>
    </row>
    <row r="94" spans="1:7" ht="12.75">
      <c r="A94" s="346"/>
      <c r="B94" s="261"/>
      <c r="C94" s="261">
        <v>4300</v>
      </c>
      <c r="D94" s="186" t="s">
        <v>182</v>
      </c>
      <c r="E94" s="352"/>
      <c r="F94" s="353">
        <f>'WYDATKI ukł.wyk.'!G163</f>
        <v>1667</v>
      </c>
      <c r="G94" s="347"/>
    </row>
    <row r="95" spans="1:7" ht="12.75">
      <c r="A95" s="346"/>
      <c r="B95" s="261"/>
      <c r="C95" s="261">
        <v>4410</v>
      </c>
      <c r="D95" s="204" t="s">
        <v>194</v>
      </c>
      <c r="E95" s="352"/>
      <c r="F95" s="353">
        <f>'WYDATKI ukł.wyk.'!G164</f>
        <v>1205</v>
      </c>
      <c r="G95" s="347"/>
    </row>
    <row r="96" spans="1:7" ht="12.75">
      <c r="A96" s="410"/>
      <c r="B96" s="264"/>
      <c r="C96" s="264"/>
      <c r="D96" s="204"/>
      <c r="E96" s="352"/>
      <c r="F96" s="353"/>
      <c r="G96" s="347"/>
    </row>
    <row r="97" spans="1:7" ht="13.5" thickBot="1">
      <c r="A97" s="361">
        <v>851</v>
      </c>
      <c r="B97" s="348"/>
      <c r="C97" s="355"/>
      <c r="D97" s="207" t="s">
        <v>18</v>
      </c>
      <c r="E97" s="370">
        <f>E98</f>
        <v>2606692</v>
      </c>
      <c r="F97" s="349">
        <f>F98</f>
        <v>2606692</v>
      </c>
      <c r="G97" s="347"/>
    </row>
    <row r="98" spans="1:7" ht="12.75">
      <c r="A98" s="346"/>
      <c r="B98" s="295">
        <v>85156</v>
      </c>
      <c r="C98" s="297"/>
      <c r="D98" s="48" t="s">
        <v>270</v>
      </c>
      <c r="E98" s="306">
        <f>E99</f>
        <v>2606692</v>
      </c>
      <c r="F98" s="306">
        <f>SUM(F100)</f>
        <v>2606692</v>
      </c>
      <c r="G98" s="347"/>
    </row>
    <row r="99" spans="1:7" ht="12.75">
      <c r="A99" s="346"/>
      <c r="B99" s="365"/>
      <c r="C99" s="261">
        <v>2110</v>
      </c>
      <c r="D99" s="209" t="s">
        <v>263</v>
      </c>
      <c r="E99" s="352">
        <f>'Dochody-ukł.wykon.'!G180</f>
        <v>2606692</v>
      </c>
      <c r="F99" s="353"/>
      <c r="G99" s="347"/>
    </row>
    <row r="100" spans="1:7" ht="12.75">
      <c r="A100" s="346"/>
      <c r="B100" s="261"/>
      <c r="C100" s="261">
        <v>4130</v>
      </c>
      <c r="D100" s="209" t="s">
        <v>221</v>
      </c>
      <c r="E100" s="352"/>
      <c r="F100" s="353">
        <f>'WYDATKI ukł.wyk.'!G313</f>
        <v>2606692</v>
      </c>
      <c r="G100" s="347"/>
    </row>
    <row r="101" spans="1:7" ht="12.75">
      <c r="A101" s="346"/>
      <c r="B101" s="261"/>
      <c r="C101" s="261"/>
      <c r="D101" s="209"/>
      <c r="E101" s="352"/>
      <c r="F101" s="353"/>
      <c r="G101" s="347"/>
    </row>
    <row r="102" spans="1:7" ht="13.5" thickBot="1">
      <c r="A102" s="361">
        <v>852</v>
      </c>
      <c r="B102" s="355"/>
      <c r="C102" s="355"/>
      <c r="D102" s="210" t="s">
        <v>245</v>
      </c>
      <c r="E102" s="370">
        <f>E103</f>
        <v>239250</v>
      </c>
      <c r="F102" s="370">
        <f>F103</f>
        <v>239250</v>
      </c>
      <c r="G102" s="347"/>
    </row>
    <row r="103" spans="1:7" ht="12.75">
      <c r="A103" s="346"/>
      <c r="B103" s="371">
        <v>85203</v>
      </c>
      <c r="C103" s="373"/>
      <c r="D103" s="374" t="s">
        <v>422</v>
      </c>
      <c r="E103" s="372">
        <f>E104</f>
        <v>239250</v>
      </c>
      <c r="F103" s="372">
        <f>SUM(F105:F118)</f>
        <v>239250</v>
      </c>
      <c r="G103" s="347"/>
    </row>
    <row r="104" spans="1:7" ht="12.75">
      <c r="A104" s="346"/>
      <c r="B104" s="261"/>
      <c r="C104" s="261">
        <v>2110</v>
      </c>
      <c r="D104" s="186" t="s">
        <v>263</v>
      </c>
      <c r="E104" s="352">
        <f>'Dochody-ukł.wykon.'!G204</f>
        <v>239250</v>
      </c>
      <c r="F104" s="353"/>
      <c r="G104" s="347"/>
    </row>
    <row r="105" spans="1:7" ht="12.75">
      <c r="A105" s="346"/>
      <c r="B105" s="261"/>
      <c r="C105" s="261">
        <v>4010</v>
      </c>
      <c r="D105" s="186" t="s">
        <v>186</v>
      </c>
      <c r="E105" s="352"/>
      <c r="F105" s="353">
        <v>93820</v>
      </c>
      <c r="G105" s="347"/>
    </row>
    <row r="106" spans="1:7" ht="12.75">
      <c r="A106" s="346"/>
      <c r="B106" s="261"/>
      <c r="C106" s="261">
        <v>4040</v>
      </c>
      <c r="D106" s="186" t="s">
        <v>531</v>
      </c>
      <c r="E106" s="352"/>
      <c r="F106" s="353">
        <v>5318</v>
      </c>
      <c r="G106" s="347"/>
    </row>
    <row r="107" spans="1:7" ht="12.75">
      <c r="A107" s="346"/>
      <c r="B107" s="261"/>
      <c r="C107" s="261">
        <v>4110</v>
      </c>
      <c r="D107" s="186" t="s">
        <v>188</v>
      </c>
      <c r="E107" s="352"/>
      <c r="F107" s="353">
        <v>17156</v>
      </c>
      <c r="G107" s="347"/>
    </row>
    <row r="108" spans="1:7" ht="12.75">
      <c r="A108" s="346"/>
      <c r="B108" s="261"/>
      <c r="C108" s="261">
        <v>4120</v>
      </c>
      <c r="D108" s="186" t="s">
        <v>189</v>
      </c>
      <c r="E108" s="352"/>
      <c r="F108" s="353">
        <v>2399</v>
      </c>
      <c r="G108" s="347"/>
    </row>
    <row r="109" spans="1:7" ht="12.75">
      <c r="A109" s="346"/>
      <c r="B109" s="261"/>
      <c r="C109" s="261">
        <v>4210</v>
      </c>
      <c r="D109" s="186" t="s">
        <v>190</v>
      </c>
      <c r="E109" s="352"/>
      <c r="F109" s="353">
        <v>87703</v>
      </c>
      <c r="G109" s="347"/>
    </row>
    <row r="110" spans="1:7" ht="12.75">
      <c r="A110" s="346"/>
      <c r="B110" s="261"/>
      <c r="C110" s="261">
        <v>4220</v>
      </c>
      <c r="D110" s="186" t="s">
        <v>223</v>
      </c>
      <c r="E110" s="352"/>
      <c r="F110" s="353">
        <v>16060</v>
      </c>
      <c r="G110" s="347"/>
    </row>
    <row r="111" spans="1:7" ht="12.75">
      <c r="A111" s="346"/>
      <c r="B111" s="261"/>
      <c r="C111" s="261">
        <v>4230</v>
      </c>
      <c r="D111" s="186" t="s">
        <v>534</v>
      </c>
      <c r="E111" s="352"/>
      <c r="F111" s="353">
        <v>237</v>
      </c>
      <c r="G111" s="347"/>
    </row>
    <row r="112" spans="1:7" ht="12.75">
      <c r="A112" s="346"/>
      <c r="B112" s="261"/>
      <c r="C112" s="261">
        <v>4260</v>
      </c>
      <c r="D112" s="186" t="s">
        <v>191</v>
      </c>
      <c r="E112" s="352"/>
      <c r="F112" s="353">
        <v>2145</v>
      </c>
      <c r="G112" s="347"/>
    </row>
    <row r="113" spans="1:7" ht="12.75">
      <c r="A113" s="346"/>
      <c r="B113" s="261"/>
      <c r="C113" s="261">
        <v>4270</v>
      </c>
      <c r="D113" s="186" t="s">
        <v>192</v>
      </c>
      <c r="E113" s="352"/>
      <c r="F113" s="353">
        <v>1500</v>
      </c>
      <c r="G113" s="347"/>
    </row>
    <row r="114" spans="1:7" ht="12.75">
      <c r="A114" s="346"/>
      <c r="B114" s="261"/>
      <c r="C114" s="261">
        <v>4280</v>
      </c>
      <c r="D114" s="186" t="s">
        <v>193</v>
      </c>
      <c r="E114" s="352"/>
      <c r="F114" s="353">
        <v>222</v>
      </c>
      <c r="G114" s="347"/>
    </row>
    <row r="115" spans="1:7" ht="12.75">
      <c r="A115" s="346"/>
      <c r="B115" s="261"/>
      <c r="C115" s="261">
        <v>4300</v>
      </c>
      <c r="D115" s="186" t="s">
        <v>182</v>
      </c>
      <c r="E115" s="352"/>
      <c r="F115" s="353">
        <v>5143</v>
      </c>
      <c r="G115" s="347"/>
    </row>
    <row r="116" spans="1:7" ht="12.75">
      <c r="A116" s="346"/>
      <c r="B116" s="261"/>
      <c r="C116" s="261">
        <v>4410</v>
      </c>
      <c r="D116" s="186" t="s">
        <v>194</v>
      </c>
      <c r="E116" s="352"/>
      <c r="F116" s="353">
        <v>435</v>
      </c>
      <c r="G116" s="347"/>
    </row>
    <row r="117" spans="1:7" ht="12.75">
      <c r="A117" s="346"/>
      <c r="B117" s="261"/>
      <c r="C117" s="261">
        <v>4430</v>
      </c>
      <c r="D117" s="186" t="s">
        <v>195</v>
      </c>
      <c r="E117" s="352"/>
      <c r="F117" s="353">
        <v>1979</v>
      </c>
      <c r="G117" s="347"/>
    </row>
    <row r="118" spans="1:7" ht="12.75">
      <c r="A118" s="346"/>
      <c r="B118" s="261"/>
      <c r="C118" s="261">
        <v>4440</v>
      </c>
      <c r="D118" s="186" t="s">
        <v>196</v>
      </c>
      <c r="E118" s="352"/>
      <c r="F118" s="353">
        <v>5133</v>
      </c>
      <c r="G118" s="347"/>
    </row>
    <row r="119" spans="1:7" ht="12.75">
      <c r="A119" s="346"/>
      <c r="B119" s="261"/>
      <c r="C119" s="187"/>
      <c r="D119" s="186"/>
      <c r="E119" s="352"/>
      <c r="F119" s="353"/>
      <c r="G119" s="347"/>
    </row>
    <row r="120" spans="1:7" ht="13.5" thickBot="1">
      <c r="A120" s="361">
        <v>853</v>
      </c>
      <c r="B120" s="355"/>
      <c r="C120" s="355"/>
      <c r="D120" s="210" t="s">
        <v>241</v>
      </c>
      <c r="E120" s="349">
        <f>E121+E136</f>
        <v>288870</v>
      </c>
      <c r="F120" s="349">
        <f>F121+F136</f>
        <v>288870</v>
      </c>
      <c r="G120" s="347"/>
    </row>
    <row r="121" spans="1:7" ht="12.75">
      <c r="A121" s="346"/>
      <c r="B121" s="295">
        <v>85321</v>
      </c>
      <c r="C121" s="297"/>
      <c r="D121" s="60" t="s">
        <v>519</v>
      </c>
      <c r="E121" s="306">
        <f>E122</f>
        <v>283125</v>
      </c>
      <c r="F121" s="306">
        <f>SUM(F123:F134)</f>
        <v>283125</v>
      </c>
      <c r="G121" s="347"/>
    </row>
    <row r="122" spans="1:7" ht="12.75">
      <c r="A122" s="346"/>
      <c r="B122" s="261"/>
      <c r="C122" s="261">
        <v>2110</v>
      </c>
      <c r="D122" s="209" t="s">
        <v>263</v>
      </c>
      <c r="E122" s="352">
        <f>'Dochody-ukł.wykon.'!G238</f>
        <v>283125</v>
      </c>
      <c r="F122" s="353"/>
      <c r="G122" s="347"/>
    </row>
    <row r="123" spans="1:7" ht="12.75">
      <c r="A123" s="346"/>
      <c r="B123" s="261"/>
      <c r="C123" s="208">
        <v>4010</v>
      </c>
      <c r="D123" s="186" t="s">
        <v>186</v>
      </c>
      <c r="E123" s="352"/>
      <c r="F123" s="353">
        <f>'WYDATKI ukł.wyk.'!G425</f>
        <v>61565</v>
      </c>
      <c r="G123" s="347"/>
    </row>
    <row r="124" spans="1:7" ht="12.75">
      <c r="A124" s="346"/>
      <c r="B124" s="261"/>
      <c r="C124" s="208">
        <v>4040</v>
      </c>
      <c r="D124" s="186" t="s">
        <v>187</v>
      </c>
      <c r="E124" s="352"/>
      <c r="F124" s="353">
        <f>'WYDATKI ukł.wyk.'!G426</f>
        <v>4431</v>
      </c>
      <c r="G124" s="347"/>
    </row>
    <row r="125" spans="1:7" ht="12.75">
      <c r="A125" s="346"/>
      <c r="B125" s="261"/>
      <c r="C125" s="208">
        <v>4110</v>
      </c>
      <c r="D125" s="186" t="s">
        <v>188</v>
      </c>
      <c r="E125" s="352"/>
      <c r="F125" s="353">
        <f>'WYDATKI ukł.wyk.'!G427</f>
        <v>11860</v>
      </c>
      <c r="G125" s="347"/>
    </row>
    <row r="126" spans="1:7" ht="12.75">
      <c r="A126" s="346"/>
      <c r="B126" s="261"/>
      <c r="C126" s="208">
        <v>4120</v>
      </c>
      <c r="D126" s="186" t="s">
        <v>265</v>
      </c>
      <c r="E126" s="352"/>
      <c r="F126" s="353">
        <f>'WYDATKI ukł.wyk.'!G428</f>
        <v>1707</v>
      </c>
      <c r="G126" s="347"/>
    </row>
    <row r="127" spans="1:7" ht="12.75">
      <c r="A127" s="346"/>
      <c r="B127" s="261"/>
      <c r="C127" s="208">
        <v>4210</v>
      </c>
      <c r="D127" s="186" t="s">
        <v>190</v>
      </c>
      <c r="E127" s="352"/>
      <c r="F127" s="353">
        <f>'WYDATKI ukł.wyk.'!G429</f>
        <v>26758</v>
      </c>
      <c r="G127" s="347"/>
    </row>
    <row r="128" spans="1:7" ht="12.75">
      <c r="A128" s="346"/>
      <c r="B128" s="261"/>
      <c r="C128" s="208">
        <v>4260</v>
      </c>
      <c r="D128" s="186" t="s">
        <v>191</v>
      </c>
      <c r="E128" s="352"/>
      <c r="F128" s="353">
        <f>'WYDATKI ukł.wyk.'!G430</f>
        <v>10282</v>
      </c>
      <c r="G128" s="347"/>
    </row>
    <row r="129" spans="1:7" ht="12.75">
      <c r="A129" s="346"/>
      <c r="B129" s="261"/>
      <c r="C129" s="208">
        <v>4270</v>
      </c>
      <c r="D129" s="186" t="s">
        <v>192</v>
      </c>
      <c r="E129" s="352"/>
      <c r="F129" s="353">
        <f>'WYDATKI ukł.wyk.'!G431</f>
        <v>5600</v>
      </c>
      <c r="G129" s="347"/>
    </row>
    <row r="130" spans="1:7" ht="12.75">
      <c r="A130" s="346"/>
      <c r="B130" s="261"/>
      <c r="C130" s="208">
        <v>4280</v>
      </c>
      <c r="D130" s="186" t="s">
        <v>193</v>
      </c>
      <c r="E130" s="352"/>
      <c r="F130" s="353">
        <f>'WYDATKI ukł.wyk.'!G432</f>
        <v>60</v>
      </c>
      <c r="G130" s="347"/>
    </row>
    <row r="131" spans="1:7" ht="12.75">
      <c r="A131" s="346"/>
      <c r="B131" s="261"/>
      <c r="C131" s="366" t="s">
        <v>181</v>
      </c>
      <c r="D131" s="186" t="s">
        <v>182</v>
      </c>
      <c r="E131" s="352"/>
      <c r="F131" s="353">
        <f>'WYDATKI ukł.wyk.'!G433</f>
        <v>154376</v>
      </c>
      <c r="G131" s="347"/>
    </row>
    <row r="132" spans="1:7" ht="12.75">
      <c r="A132" s="346"/>
      <c r="B132" s="261"/>
      <c r="C132" s="208">
        <v>4410</v>
      </c>
      <c r="D132" s="186" t="s">
        <v>194</v>
      </c>
      <c r="E132" s="352"/>
      <c r="F132" s="353">
        <f>'WYDATKI ukł.wyk.'!G434</f>
        <v>3145</v>
      </c>
      <c r="G132" s="347"/>
    </row>
    <row r="133" spans="1:7" ht="12.75">
      <c r="A133" s="346"/>
      <c r="B133" s="261"/>
      <c r="C133" s="261">
        <v>4430</v>
      </c>
      <c r="D133" s="186" t="s">
        <v>195</v>
      </c>
      <c r="E133" s="352"/>
      <c r="F133" s="353">
        <f>'WYDATKI ukł.wyk.'!G435</f>
        <v>972</v>
      </c>
      <c r="G133" s="347"/>
    </row>
    <row r="134" spans="1:7" ht="12.75">
      <c r="A134" s="346"/>
      <c r="B134" s="261"/>
      <c r="C134" s="366" t="s">
        <v>267</v>
      </c>
      <c r="D134" s="186" t="s">
        <v>268</v>
      </c>
      <c r="E134" s="352"/>
      <c r="F134" s="353">
        <f>'WYDATKI ukł.wyk.'!G436</f>
        <v>2369</v>
      </c>
      <c r="G134" s="347"/>
    </row>
    <row r="135" spans="1:7" ht="12.75">
      <c r="A135" s="346"/>
      <c r="B135" s="261"/>
      <c r="C135" s="366"/>
      <c r="D135" s="186"/>
      <c r="E135" s="352"/>
      <c r="F135" s="353"/>
      <c r="G135" s="347"/>
    </row>
    <row r="136" spans="1:7" ht="12.75">
      <c r="A136" s="346"/>
      <c r="B136" s="295">
        <v>85334</v>
      </c>
      <c r="C136" s="751"/>
      <c r="D136" s="48" t="s">
        <v>737</v>
      </c>
      <c r="E136" s="752">
        <f>E137</f>
        <v>5745</v>
      </c>
      <c r="F136" s="753">
        <f>F138</f>
        <v>5745</v>
      </c>
      <c r="G136" s="347"/>
    </row>
    <row r="137" spans="1:7" ht="12.75">
      <c r="A137" s="346"/>
      <c r="B137" s="261"/>
      <c r="C137" s="261">
        <v>2110</v>
      </c>
      <c r="D137" s="209" t="s">
        <v>263</v>
      </c>
      <c r="E137" s="352">
        <f>'Dochody-ukł.wykon.'!G253</f>
        <v>5745</v>
      </c>
      <c r="F137" s="353"/>
      <c r="G137" s="347"/>
    </row>
    <row r="138" spans="1:7" ht="12.75">
      <c r="A138" s="346"/>
      <c r="B138" s="261"/>
      <c r="C138" s="366" t="s">
        <v>739</v>
      </c>
      <c r="D138" s="186" t="s">
        <v>222</v>
      </c>
      <c r="E138" s="352"/>
      <c r="F138" s="353">
        <f>'WYDATKI ukł.wyk.'!G461</f>
        <v>5745</v>
      </c>
      <c r="G138" s="347"/>
    </row>
    <row r="139" spans="1:7" ht="13.5" thickBot="1">
      <c r="A139" s="375"/>
      <c r="B139" s="376"/>
      <c r="C139" s="377"/>
      <c r="D139" s="378"/>
      <c r="E139" s="379"/>
      <c r="F139" s="380"/>
      <c r="G139" s="381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21" header="0.11811023622047245" footer="0.11811023622047245"/>
  <pageSetup fitToHeight="2" fitToWidth="2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7"/>
  <sheetViews>
    <sheetView tabSelected="1" view="pageBreakPreview" zoomScaleSheetLayoutView="100" workbookViewId="0" topLeftCell="A100">
      <selection activeCell="B113" sqref="B113"/>
    </sheetView>
  </sheetViews>
  <sheetFormatPr defaultColWidth="9.00390625" defaultRowHeight="12.75"/>
  <cols>
    <col min="1" max="1" width="6.25390625" style="9" customWidth="1"/>
    <col min="2" max="2" width="7.125" style="9" customWidth="1"/>
    <col min="3" max="3" width="6.00390625" style="9" customWidth="1"/>
    <col min="4" max="4" width="49.00390625" style="9" customWidth="1"/>
    <col min="5" max="5" width="13.625" style="9" customWidth="1"/>
    <col min="6" max="6" width="14.00390625" style="9" customWidth="1"/>
    <col min="7" max="16384" width="9.125" style="9" customWidth="1"/>
  </cols>
  <sheetData>
    <row r="1" spans="5:6" ht="12">
      <c r="E1" s="10" t="s">
        <v>271</v>
      </c>
      <c r="F1" s="69"/>
    </row>
    <row r="2" spans="5:6" ht="12">
      <c r="E2" s="10" t="s">
        <v>272</v>
      </c>
      <c r="F2" s="69"/>
    </row>
    <row r="3" spans="4:6" ht="12">
      <c r="D3" s="11"/>
      <c r="E3" s="10" t="s">
        <v>49</v>
      </c>
      <c r="F3" s="69"/>
    </row>
    <row r="4" spans="4:6" ht="12">
      <c r="D4" s="11"/>
      <c r="E4" s="10" t="s">
        <v>661</v>
      </c>
      <c r="F4" s="69"/>
    </row>
    <row r="5" spans="4:6" ht="8.25" customHeight="1">
      <c r="D5" s="11"/>
      <c r="E5" s="10"/>
      <c r="F5" s="10"/>
    </row>
    <row r="6" spans="1:6" ht="12.75">
      <c r="A6" s="950" t="s">
        <v>705</v>
      </c>
      <c r="B6" s="950"/>
      <c r="C6" s="950"/>
      <c r="D6" s="950"/>
      <c r="E6" s="950"/>
      <c r="F6" s="950"/>
    </row>
    <row r="7" spans="1:6" ht="12.75">
      <c r="A7" s="950" t="s">
        <v>706</v>
      </c>
      <c r="B7" s="950"/>
      <c r="C7" s="950"/>
      <c r="D7" s="950"/>
      <c r="E7" s="950"/>
      <c r="F7" s="950"/>
    </row>
    <row r="8" spans="1:6" ht="8.25" customHeight="1" thickBot="1">
      <c r="A8" s="11"/>
      <c r="B8" s="11"/>
      <c r="C8" s="11"/>
      <c r="D8" s="11"/>
      <c r="E8" s="11"/>
      <c r="F8" s="37" t="s">
        <v>273</v>
      </c>
    </row>
    <row r="9" spans="1:6" ht="12.75" customHeight="1">
      <c r="A9" s="969" t="s">
        <v>298</v>
      </c>
      <c r="B9" s="970"/>
      <c r="C9" s="971"/>
      <c r="D9" s="945" t="s">
        <v>91</v>
      </c>
      <c r="E9" s="945" t="s">
        <v>252</v>
      </c>
      <c r="F9" s="966" t="s">
        <v>255</v>
      </c>
    </row>
    <row r="10" spans="1:6" ht="11.25" customHeight="1" thickBot="1">
      <c r="A10" s="978" t="s">
        <v>58</v>
      </c>
      <c r="B10" s="980" t="s">
        <v>46</v>
      </c>
      <c r="C10" s="980" t="s">
        <v>0</v>
      </c>
      <c r="D10" s="946"/>
      <c r="E10" s="946"/>
      <c r="F10" s="967"/>
    </row>
    <row r="11" spans="1:6" ht="0.75" customHeight="1" hidden="1" thickBot="1">
      <c r="A11" s="979"/>
      <c r="B11" s="981"/>
      <c r="C11" s="981"/>
      <c r="D11" s="981"/>
      <c r="E11" s="981"/>
      <c r="F11" s="968"/>
    </row>
    <row r="12" spans="1:6" ht="10.5" thickBot="1">
      <c r="A12" s="38">
        <v>1</v>
      </c>
      <c r="B12" s="39">
        <v>2</v>
      </c>
      <c r="C12" s="172">
        <v>3</v>
      </c>
      <c r="D12" s="172">
        <v>4</v>
      </c>
      <c r="E12" s="172">
        <v>5</v>
      </c>
      <c r="F12" s="173">
        <v>6</v>
      </c>
    </row>
    <row r="13" spans="1:6" ht="12" customHeight="1" thickBot="1">
      <c r="A13" s="975" t="s">
        <v>455</v>
      </c>
      <c r="B13" s="976"/>
      <c r="C13" s="976"/>
      <c r="D13" s="976"/>
      <c r="E13" s="976"/>
      <c r="F13" s="977"/>
    </row>
    <row r="14" spans="1:6" ht="12.75" customHeight="1" thickBot="1">
      <c r="A14" s="243">
        <v>803</v>
      </c>
      <c r="B14" s="244"/>
      <c r="C14" s="229"/>
      <c r="D14" s="247" t="s">
        <v>481</v>
      </c>
      <c r="E14" s="633">
        <f>E15</f>
        <v>373142</v>
      </c>
      <c r="F14" s="625">
        <f>F15</f>
        <v>364093</v>
      </c>
    </row>
    <row r="15" spans="1:6" ht="13.5" customHeight="1">
      <c r="A15" s="226"/>
      <c r="B15" s="245">
        <v>80309</v>
      </c>
      <c r="C15" s="246"/>
      <c r="D15" s="248" t="s">
        <v>482</v>
      </c>
      <c r="E15" s="250">
        <f>SUM(E17:E22)</f>
        <v>373142</v>
      </c>
      <c r="F15" s="253">
        <f>SUM(F18:F25)</f>
        <v>364093</v>
      </c>
    </row>
    <row r="16" spans="1:6" ht="13.5" customHeight="1">
      <c r="A16" s="226"/>
      <c r="B16" s="242"/>
      <c r="C16" s="79">
        <v>2328</v>
      </c>
      <c r="D16" s="10" t="s">
        <v>495</v>
      </c>
      <c r="E16" s="249"/>
      <c r="F16" s="227"/>
    </row>
    <row r="17" spans="1:8" ht="13.5" customHeight="1">
      <c r="A17" s="226"/>
      <c r="B17" s="242"/>
      <c r="C17" s="79"/>
      <c r="D17" s="10" t="s">
        <v>496</v>
      </c>
      <c r="E17" s="249">
        <f>'Dochody-ukł.wykon.'!G164</f>
        <v>279857</v>
      </c>
      <c r="F17" s="227"/>
      <c r="H17" s="22"/>
    </row>
    <row r="18" spans="1:8" ht="13.5" customHeight="1">
      <c r="A18" s="226"/>
      <c r="B18" s="242"/>
      <c r="C18" s="228">
        <v>3218</v>
      </c>
      <c r="D18" s="238" t="s">
        <v>483</v>
      </c>
      <c r="E18" s="249"/>
      <c r="F18" s="227">
        <f>'WYDATKI ukł.wyk.'!G285</f>
        <v>249076</v>
      </c>
      <c r="H18" s="22"/>
    </row>
    <row r="19" spans="1:6" ht="13.5" customHeight="1">
      <c r="A19" s="226"/>
      <c r="B19" s="242"/>
      <c r="C19" s="228">
        <v>4218</v>
      </c>
      <c r="D19" s="238" t="s">
        <v>190</v>
      </c>
      <c r="E19" s="249"/>
      <c r="F19" s="227">
        <f>'WYDATKI ukł.wyk.'!G288</f>
        <v>10481</v>
      </c>
    </row>
    <row r="20" spans="1:6" ht="13.5" customHeight="1">
      <c r="A20" s="226"/>
      <c r="B20" s="242"/>
      <c r="C20" s="228">
        <v>4308</v>
      </c>
      <c r="D20" s="238" t="s">
        <v>182</v>
      </c>
      <c r="E20" s="249"/>
      <c r="F20" s="640">
        <f>'WYDATKI ukł.wyk.'!G291</f>
        <v>13513</v>
      </c>
    </row>
    <row r="21" spans="1:6" ht="13.5" customHeight="1">
      <c r="A21" s="226"/>
      <c r="B21" s="242"/>
      <c r="C21" s="79">
        <v>2329</v>
      </c>
      <c r="D21" s="10" t="s">
        <v>495</v>
      </c>
      <c r="E21" s="249"/>
      <c r="F21" s="227"/>
    </row>
    <row r="22" spans="1:8" ht="13.5" customHeight="1">
      <c r="A22" s="226"/>
      <c r="B22" s="242"/>
      <c r="C22" s="79"/>
      <c r="D22" s="10" t="s">
        <v>496</v>
      </c>
      <c r="E22" s="249">
        <f>'Dochody-ukł.wykon.'!G166</f>
        <v>93285</v>
      </c>
      <c r="F22" s="227"/>
      <c r="H22" s="22"/>
    </row>
    <row r="23" spans="1:6" ht="13.5" customHeight="1">
      <c r="A23" s="226"/>
      <c r="B23" s="242"/>
      <c r="C23" s="228">
        <v>3219</v>
      </c>
      <c r="D23" s="238" t="s">
        <v>483</v>
      </c>
      <c r="E23" s="249"/>
      <c r="F23" s="227">
        <f>'WYDATKI ukł.wyk.'!G286</f>
        <v>83025</v>
      </c>
    </row>
    <row r="24" spans="1:6" ht="13.5" customHeight="1">
      <c r="A24" s="226"/>
      <c r="B24" s="242"/>
      <c r="C24" s="228">
        <v>4219</v>
      </c>
      <c r="D24" s="238" t="s">
        <v>190</v>
      </c>
      <c r="E24" s="249"/>
      <c r="F24" s="227">
        <f>'WYDATKI ukł.wyk.'!G289</f>
        <v>3494</v>
      </c>
    </row>
    <row r="25" spans="1:6" ht="13.5" customHeight="1">
      <c r="A25" s="226"/>
      <c r="B25" s="242"/>
      <c r="C25" s="228">
        <v>4309</v>
      </c>
      <c r="D25" s="238" t="s">
        <v>182</v>
      </c>
      <c r="E25" s="249"/>
      <c r="F25" s="640">
        <f>'WYDATKI ukł.wyk.'!G292</f>
        <v>4504</v>
      </c>
    </row>
    <row r="26" spans="1:6" ht="6" customHeight="1">
      <c r="A26" s="226"/>
      <c r="B26" s="242"/>
      <c r="C26" s="228"/>
      <c r="D26" s="242"/>
      <c r="E26" s="228"/>
      <c r="F26" s="260"/>
    </row>
    <row r="27" spans="1:6" ht="12.75" thickBot="1">
      <c r="A27" s="80">
        <v>851</v>
      </c>
      <c r="B27" s="81"/>
      <c r="C27" s="82"/>
      <c r="D27" s="83" t="s">
        <v>18</v>
      </c>
      <c r="E27" s="241">
        <f>SUM(E28)</f>
        <v>15425</v>
      </c>
      <c r="F27" s="84">
        <f>SUM(F28)</f>
        <v>15425</v>
      </c>
    </row>
    <row r="28" spans="1:6" ht="12">
      <c r="A28" s="76"/>
      <c r="B28" s="77">
        <v>85154</v>
      </c>
      <c r="C28" s="85"/>
      <c r="D28" s="86" t="s">
        <v>39</v>
      </c>
      <c r="E28" s="197">
        <f>E30</f>
        <v>15425</v>
      </c>
      <c r="F28" s="78">
        <f>SUM(F31:F32)</f>
        <v>15425</v>
      </c>
    </row>
    <row r="29" spans="1:6" ht="12">
      <c r="A29" s="76"/>
      <c r="B29" s="79"/>
      <c r="C29" s="75">
        <v>2330</v>
      </c>
      <c r="D29" s="87" t="s">
        <v>672</v>
      </c>
      <c r="E29" s="79"/>
      <c r="F29" s="24"/>
    </row>
    <row r="30" spans="1:6" ht="12">
      <c r="A30" s="76"/>
      <c r="B30" s="79"/>
      <c r="C30" s="75"/>
      <c r="D30" s="87" t="s">
        <v>673</v>
      </c>
      <c r="E30" s="179">
        <f>'Dochody-ukł.wykon.'!G175</f>
        <v>15425</v>
      </c>
      <c r="F30" s="24"/>
    </row>
    <row r="31" spans="1:6" ht="12">
      <c r="A31" s="76"/>
      <c r="B31" s="75"/>
      <c r="C31" s="75">
        <v>4110</v>
      </c>
      <c r="D31" s="204" t="s">
        <v>734</v>
      </c>
      <c r="E31" s="179"/>
      <c r="F31" s="206">
        <f>'WYDATKI ukł.wyk.'!G309</f>
        <v>592</v>
      </c>
    </row>
    <row r="32" spans="1:6" ht="12">
      <c r="A32" s="76"/>
      <c r="B32" s="75"/>
      <c r="C32" s="75">
        <v>4300</v>
      </c>
      <c r="D32" s="88" t="s">
        <v>182</v>
      </c>
      <c r="E32" s="79"/>
      <c r="F32" s="206">
        <v>14833</v>
      </c>
    </row>
    <row r="33" spans="1:6" ht="12" customHeight="1">
      <c r="A33" s="76"/>
      <c r="B33" s="233"/>
      <c r="C33" s="79"/>
      <c r="D33" s="10"/>
      <c r="E33" s="79"/>
      <c r="F33" s="206"/>
    </row>
    <row r="34" spans="1:6" ht="12.75" thickBot="1">
      <c r="A34" s="80">
        <v>854</v>
      </c>
      <c r="B34" s="225"/>
      <c r="C34" s="81"/>
      <c r="D34" s="234" t="s">
        <v>29</v>
      </c>
      <c r="E34" s="241">
        <f>E35</f>
        <v>499900</v>
      </c>
      <c r="F34" s="84">
        <f>F35</f>
        <v>402822</v>
      </c>
    </row>
    <row r="35" spans="1:6" ht="12">
      <c r="A35" s="76"/>
      <c r="B35" s="235">
        <v>85415</v>
      </c>
      <c r="C35" s="213"/>
      <c r="D35" s="236" t="s">
        <v>42</v>
      </c>
      <c r="E35" s="240">
        <f>SUM(E37:E45)</f>
        <v>499900</v>
      </c>
      <c r="F35" s="237">
        <f>SUM(F38:F51)</f>
        <v>402822</v>
      </c>
    </row>
    <row r="36" spans="1:6" ht="12">
      <c r="A36" s="76"/>
      <c r="B36" s="233"/>
      <c r="C36" s="79">
        <v>2328</v>
      </c>
      <c r="D36" s="88" t="s">
        <v>495</v>
      </c>
      <c r="E36" s="79"/>
      <c r="F36" s="206"/>
    </row>
    <row r="37" spans="1:6" ht="12">
      <c r="A37" s="76"/>
      <c r="B37" s="79"/>
      <c r="C37" s="75"/>
      <c r="D37" s="88" t="s">
        <v>496</v>
      </c>
      <c r="E37" s="179">
        <f>'Dochody-ukł.wykon.'!G274</f>
        <v>339932</v>
      </c>
      <c r="F37" s="206"/>
    </row>
    <row r="38" spans="1:6" ht="12">
      <c r="A38" s="76"/>
      <c r="B38" s="79"/>
      <c r="C38" s="75">
        <v>3248</v>
      </c>
      <c r="D38" s="238" t="s">
        <v>486</v>
      </c>
      <c r="E38" s="239"/>
      <c r="F38" s="206">
        <f>'WYDATKI ukł.wyk.'!G527</f>
        <v>255999</v>
      </c>
    </row>
    <row r="39" spans="1:6" ht="12">
      <c r="A39" s="76"/>
      <c r="B39" s="79"/>
      <c r="C39" s="75">
        <v>4118</v>
      </c>
      <c r="D39" s="204" t="s">
        <v>734</v>
      </c>
      <c r="E39" s="239"/>
      <c r="F39" s="206">
        <f>'WYDATKI ukł.wyk.'!G530</f>
        <v>119</v>
      </c>
    </row>
    <row r="40" spans="1:6" ht="12">
      <c r="A40" s="76"/>
      <c r="B40" s="79"/>
      <c r="C40" s="75">
        <v>4128</v>
      </c>
      <c r="D40" s="90" t="s">
        <v>189</v>
      </c>
      <c r="E40" s="239"/>
      <c r="F40" s="206">
        <f>'WYDATKI ukł.wyk.'!G533</f>
        <v>17</v>
      </c>
    </row>
    <row r="41" spans="1:6" ht="12">
      <c r="A41" s="76"/>
      <c r="B41" s="79"/>
      <c r="C41" s="75">
        <v>4178</v>
      </c>
      <c r="D41" s="238" t="s">
        <v>466</v>
      </c>
      <c r="E41" s="239"/>
      <c r="F41" s="206">
        <f>'WYDATKI ukł.wyk.'!G536</f>
        <v>5168</v>
      </c>
    </row>
    <row r="42" spans="1:6" ht="12">
      <c r="A42" s="76"/>
      <c r="B42" s="79"/>
      <c r="C42" s="75">
        <v>4218</v>
      </c>
      <c r="D42" s="204" t="s">
        <v>190</v>
      </c>
      <c r="E42" s="239"/>
      <c r="F42" s="206">
        <f>'WYDATKI ukł.wyk.'!G539</f>
        <v>8192</v>
      </c>
    </row>
    <row r="43" spans="1:6" ht="12">
      <c r="A43" s="76"/>
      <c r="B43" s="79"/>
      <c r="C43" s="75">
        <v>4308</v>
      </c>
      <c r="D43" s="238" t="s">
        <v>182</v>
      </c>
      <c r="E43" s="239"/>
      <c r="F43" s="206">
        <f>'WYDATKI ukł.wyk.'!G542</f>
        <v>4956</v>
      </c>
    </row>
    <row r="44" spans="1:6" ht="12">
      <c r="A44" s="76"/>
      <c r="B44" s="79"/>
      <c r="C44" s="75">
        <v>2329</v>
      </c>
      <c r="D44" s="88" t="s">
        <v>495</v>
      </c>
      <c r="E44" s="239"/>
      <c r="F44" s="206"/>
    </row>
    <row r="45" spans="1:6" ht="12">
      <c r="A45" s="76"/>
      <c r="B45" s="79"/>
      <c r="C45" s="75"/>
      <c r="D45" s="88" t="s">
        <v>496</v>
      </c>
      <c r="E45" s="179">
        <f>'Dochody-ukł.wykon.'!G276</f>
        <v>159968</v>
      </c>
      <c r="F45" s="206"/>
    </row>
    <row r="46" spans="1:6" ht="12">
      <c r="A46" s="76"/>
      <c r="B46" s="79"/>
      <c r="C46" s="75">
        <v>3249</v>
      </c>
      <c r="D46" s="238" t="s">
        <v>486</v>
      </c>
      <c r="E46" s="79"/>
      <c r="F46" s="206">
        <f>'WYDATKI ukł.wyk.'!G528</f>
        <v>120472</v>
      </c>
    </row>
    <row r="47" spans="1:6" ht="12">
      <c r="A47" s="76"/>
      <c r="B47" s="79"/>
      <c r="C47" s="75">
        <v>4119</v>
      </c>
      <c r="D47" s="204" t="s">
        <v>734</v>
      </c>
      <c r="E47" s="79"/>
      <c r="F47" s="206">
        <f>'WYDATKI ukł.wyk.'!G531</f>
        <v>56</v>
      </c>
    </row>
    <row r="48" spans="1:6" ht="12">
      <c r="A48" s="76"/>
      <c r="B48" s="79"/>
      <c r="C48" s="75">
        <v>4129</v>
      </c>
      <c r="D48" s="90" t="s">
        <v>189</v>
      </c>
      <c r="E48" s="79"/>
      <c r="F48" s="206">
        <f>'WYDATKI ukł.wyk.'!G534</f>
        <v>8</v>
      </c>
    </row>
    <row r="49" spans="1:6" ht="12">
      <c r="A49" s="76"/>
      <c r="B49" s="79"/>
      <c r="C49" s="75">
        <v>4179</v>
      </c>
      <c r="D49" s="238" t="s">
        <v>466</v>
      </c>
      <c r="E49" s="79"/>
      <c r="F49" s="206">
        <f>'WYDATKI ukł.wyk.'!G537</f>
        <v>2432</v>
      </c>
    </row>
    <row r="50" spans="1:6" ht="12">
      <c r="A50" s="76"/>
      <c r="B50" s="79"/>
      <c r="C50" s="75">
        <v>4219</v>
      </c>
      <c r="D50" s="204" t="s">
        <v>190</v>
      </c>
      <c r="E50" s="79"/>
      <c r="F50" s="206">
        <f>'WYDATKI ukł.wyk.'!G540</f>
        <v>3854</v>
      </c>
    </row>
    <row r="51" spans="1:6" ht="12">
      <c r="A51" s="76"/>
      <c r="B51" s="79"/>
      <c r="C51" s="75">
        <v>4309</v>
      </c>
      <c r="D51" s="10" t="s">
        <v>182</v>
      </c>
      <c r="E51" s="79"/>
      <c r="F51" s="206">
        <f>'WYDATKI ukł.wyk.'!G543</f>
        <v>1549</v>
      </c>
    </row>
    <row r="52" spans="1:6" ht="14.25" customHeight="1" thickBot="1">
      <c r="A52" s="199"/>
      <c r="B52" s="231"/>
      <c r="C52" s="178"/>
      <c r="D52" s="232"/>
      <c r="E52" s="178"/>
      <c r="F52" s="200"/>
    </row>
    <row r="53" spans="1:6" ht="12" customHeight="1" thickBot="1">
      <c r="A53" s="972" t="s">
        <v>456</v>
      </c>
      <c r="B53" s="973"/>
      <c r="C53" s="973"/>
      <c r="D53" s="973"/>
      <c r="E53" s="973"/>
      <c r="F53" s="974"/>
    </row>
    <row r="54" spans="1:6" ht="12" customHeight="1" thickBot="1">
      <c r="A54" s="243">
        <v>600</v>
      </c>
      <c r="B54" s="229"/>
      <c r="C54" s="262"/>
      <c r="D54" s="763" t="s">
        <v>32</v>
      </c>
      <c r="E54" s="251">
        <f>E55</f>
        <v>20000</v>
      </c>
      <c r="F54" s="251">
        <f>F55</f>
        <v>20000</v>
      </c>
    </row>
    <row r="55" spans="1:6" ht="12" customHeight="1">
      <c r="A55" s="226"/>
      <c r="B55" s="734">
        <v>60078</v>
      </c>
      <c r="C55" s="834"/>
      <c r="D55" s="835" t="s">
        <v>776</v>
      </c>
      <c r="E55" s="730">
        <f>E56</f>
        <v>20000</v>
      </c>
      <c r="F55" s="836">
        <f>F58</f>
        <v>20000</v>
      </c>
    </row>
    <row r="56" spans="1:6" ht="12" customHeight="1">
      <c r="A56" s="226"/>
      <c r="B56" s="228"/>
      <c r="C56" s="761">
        <v>6610</v>
      </c>
      <c r="D56" s="204" t="s">
        <v>709</v>
      </c>
      <c r="E56" s="249">
        <f>'Dochody-ukł.wykon.'!G37</f>
        <v>20000</v>
      </c>
      <c r="F56" s="260"/>
    </row>
    <row r="57" spans="1:6" ht="12" customHeight="1">
      <c r="A57" s="226"/>
      <c r="B57" s="228"/>
      <c r="C57" s="761"/>
      <c r="D57" s="204" t="s">
        <v>496</v>
      </c>
      <c r="E57" s="249"/>
      <c r="F57" s="260"/>
    </row>
    <row r="58" spans="1:6" ht="12" customHeight="1">
      <c r="A58" s="226"/>
      <c r="B58" s="228"/>
      <c r="C58" s="761">
        <v>6050</v>
      </c>
      <c r="D58" s="732" t="s">
        <v>199</v>
      </c>
      <c r="E58" s="228"/>
      <c r="F58" s="227">
        <v>20000</v>
      </c>
    </row>
    <row r="59" spans="1:6" ht="12" customHeight="1" thickBot="1">
      <c r="A59" s="756"/>
      <c r="B59" s="757"/>
      <c r="C59" s="762"/>
      <c r="D59" s="762"/>
      <c r="E59" s="757"/>
      <c r="F59" s="755"/>
    </row>
    <row r="60" spans="1:6" ht="12" customHeight="1" thickBot="1">
      <c r="A60" s="243">
        <v>801</v>
      </c>
      <c r="B60" s="274"/>
      <c r="C60" s="274"/>
      <c r="D60" s="731" t="s">
        <v>24</v>
      </c>
      <c r="E60" s="251">
        <f>E61+E66</f>
        <v>35000</v>
      </c>
      <c r="F60" s="252">
        <f>F61+F66</f>
        <v>35000</v>
      </c>
    </row>
    <row r="61" spans="1:6" ht="12" customHeight="1">
      <c r="A61" s="226"/>
      <c r="B61" s="246">
        <v>80120</v>
      </c>
      <c r="C61" s="246"/>
      <c r="D61" s="733" t="s">
        <v>36</v>
      </c>
      <c r="E61" s="250">
        <f>E62</f>
        <v>25000</v>
      </c>
      <c r="F61" s="253">
        <f>F64</f>
        <v>25000</v>
      </c>
    </row>
    <row r="62" spans="1:6" ht="12" customHeight="1">
      <c r="A62" s="226"/>
      <c r="B62" s="228"/>
      <c r="C62" s="228">
        <v>6610</v>
      </c>
      <c r="D62" s="204" t="s">
        <v>709</v>
      </c>
      <c r="E62" s="249">
        <f>'Dochody-ukł.wykon.'!G136</f>
        <v>25000</v>
      </c>
      <c r="F62" s="227"/>
    </row>
    <row r="63" spans="1:6" ht="12" customHeight="1">
      <c r="A63" s="226"/>
      <c r="B63" s="228"/>
      <c r="C63" s="228"/>
      <c r="D63" s="204" t="s">
        <v>496</v>
      </c>
      <c r="E63" s="249"/>
      <c r="F63" s="227"/>
    </row>
    <row r="64" spans="1:6" ht="12" customHeight="1">
      <c r="A64" s="226"/>
      <c r="B64" s="228"/>
      <c r="C64" s="228">
        <v>6050</v>
      </c>
      <c r="D64" s="732" t="s">
        <v>199</v>
      </c>
      <c r="E64" s="249"/>
      <c r="F64" s="227">
        <v>25000</v>
      </c>
    </row>
    <row r="65" spans="1:6" ht="12" customHeight="1">
      <c r="A65" s="226"/>
      <c r="B65" s="228"/>
      <c r="C65" s="228"/>
      <c r="D65" s="228"/>
      <c r="E65" s="249"/>
      <c r="F65" s="227"/>
    </row>
    <row r="66" spans="1:6" ht="12" customHeight="1">
      <c r="A66" s="226"/>
      <c r="B66" s="734">
        <v>80130</v>
      </c>
      <c r="C66" s="734"/>
      <c r="D66" s="735" t="s">
        <v>37</v>
      </c>
      <c r="E66" s="730">
        <f>E67</f>
        <v>10000</v>
      </c>
      <c r="F66" s="736">
        <f>F69</f>
        <v>10000</v>
      </c>
    </row>
    <row r="67" spans="1:6" ht="12" customHeight="1">
      <c r="A67" s="226"/>
      <c r="B67" s="228"/>
      <c r="C67" s="228">
        <v>6610</v>
      </c>
      <c r="D67" s="204" t="s">
        <v>709</v>
      </c>
      <c r="E67" s="249">
        <f>'Dochody-ukł.wykon.'!G146</f>
        <v>10000</v>
      </c>
      <c r="F67" s="227"/>
    </row>
    <row r="68" spans="1:6" ht="12" customHeight="1">
      <c r="A68" s="226"/>
      <c r="B68" s="228"/>
      <c r="C68" s="228"/>
      <c r="D68" s="204" t="s">
        <v>496</v>
      </c>
      <c r="E68" s="249"/>
      <c r="F68" s="227"/>
    </row>
    <row r="69" spans="1:6" ht="12" customHeight="1">
      <c r="A69" s="226"/>
      <c r="B69" s="228"/>
      <c r="C69" s="228">
        <v>6060</v>
      </c>
      <c r="D69" s="732" t="s">
        <v>448</v>
      </c>
      <c r="E69" s="249"/>
      <c r="F69" s="227">
        <v>10000</v>
      </c>
    </row>
    <row r="70" spans="1:6" ht="12" customHeight="1">
      <c r="A70" s="226"/>
      <c r="B70" s="228"/>
      <c r="C70" s="228"/>
      <c r="D70" s="228"/>
      <c r="E70" s="228"/>
      <c r="F70" s="260"/>
    </row>
    <row r="71" spans="1:7" ht="12.75" thickBot="1">
      <c r="A71" s="80">
        <v>852</v>
      </c>
      <c r="B71" s="82"/>
      <c r="C71" s="91"/>
      <c r="D71" s="217" t="s">
        <v>245</v>
      </c>
      <c r="E71" s="258">
        <f>E81+E72+E89</f>
        <v>563040</v>
      </c>
      <c r="F71" s="26">
        <f>F81+F72+F89+F86</f>
        <v>563040</v>
      </c>
      <c r="G71" s="22"/>
    </row>
    <row r="72" spans="1:7" ht="12">
      <c r="A72" s="212"/>
      <c r="B72" s="213">
        <v>85201</v>
      </c>
      <c r="C72" s="214"/>
      <c r="D72" s="214" t="s">
        <v>26</v>
      </c>
      <c r="E72" s="218">
        <f>E74</f>
        <v>435960</v>
      </c>
      <c r="F72" s="215">
        <f>SUM(F75:F79)</f>
        <v>435960</v>
      </c>
      <c r="G72" s="22"/>
    </row>
    <row r="73" spans="1:7" ht="12">
      <c r="A73" s="212"/>
      <c r="B73" s="219"/>
      <c r="C73" s="75">
        <v>2310</v>
      </c>
      <c r="D73" s="88" t="s">
        <v>453</v>
      </c>
      <c r="E73" s="96"/>
      <c r="F73" s="198"/>
      <c r="G73" s="22"/>
    </row>
    <row r="74" spans="1:7" ht="12">
      <c r="A74" s="212"/>
      <c r="B74" s="219"/>
      <c r="C74" s="75"/>
      <c r="D74" s="90" t="s">
        <v>496</v>
      </c>
      <c r="E74" s="181">
        <f>'Dochody-ukł.wykon.'!G191</f>
        <v>435960</v>
      </c>
      <c r="F74" s="25"/>
      <c r="G74" s="22"/>
    </row>
    <row r="75" spans="1:7" ht="12">
      <c r="A75" s="212"/>
      <c r="B75" s="219"/>
      <c r="C75" s="75">
        <v>4010</v>
      </c>
      <c r="D75" s="88" t="s">
        <v>186</v>
      </c>
      <c r="E75" s="181"/>
      <c r="F75" s="25">
        <f>350000-20000</f>
        <v>330000</v>
      </c>
      <c r="G75" s="22"/>
    </row>
    <row r="76" spans="1:7" ht="12">
      <c r="A76" s="212"/>
      <c r="B76" s="219"/>
      <c r="C76" s="75">
        <v>4110</v>
      </c>
      <c r="D76" s="88" t="s">
        <v>488</v>
      </c>
      <c r="E76" s="181"/>
      <c r="F76" s="25">
        <v>62055</v>
      </c>
      <c r="G76" s="22"/>
    </row>
    <row r="77" spans="1:7" ht="12">
      <c r="A77" s="212"/>
      <c r="B77" s="219"/>
      <c r="C77" s="75">
        <v>4120</v>
      </c>
      <c r="D77" s="90" t="s">
        <v>189</v>
      </c>
      <c r="E77" s="181"/>
      <c r="F77" s="25">
        <v>8575</v>
      </c>
      <c r="G77" s="22"/>
    </row>
    <row r="78" spans="1:7" ht="12">
      <c r="A78" s="212"/>
      <c r="B78" s="219"/>
      <c r="C78" s="75">
        <v>4210</v>
      </c>
      <c r="D78" s="88" t="s">
        <v>190</v>
      </c>
      <c r="E78" s="181"/>
      <c r="F78" s="25">
        <v>28000</v>
      </c>
      <c r="G78" s="22"/>
    </row>
    <row r="79" spans="1:7" ht="12">
      <c r="A79" s="212"/>
      <c r="B79" s="219"/>
      <c r="C79" s="75">
        <v>4300</v>
      </c>
      <c r="D79" s="88" t="s">
        <v>182</v>
      </c>
      <c r="E79" s="181"/>
      <c r="F79" s="25">
        <v>7330</v>
      </c>
      <c r="G79" s="22"/>
    </row>
    <row r="80" spans="1:7" ht="12">
      <c r="A80" s="212"/>
      <c r="B80" s="219"/>
      <c r="C80" s="75"/>
      <c r="D80" s="88"/>
      <c r="E80" s="181"/>
      <c r="F80" s="25"/>
      <c r="G80" s="22"/>
    </row>
    <row r="81" spans="1:6" ht="12">
      <c r="A81" s="76"/>
      <c r="B81" s="77">
        <v>85204</v>
      </c>
      <c r="C81" s="92"/>
      <c r="D81" s="92" t="s">
        <v>28</v>
      </c>
      <c r="E81" s="564">
        <f>E83</f>
        <v>56600</v>
      </c>
      <c r="F81" s="451">
        <f>F83</f>
        <v>56600</v>
      </c>
    </row>
    <row r="82" spans="1:6" ht="12">
      <c r="A82" s="89"/>
      <c r="B82" s="90"/>
      <c r="C82" s="75">
        <v>2310</v>
      </c>
      <c r="D82" s="88" t="s">
        <v>453</v>
      </c>
      <c r="E82" s="181"/>
      <c r="F82" s="25"/>
    </row>
    <row r="83" spans="1:6" ht="12">
      <c r="A83" s="89"/>
      <c r="B83" s="90"/>
      <c r="C83" s="75"/>
      <c r="D83" s="90" t="s">
        <v>496</v>
      </c>
      <c r="E83" s="181">
        <f>'Dochody-ukł.wykon.'!G209</f>
        <v>56600</v>
      </c>
      <c r="F83" s="25">
        <v>56600</v>
      </c>
    </row>
    <row r="84" spans="1:5" ht="12">
      <c r="A84" s="89"/>
      <c r="B84" s="90"/>
      <c r="C84" s="75">
        <v>3110</v>
      </c>
      <c r="D84" s="90" t="s">
        <v>222</v>
      </c>
      <c r="E84" s="181"/>
    </row>
    <row r="85" spans="1:6" ht="12">
      <c r="A85" s="89"/>
      <c r="B85" s="90"/>
      <c r="C85" s="75"/>
      <c r="D85" s="88"/>
      <c r="E85" s="181"/>
      <c r="F85" s="25"/>
    </row>
    <row r="86" spans="1:6" ht="12">
      <c r="A86" s="89"/>
      <c r="B86" s="449">
        <v>85218</v>
      </c>
      <c r="C86" s="454"/>
      <c r="D86" s="450" t="s">
        <v>19</v>
      </c>
      <c r="E86" s="182"/>
      <c r="F86" s="93">
        <f>F87</f>
        <v>480</v>
      </c>
    </row>
    <row r="87" spans="1:6" ht="12">
      <c r="A87" s="89"/>
      <c r="B87" s="90"/>
      <c r="C87" s="75">
        <v>4210</v>
      </c>
      <c r="D87" s="88" t="s">
        <v>190</v>
      </c>
      <c r="E87" s="181"/>
      <c r="F87" s="25">
        <v>480</v>
      </c>
    </row>
    <row r="88" spans="1:6" ht="12">
      <c r="A88" s="89"/>
      <c r="B88" s="90"/>
      <c r="C88" s="75"/>
      <c r="D88" s="88"/>
      <c r="E88" s="181"/>
      <c r="F88" s="25"/>
    </row>
    <row r="89" spans="1:6" ht="12">
      <c r="A89" s="89"/>
      <c r="B89" s="77">
        <v>85295</v>
      </c>
      <c r="C89" s="85"/>
      <c r="D89" s="92"/>
      <c r="E89" s="182">
        <f>E90+E94</f>
        <v>70480</v>
      </c>
      <c r="F89" s="93">
        <f>SUM(F91:F93)</f>
        <v>70000</v>
      </c>
    </row>
    <row r="90" spans="1:6" ht="12">
      <c r="A90" s="89"/>
      <c r="B90" s="90"/>
      <c r="C90" s="75">
        <v>2310</v>
      </c>
      <c r="D90" s="88" t="s">
        <v>453</v>
      </c>
      <c r="E90" s="181">
        <f>'Dochody-ukł.wykon.'!G231</f>
        <v>70000</v>
      </c>
      <c r="F90" s="25"/>
    </row>
    <row r="91" spans="1:6" ht="12">
      <c r="A91" s="89"/>
      <c r="B91" s="90"/>
      <c r="C91" s="75"/>
      <c r="D91" s="90" t="s">
        <v>496</v>
      </c>
      <c r="E91" s="181"/>
      <c r="F91" s="25"/>
    </row>
    <row r="92" spans="1:6" ht="12">
      <c r="A92" s="89"/>
      <c r="B92" s="90"/>
      <c r="C92" s="75">
        <v>4210</v>
      </c>
      <c r="D92" s="88" t="s">
        <v>190</v>
      </c>
      <c r="E92" s="181"/>
      <c r="F92" s="25">
        <v>1424</v>
      </c>
    </row>
    <row r="93" spans="1:6" ht="12" customHeight="1">
      <c r="A93" s="89"/>
      <c r="B93" s="90"/>
      <c r="C93" s="75">
        <v>4270</v>
      </c>
      <c r="D93" s="88" t="s">
        <v>192</v>
      </c>
      <c r="E93" s="181"/>
      <c r="F93" s="25">
        <f>18576+50000</f>
        <v>68576</v>
      </c>
    </row>
    <row r="94" spans="1:6" ht="12" customHeight="1">
      <c r="A94" s="89"/>
      <c r="B94" s="90"/>
      <c r="C94" s="75">
        <v>2330</v>
      </c>
      <c r="D94" s="238" t="s">
        <v>833</v>
      </c>
      <c r="E94" s="181">
        <f>'Dochody-ukł.wykon.'!G233</f>
        <v>480</v>
      </c>
      <c r="F94" s="25"/>
    </row>
    <row r="95" spans="1:6" ht="12" customHeight="1">
      <c r="A95" s="89"/>
      <c r="B95" s="90"/>
      <c r="C95" s="75"/>
      <c r="D95" s="204" t="s">
        <v>425</v>
      </c>
      <c r="E95" s="181"/>
      <c r="F95" s="25"/>
    </row>
    <row r="96" spans="1:6" ht="12" customHeight="1">
      <c r="A96" s="89"/>
      <c r="B96" s="90"/>
      <c r="C96" s="75"/>
      <c r="D96" s="88"/>
      <c r="E96" s="181"/>
      <c r="F96" s="25"/>
    </row>
    <row r="97" spans="1:6" ht="12.75" thickBot="1">
      <c r="A97" s="80">
        <v>853</v>
      </c>
      <c r="B97" s="217"/>
      <c r="C97" s="82"/>
      <c r="D97" s="91" t="s">
        <v>241</v>
      </c>
      <c r="E97" s="183">
        <f>E98</f>
        <v>1402362</v>
      </c>
      <c r="F97" s="643">
        <f>F98</f>
        <v>1402362</v>
      </c>
    </row>
    <row r="98" spans="1:6" ht="12">
      <c r="A98" s="89"/>
      <c r="B98" s="728">
        <v>85333</v>
      </c>
      <c r="C98" s="213"/>
      <c r="D98" s="214" t="s">
        <v>20</v>
      </c>
      <c r="E98" s="218">
        <f>E100</f>
        <v>1402362</v>
      </c>
      <c r="F98" s="215">
        <f>SUM(F101:F109)</f>
        <v>1402362</v>
      </c>
    </row>
    <row r="99" spans="1:6" ht="12">
      <c r="A99" s="89"/>
      <c r="B99" s="90"/>
      <c r="C99" s="75">
        <v>2310</v>
      </c>
      <c r="D99" s="88" t="s">
        <v>453</v>
      </c>
      <c r="E99" s="181"/>
      <c r="F99" s="25"/>
    </row>
    <row r="100" spans="1:6" ht="12">
      <c r="A100" s="89"/>
      <c r="B100" s="90"/>
      <c r="C100" s="75"/>
      <c r="D100" s="90" t="s">
        <v>496</v>
      </c>
      <c r="E100" s="181">
        <f>'Dochody-ukł.wykon.'!G247</f>
        <v>1402362</v>
      </c>
      <c r="F100" s="25"/>
    </row>
    <row r="101" spans="1:6" ht="12">
      <c r="A101" s="89"/>
      <c r="B101" s="90"/>
      <c r="C101" s="75">
        <v>4010</v>
      </c>
      <c r="D101" s="88" t="s">
        <v>186</v>
      </c>
      <c r="E101" s="181"/>
      <c r="F101" s="25">
        <f>E100-SUM(F102:F109)</f>
        <v>737262</v>
      </c>
    </row>
    <row r="102" spans="1:6" ht="12">
      <c r="A102" s="89"/>
      <c r="B102" s="90"/>
      <c r="C102" s="75">
        <v>4110</v>
      </c>
      <c r="D102" s="88" t="s">
        <v>488</v>
      </c>
      <c r="E102" s="181"/>
      <c r="F102" s="25">
        <f>'WYDATKI ukł.wyk.'!G441</f>
        <v>288300</v>
      </c>
    </row>
    <row r="103" spans="1:6" ht="12">
      <c r="A103" s="89"/>
      <c r="B103" s="90"/>
      <c r="C103" s="75">
        <v>4120</v>
      </c>
      <c r="D103" s="90" t="s">
        <v>189</v>
      </c>
      <c r="E103" s="181"/>
      <c r="F103" s="25">
        <f>'WYDATKI ukł.wyk.'!G442</f>
        <v>44500</v>
      </c>
    </row>
    <row r="104" spans="1:6" ht="12">
      <c r="A104" s="89"/>
      <c r="B104" s="90"/>
      <c r="C104" s="75">
        <v>4170</v>
      </c>
      <c r="D104" s="88" t="s">
        <v>466</v>
      </c>
      <c r="E104" s="181"/>
      <c r="F104" s="25">
        <f>'WYDATKI ukł.wyk.'!G444</f>
        <v>37800</v>
      </c>
    </row>
    <row r="105" spans="1:6" ht="12">
      <c r="A105" s="89"/>
      <c r="B105" s="90"/>
      <c r="C105" s="75">
        <v>4210</v>
      </c>
      <c r="D105" s="88" t="s">
        <v>190</v>
      </c>
      <c r="E105" s="181"/>
      <c r="F105" s="25">
        <f>'WYDATKI ukł.wyk.'!G445</f>
        <v>58000</v>
      </c>
    </row>
    <row r="106" spans="1:6" ht="12">
      <c r="A106" s="89"/>
      <c r="B106" s="90"/>
      <c r="C106" s="75">
        <v>4260</v>
      </c>
      <c r="D106" s="88" t="s">
        <v>191</v>
      </c>
      <c r="E106" s="181"/>
      <c r="F106" s="25">
        <f>'WYDATKI ukł.wyk.'!G446</f>
        <v>114000</v>
      </c>
    </row>
    <row r="107" spans="1:6" ht="12">
      <c r="A107" s="89"/>
      <c r="B107" s="90"/>
      <c r="C107" s="75">
        <v>4270</v>
      </c>
      <c r="D107" s="88" t="s">
        <v>192</v>
      </c>
      <c r="E107" s="181"/>
      <c r="F107" s="25">
        <f>'WYDATKI ukł.wyk.'!G447</f>
        <v>2500</v>
      </c>
    </row>
    <row r="108" spans="1:6" ht="12">
      <c r="A108" s="89"/>
      <c r="B108" s="90"/>
      <c r="C108" s="75">
        <v>4280</v>
      </c>
      <c r="D108" s="88" t="s">
        <v>193</v>
      </c>
      <c r="E108" s="181"/>
      <c r="F108" s="25">
        <f>'WYDATKI ukł.wyk.'!G448</f>
        <v>5000</v>
      </c>
    </row>
    <row r="109" spans="1:6" ht="12">
      <c r="A109" s="89"/>
      <c r="B109" s="90"/>
      <c r="C109" s="75">
        <v>4300</v>
      </c>
      <c r="D109" s="88" t="s">
        <v>182</v>
      </c>
      <c r="E109" s="181"/>
      <c r="F109" s="25">
        <f>'WYDATKI ukł.wyk.'!G449</f>
        <v>115000</v>
      </c>
    </row>
    <row r="110" spans="1:6" ht="11.25" customHeight="1" thickBot="1">
      <c r="A110" s="89"/>
      <c r="B110" s="90"/>
      <c r="C110" s="27"/>
      <c r="D110" s="7"/>
      <c r="E110" s="181"/>
      <c r="F110" s="25"/>
    </row>
    <row r="111" spans="1:7" ht="13.5" customHeight="1" thickBot="1">
      <c r="A111" s="254"/>
      <c r="B111" s="255"/>
      <c r="C111" s="255"/>
      <c r="D111" s="256" t="s">
        <v>274</v>
      </c>
      <c r="E111" s="251">
        <f>E71+E27+E34+E14+E97+E60+E54</f>
        <v>2908869</v>
      </c>
      <c r="F111" s="729">
        <f>F71+F27+F34+F14+F97+F60+F54</f>
        <v>2802742</v>
      </c>
      <c r="G111" s="69"/>
    </row>
    <row r="112" spans="1:7" ht="12">
      <c r="A112" s="69"/>
      <c r="B112" s="69"/>
      <c r="C112" s="69"/>
      <c r="D112" s="69"/>
      <c r="E112" s="69"/>
      <c r="F112" s="69"/>
      <c r="G112" s="69"/>
    </row>
    <row r="113" spans="1:7" ht="12">
      <c r="A113" s="69" t="s">
        <v>834</v>
      </c>
      <c r="B113" s="69"/>
      <c r="C113" s="69"/>
      <c r="D113" s="69"/>
      <c r="E113" s="69"/>
      <c r="F113" s="69"/>
      <c r="G113" s="69"/>
    </row>
    <row r="114" spans="1:7" ht="12">
      <c r="A114" s="69" t="s">
        <v>835</v>
      </c>
      <c r="B114" s="69"/>
      <c r="C114" s="69"/>
      <c r="D114" s="69"/>
      <c r="E114" s="69"/>
      <c r="F114" s="69"/>
      <c r="G114" s="69"/>
    </row>
    <row r="115" spans="1:7" ht="12">
      <c r="A115" s="69"/>
      <c r="B115" s="69"/>
      <c r="C115" s="69"/>
      <c r="D115" s="69"/>
      <c r="E115" s="69"/>
      <c r="F115" s="69"/>
      <c r="G115" s="69"/>
    </row>
    <row r="116" spans="1:7" ht="12">
      <c r="A116" s="69"/>
      <c r="B116" s="69"/>
      <c r="C116" s="69"/>
      <c r="D116" s="69"/>
      <c r="E116" s="1001"/>
      <c r="F116" s="69"/>
      <c r="G116" s="69"/>
    </row>
    <row r="117" spans="1:7" ht="12">
      <c r="A117" s="69"/>
      <c r="B117" s="69"/>
      <c r="C117" s="69"/>
      <c r="D117" s="69"/>
      <c r="E117" s="69"/>
      <c r="F117" s="69"/>
      <c r="G117" s="69"/>
    </row>
    <row r="118" spans="1:7" ht="12">
      <c r="A118" s="69"/>
      <c r="B118" s="69"/>
      <c r="C118" s="69"/>
      <c r="D118" s="69"/>
      <c r="E118" s="69"/>
      <c r="F118" s="69"/>
      <c r="G118" s="69"/>
    </row>
    <row r="119" spans="1:7" ht="12">
      <c r="A119" s="69"/>
      <c r="B119" s="69"/>
      <c r="C119" s="69"/>
      <c r="D119" s="69"/>
      <c r="E119" s="69"/>
      <c r="F119" s="69"/>
      <c r="G119" s="69"/>
    </row>
    <row r="120" spans="1:7" ht="12">
      <c r="A120" s="69"/>
      <c r="B120" s="69"/>
      <c r="C120" s="69"/>
      <c r="D120" s="69"/>
      <c r="E120" s="69"/>
      <c r="F120" s="69"/>
      <c r="G120" s="69"/>
    </row>
    <row r="121" spans="1:7" ht="12">
      <c r="A121" s="69"/>
      <c r="B121" s="69"/>
      <c r="C121" s="69"/>
      <c r="D121" s="69"/>
      <c r="E121" s="69"/>
      <c r="F121" s="69"/>
      <c r="G121" s="69"/>
    </row>
    <row r="122" spans="1:7" ht="12">
      <c r="A122" s="69"/>
      <c r="B122" s="69"/>
      <c r="C122" s="69"/>
      <c r="D122" s="69"/>
      <c r="E122" s="69"/>
      <c r="F122" s="69"/>
      <c r="G122" s="69"/>
    </row>
    <row r="123" spans="1:7" ht="12">
      <c r="A123" s="69"/>
      <c r="B123" s="69"/>
      <c r="C123" s="69"/>
      <c r="D123" s="69"/>
      <c r="E123" s="69"/>
      <c r="F123" s="69"/>
      <c r="G123" s="69"/>
    </row>
    <row r="124" spans="1:7" ht="12">
      <c r="A124" s="69"/>
      <c r="B124" s="69"/>
      <c r="C124" s="69"/>
      <c r="D124" s="69"/>
      <c r="E124" s="69"/>
      <c r="F124" s="69"/>
      <c r="G124" s="69"/>
    </row>
    <row r="125" spans="1:7" ht="12">
      <c r="A125" s="69"/>
      <c r="B125" s="69"/>
      <c r="C125" s="69"/>
      <c r="D125" s="69"/>
      <c r="E125" s="69"/>
      <c r="F125" s="69"/>
      <c r="G125" s="69"/>
    </row>
    <row r="126" spans="1:7" ht="12">
      <c r="A126" s="69"/>
      <c r="B126" s="69"/>
      <c r="C126" s="69"/>
      <c r="D126" s="69"/>
      <c r="E126" s="69"/>
      <c r="F126" s="69"/>
      <c r="G126" s="69"/>
    </row>
    <row r="127" spans="1:7" ht="12">
      <c r="A127" s="69"/>
      <c r="B127" s="69"/>
      <c r="C127" s="69"/>
      <c r="D127" s="69"/>
      <c r="E127" s="69"/>
      <c r="F127" s="69"/>
      <c r="G127" s="69"/>
    </row>
    <row r="128" spans="1:7" ht="12">
      <c r="A128" s="69"/>
      <c r="B128" s="69"/>
      <c r="C128" s="69"/>
      <c r="D128" s="69"/>
      <c r="E128" s="69"/>
      <c r="F128" s="69"/>
      <c r="G128" s="69"/>
    </row>
    <row r="129" spans="1:7" ht="12">
      <c r="A129" s="69"/>
      <c r="B129" s="69"/>
      <c r="C129" s="69"/>
      <c r="D129" s="69"/>
      <c r="E129" s="69"/>
      <c r="F129" s="69"/>
      <c r="G129" s="69"/>
    </row>
    <row r="130" spans="1:7" ht="12">
      <c r="A130" s="69"/>
      <c r="B130" s="69"/>
      <c r="C130" s="69"/>
      <c r="D130" s="69"/>
      <c r="E130" s="69"/>
      <c r="F130" s="69"/>
      <c r="G130" s="69"/>
    </row>
    <row r="131" spans="1:7" ht="12">
      <c r="A131" s="69"/>
      <c r="B131" s="69"/>
      <c r="C131" s="69"/>
      <c r="D131" s="69"/>
      <c r="E131" s="69"/>
      <c r="F131" s="69"/>
      <c r="G131" s="69"/>
    </row>
    <row r="132" spans="1:7" ht="12">
      <c r="A132" s="69"/>
      <c r="B132" s="69"/>
      <c r="C132" s="69"/>
      <c r="D132" s="69"/>
      <c r="E132" s="69"/>
      <c r="F132" s="69"/>
      <c r="G132" s="69"/>
    </row>
    <row r="133" spans="1:7" ht="12">
      <c r="A133" s="69"/>
      <c r="B133" s="69"/>
      <c r="C133" s="69"/>
      <c r="D133" s="69"/>
      <c r="E133" s="69"/>
      <c r="F133" s="69"/>
      <c r="G133" s="69"/>
    </row>
    <row r="134" spans="1:7" ht="12">
      <c r="A134" s="69"/>
      <c r="B134" s="69"/>
      <c r="C134" s="69"/>
      <c r="D134" s="69"/>
      <c r="E134" s="69"/>
      <c r="F134" s="69"/>
      <c r="G134" s="69"/>
    </row>
    <row r="135" spans="1:7" ht="12">
      <c r="A135" s="69"/>
      <c r="B135" s="69"/>
      <c r="C135" s="69"/>
      <c r="D135" s="69"/>
      <c r="E135" s="69"/>
      <c r="F135" s="69"/>
      <c r="G135" s="69"/>
    </row>
    <row r="136" spans="1:7" ht="12">
      <c r="A136" s="69"/>
      <c r="B136" s="69"/>
      <c r="C136" s="69"/>
      <c r="D136" s="69"/>
      <c r="E136" s="69"/>
      <c r="F136" s="69"/>
      <c r="G136" s="69"/>
    </row>
    <row r="137" spans="1:7" ht="12">
      <c r="A137" s="69"/>
      <c r="B137" s="69"/>
      <c r="C137" s="69"/>
      <c r="D137" s="69"/>
      <c r="E137" s="69"/>
      <c r="F137" s="69"/>
      <c r="G137" s="69"/>
    </row>
    <row r="138" spans="1:7" ht="12">
      <c r="A138" s="69"/>
      <c r="B138" s="69"/>
      <c r="C138" s="69"/>
      <c r="D138" s="69"/>
      <c r="E138" s="69"/>
      <c r="F138" s="69"/>
      <c r="G138" s="69"/>
    </row>
    <row r="139" spans="1:7" ht="12">
      <c r="A139" s="69"/>
      <c r="B139" s="69"/>
      <c r="C139" s="69"/>
      <c r="D139" s="69"/>
      <c r="E139" s="69"/>
      <c r="F139" s="69"/>
      <c r="G139" s="69"/>
    </row>
    <row r="140" spans="1:7" ht="12">
      <c r="A140" s="69"/>
      <c r="B140" s="69"/>
      <c r="C140" s="69"/>
      <c r="D140" s="69"/>
      <c r="E140" s="69"/>
      <c r="F140" s="69"/>
      <c r="G140" s="69"/>
    </row>
    <row r="141" spans="1:7" ht="12">
      <c r="A141" s="69"/>
      <c r="B141" s="69"/>
      <c r="C141" s="69"/>
      <c r="D141" s="69"/>
      <c r="E141" s="69"/>
      <c r="F141" s="69"/>
      <c r="G141" s="69"/>
    </row>
    <row r="142" spans="1:7" ht="12">
      <c r="A142" s="69"/>
      <c r="B142" s="69"/>
      <c r="C142" s="69"/>
      <c r="D142" s="69"/>
      <c r="E142" s="69"/>
      <c r="F142" s="69"/>
      <c r="G142" s="69"/>
    </row>
    <row r="143" spans="1:7" ht="12">
      <c r="A143" s="69"/>
      <c r="B143" s="69"/>
      <c r="C143" s="69"/>
      <c r="D143" s="69"/>
      <c r="E143" s="69"/>
      <c r="F143" s="69"/>
      <c r="G143" s="69"/>
    </row>
    <row r="144" spans="1:7" ht="12">
      <c r="A144" s="69"/>
      <c r="B144" s="69"/>
      <c r="C144" s="69"/>
      <c r="D144" s="69"/>
      <c r="E144" s="69"/>
      <c r="F144" s="69"/>
      <c r="G144" s="69"/>
    </row>
    <row r="145" spans="1:7" ht="12">
      <c r="A145" s="69"/>
      <c r="B145" s="69"/>
      <c r="C145" s="69"/>
      <c r="D145" s="69"/>
      <c r="E145" s="69"/>
      <c r="F145" s="69"/>
      <c r="G145" s="69"/>
    </row>
    <row r="146" spans="1:7" ht="12">
      <c r="A146" s="69"/>
      <c r="B146" s="69"/>
      <c r="C146" s="69"/>
      <c r="D146" s="69"/>
      <c r="E146" s="69"/>
      <c r="F146" s="69"/>
      <c r="G146" s="69"/>
    </row>
    <row r="147" spans="1:7" ht="12">
      <c r="A147" s="69"/>
      <c r="B147" s="69"/>
      <c r="C147" s="69"/>
      <c r="D147" s="69"/>
      <c r="E147" s="69"/>
      <c r="F147" s="69"/>
      <c r="G147" s="69"/>
    </row>
    <row r="148" spans="1:7" ht="12">
      <c r="A148" s="69"/>
      <c r="B148" s="69"/>
      <c r="C148" s="69"/>
      <c r="D148" s="69"/>
      <c r="E148" s="69"/>
      <c r="F148" s="69"/>
      <c r="G148" s="69"/>
    </row>
    <row r="149" spans="1:7" ht="12">
      <c r="A149" s="69"/>
      <c r="B149" s="69"/>
      <c r="C149" s="69"/>
      <c r="D149" s="69"/>
      <c r="E149" s="69"/>
      <c r="F149" s="69"/>
      <c r="G149" s="69"/>
    </row>
    <row r="150" spans="1:7" ht="12">
      <c r="A150" s="69"/>
      <c r="B150" s="69"/>
      <c r="C150" s="69"/>
      <c r="D150" s="69"/>
      <c r="E150" s="69"/>
      <c r="F150" s="69"/>
      <c r="G150" s="69"/>
    </row>
    <row r="151" spans="1:7" ht="12">
      <c r="A151" s="69"/>
      <c r="B151" s="69"/>
      <c r="C151" s="69"/>
      <c r="D151" s="69"/>
      <c r="E151" s="69"/>
      <c r="F151" s="69"/>
      <c r="G151" s="69"/>
    </row>
    <row r="152" spans="1:7" ht="12">
      <c r="A152" s="69"/>
      <c r="B152" s="69"/>
      <c r="C152" s="69"/>
      <c r="D152" s="69"/>
      <c r="E152" s="69"/>
      <c r="F152" s="69"/>
      <c r="G152" s="69"/>
    </row>
    <row r="153" spans="1:7" ht="12">
      <c r="A153" s="69"/>
      <c r="B153" s="69"/>
      <c r="C153" s="69"/>
      <c r="D153" s="69"/>
      <c r="E153" s="69"/>
      <c r="F153" s="69"/>
      <c r="G153" s="69"/>
    </row>
    <row r="154" spans="1:7" ht="12">
      <c r="A154" s="69"/>
      <c r="B154" s="69"/>
      <c r="C154" s="69"/>
      <c r="D154" s="69"/>
      <c r="E154" s="69"/>
      <c r="F154" s="69"/>
      <c r="G154" s="69"/>
    </row>
    <row r="155" spans="1:7" ht="12">
      <c r="A155" s="69"/>
      <c r="B155" s="69"/>
      <c r="C155" s="69"/>
      <c r="D155" s="69"/>
      <c r="E155" s="69"/>
      <c r="F155" s="69"/>
      <c r="G155" s="69"/>
    </row>
    <row r="156" spans="1:7" ht="12">
      <c r="A156" s="69"/>
      <c r="B156" s="69"/>
      <c r="C156" s="69"/>
      <c r="D156" s="69"/>
      <c r="E156" s="69"/>
      <c r="F156" s="69"/>
      <c r="G156" s="69"/>
    </row>
    <row r="157" spans="1:7" ht="12">
      <c r="A157" s="69"/>
      <c r="B157" s="69"/>
      <c r="C157" s="69"/>
      <c r="D157" s="69"/>
      <c r="E157" s="69"/>
      <c r="F157" s="69"/>
      <c r="G157" s="69"/>
    </row>
    <row r="158" spans="1:7" ht="12">
      <c r="A158" s="69"/>
      <c r="B158" s="69"/>
      <c r="C158" s="69"/>
      <c r="D158" s="69"/>
      <c r="E158" s="69"/>
      <c r="F158" s="69"/>
      <c r="G158" s="69"/>
    </row>
    <row r="159" spans="1:7" ht="12">
      <c r="A159" s="69"/>
      <c r="B159" s="69"/>
      <c r="C159" s="69"/>
      <c r="D159" s="69"/>
      <c r="E159" s="69"/>
      <c r="F159" s="69"/>
      <c r="G159" s="69"/>
    </row>
    <row r="160" spans="1:7" ht="12">
      <c r="A160" s="69"/>
      <c r="B160" s="69"/>
      <c r="C160" s="69"/>
      <c r="D160" s="69"/>
      <c r="E160" s="69"/>
      <c r="F160" s="69"/>
      <c r="G160" s="69"/>
    </row>
    <row r="161" spans="1:7" ht="12">
      <c r="A161" s="69"/>
      <c r="B161" s="69"/>
      <c r="C161" s="69"/>
      <c r="D161" s="69"/>
      <c r="E161" s="69"/>
      <c r="F161" s="69"/>
      <c r="G161" s="69"/>
    </row>
    <row r="162" spans="1:7" ht="12">
      <c r="A162" s="69"/>
      <c r="B162" s="69"/>
      <c r="C162" s="69"/>
      <c r="D162" s="69"/>
      <c r="E162" s="69"/>
      <c r="F162" s="69"/>
      <c r="G162" s="69"/>
    </row>
    <row r="163" spans="1:7" ht="12">
      <c r="A163" s="69"/>
      <c r="B163" s="69"/>
      <c r="C163" s="69"/>
      <c r="D163" s="69"/>
      <c r="E163" s="69"/>
      <c r="F163" s="69"/>
      <c r="G163" s="69"/>
    </row>
    <row r="164" spans="1:7" ht="12">
      <c r="A164" s="69"/>
      <c r="B164" s="69"/>
      <c r="C164" s="69"/>
      <c r="D164" s="69"/>
      <c r="E164" s="69"/>
      <c r="F164" s="69"/>
      <c r="G164" s="69"/>
    </row>
    <row r="165" spans="1:7" ht="12">
      <c r="A165" s="69"/>
      <c r="B165" s="69"/>
      <c r="C165" s="69"/>
      <c r="D165" s="69"/>
      <c r="E165" s="69"/>
      <c r="F165" s="69"/>
      <c r="G165" s="69"/>
    </row>
    <row r="166" spans="1:7" ht="12">
      <c r="A166" s="69"/>
      <c r="B166" s="69"/>
      <c r="C166" s="69"/>
      <c r="D166" s="69"/>
      <c r="E166" s="69"/>
      <c r="F166" s="69"/>
      <c r="G166" s="69"/>
    </row>
    <row r="167" spans="1:7" ht="12">
      <c r="A167" s="69"/>
      <c r="B167" s="69"/>
      <c r="C167" s="69"/>
      <c r="D167" s="69"/>
      <c r="E167" s="69"/>
      <c r="F167" s="69"/>
      <c r="G167" s="69"/>
    </row>
    <row r="168" spans="1:7" ht="12">
      <c r="A168" s="69"/>
      <c r="B168" s="69"/>
      <c r="C168" s="69"/>
      <c r="D168" s="69"/>
      <c r="E168" s="69"/>
      <c r="F168" s="69"/>
      <c r="G168" s="69"/>
    </row>
    <row r="169" spans="1:7" ht="12">
      <c r="A169" s="69"/>
      <c r="B169" s="69"/>
      <c r="C169" s="69"/>
      <c r="D169" s="69"/>
      <c r="E169" s="69"/>
      <c r="F169" s="69"/>
      <c r="G169" s="69"/>
    </row>
    <row r="170" spans="1:7" ht="12">
      <c r="A170" s="69"/>
      <c r="B170" s="69"/>
      <c r="C170" s="69"/>
      <c r="D170" s="69"/>
      <c r="E170" s="69"/>
      <c r="F170" s="69"/>
      <c r="G170" s="69"/>
    </row>
    <row r="171" spans="1:7" ht="12">
      <c r="A171" s="69"/>
      <c r="B171" s="69"/>
      <c r="C171" s="69"/>
      <c r="D171" s="69"/>
      <c r="E171" s="69"/>
      <c r="F171" s="69"/>
      <c r="G171" s="69"/>
    </row>
    <row r="172" spans="1:7" ht="12">
      <c r="A172" s="69"/>
      <c r="B172" s="69"/>
      <c r="C172" s="69"/>
      <c r="D172" s="69"/>
      <c r="E172" s="69"/>
      <c r="F172" s="69"/>
      <c r="G172" s="69"/>
    </row>
    <row r="173" spans="1:7" ht="12">
      <c r="A173" s="69"/>
      <c r="B173" s="69"/>
      <c r="C173" s="69"/>
      <c r="D173" s="69"/>
      <c r="E173" s="69"/>
      <c r="F173" s="69"/>
      <c r="G173" s="69"/>
    </row>
    <row r="174" spans="1:7" ht="12">
      <c r="A174" s="69"/>
      <c r="B174" s="69"/>
      <c r="C174" s="69"/>
      <c r="D174" s="69"/>
      <c r="E174" s="69"/>
      <c r="F174" s="69"/>
      <c r="G174" s="69"/>
    </row>
    <row r="175" spans="1:7" ht="12">
      <c r="A175" s="69"/>
      <c r="B175" s="69"/>
      <c r="C175" s="69"/>
      <c r="D175" s="69"/>
      <c r="E175" s="69"/>
      <c r="F175" s="69"/>
      <c r="G175" s="69"/>
    </row>
    <row r="176" spans="1:7" ht="12">
      <c r="A176" s="69"/>
      <c r="B176" s="69"/>
      <c r="C176" s="69"/>
      <c r="D176" s="69"/>
      <c r="E176" s="69"/>
      <c r="F176" s="69"/>
      <c r="G176" s="69"/>
    </row>
    <row r="177" spans="1:7" ht="12">
      <c r="A177" s="69"/>
      <c r="B177" s="69"/>
      <c r="C177" s="69"/>
      <c r="D177" s="69"/>
      <c r="E177" s="69"/>
      <c r="F177" s="69"/>
      <c r="G177" s="69"/>
    </row>
    <row r="178" spans="1:7" ht="12">
      <c r="A178" s="69"/>
      <c r="B178" s="69"/>
      <c r="C178" s="69"/>
      <c r="D178" s="69"/>
      <c r="E178" s="69"/>
      <c r="F178" s="69"/>
      <c r="G178" s="69"/>
    </row>
    <row r="179" spans="1:7" ht="12">
      <c r="A179" s="69"/>
      <c r="B179" s="69"/>
      <c r="C179" s="69"/>
      <c r="D179" s="69"/>
      <c r="E179" s="69"/>
      <c r="F179" s="69"/>
      <c r="G179" s="69"/>
    </row>
    <row r="180" spans="1:7" ht="12">
      <c r="A180" s="69"/>
      <c r="B180" s="69"/>
      <c r="C180" s="69"/>
      <c r="D180" s="69"/>
      <c r="E180" s="69"/>
      <c r="F180" s="69"/>
      <c r="G180" s="69"/>
    </row>
    <row r="181" spans="1:7" ht="12">
      <c r="A181" s="69"/>
      <c r="B181" s="69"/>
      <c r="C181" s="69"/>
      <c r="D181" s="69"/>
      <c r="E181" s="69"/>
      <c r="F181" s="69"/>
      <c r="G181" s="69"/>
    </row>
    <row r="182" spans="1:7" ht="12">
      <c r="A182" s="69"/>
      <c r="B182" s="69"/>
      <c r="C182" s="69"/>
      <c r="D182" s="69"/>
      <c r="E182" s="69"/>
      <c r="F182" s="69"/>
      <c r="G182" s="69"/>
    </row>
    <row r="183" spans="1:7" ht="12">
      <c r="A183" s="69"/>
      <c r="B183" s="69"/>
      <c r="C183" s="69"/>
      <c r="D183" s="69"/>
      <c r="E183" s="69"/>
      <c r="F183" s="69"/>
      <c r="G183" s="69"/>
    </row>
    <row r="184" spans="1:7" ht="12">
      <c r="A184" s="69"/>
      <c r="B184" s="69"/>
      <c r="C184" s="69"/>
      <c r="D184" s="69"/>
      <c r="E184" s="69"/>
      <c r="F184" s="69"/>
      <c r="G184" s="69"/>
    </row>
    <row r="185" spans="1:7" ht="12">
      <c r="A185" s="69"/>
      <c r="B185" s="69"/>
      <c r="C185" s="69"/>
      <c r="D185" s="69"/>
      <c r="E185" s="69"/>
      <c r="F185" s="69"/>
      <c r="G185" s="69"/>
    </row>
    <row r="186" spans="1:7" ht="12">
      <c r="A186" s="69"/>
      <c r="B186" s="69"/>
      <c r="C186" s="69"/>
      <c r="D186" s="69"/>
      <c r="E186" s="69"/>
      <c r="F186" s="69"/>
      <c r="G186" s="69"/>
    </row>
    <row r="187" spans="1:7" ht="12">
      <c r="A187" s="69"/>
      <c r="B187" s="69"/>
      <c r="C187" s="69"/>
      <c r="D187" s="69"/>
      <c r="E187" s="69"/>
      <c r="F187" s="69"/>
      <c r="G187" s="69"/>
    </row>
    <row r="188" spans="1:7" ht="12">
      <c r="A188" s="69"/>
      <c r="B188" s="69"/>
      <c r="C188" s="69"/>
      <c r="D188" s="69"/>
      <c r="E188" s="69"/>
      <c r="F188" s="69"/>
      <c r="G188" s="69"/>
    </row>
    <row r="189" spans="1:7" ht="12">
      <c r="A189" s="69"/>
      <c r="B189" s="69"/>
      <c r="C189" s="69"/>
      <c r="D189" s="69"/>
      <c r="E189" s="69"/>
      <c r="F189" s="69"/>
      <c r="G189" s="69"/>
    </row>
    <row r="190" spans="1:7" ht="12">
      <c r="A190" s="69"/>
      <c r="B190" s="69"/>
      <c r="C190" s="69"/>
      <c r="D190" s="69"/>
      <c r="E190" s="69"/>
      <c r="F190" s="69"/>
      <c r="G190" s="69"/>
    </row>
    <row r="191" spans="1:7" ht="12">
      <c r="A191" s="69"/>
      <c r="B191" s="69"/>
      <c r="C191" s="69"/>
      <c r="D191" s="69"/>
      <c r="E191" s="69"/>
      <c r="F191" s="69"/>
      <c r="G191" s="69"/>
    </row>
    <row r="192" spans="1:7" ht="12">
      <c r="A192" s="69"/>
      <c r="B192" s="69"/>
      <c r="C192" s="69"/>
      <c r="D192" s="69"/>
      <c r="E192" s="69"/>
      <c r="F192" s="69"/>
      <c r="G192" s="69"/>
    </row>
    <row r="193" spans="1:7" ht="12">
      <c r="A193" s="69"/>
      <c r="B193" s="69"/>
      <c r="C193" s="69"/>
      <c r="D193" s="69"/>
      <c r="E193" s="69"/>
      <c r="F193" s="69"/>
      <c r="G193" s="69"/>
    </row>
    <row r="194" spans="1:7" ht="12">
      <c r="A194" s="69"/>
      <c r="B194" s="69"/>
      <c r="C194" s="69"/>
      <c r="D194" s="69"/>
      <c r="E194" s="69"/>
      <c r="F194" s="69"/>
      <c r="G194" s="69"/>
    </row>
    <row r="195" spans="1:7" ht="12">
      <c r="A195" s="69"/>
      <c r="B195" s="69"/>
      <c r="C195" s="69"/>
      <c r="D195" s="69"/>
      <c r="E195" s="69"/>
      <c r="F195" s="69"/>
      <c r="G195" s="69"/>
    </row>
    <row r="196" spans="1:7" ht="12">
      <c r="A196" s="69"/>
      <c r="B196" s="69"/>
      <c r="C196" s="69"/>
      <c r="D196" s="69"/>
      <c r="E196" s="69"/>
      <c r="F196" s="69"/>
      <c r="G196" s="69"/>
    </row>
    <row r="197" spans="1:7" ht="12">
      <c r="A197" s="69"/>
      <c r="B197" s="69"/>
      <c r="C197" s="69"/>
      <c r="D197" s="69"/>
      <c r="E197" s="69"/>
      <c r="F197" s="69"/>
      <c r="G197" s="69"/>
    </row>
    <row r="198" spans="1:7" ht="12">
      <c r="A198" s="69"/>
      <c r="B198" s="69"/>
      <c r="C198" s="69"/>
      <c r="D198" s="69"/>
      <c r="E198" s="69"/>
      <c r="F198" s="69"/>
      <c r="G198" s="69"/>
    </row>
    <row r="199" spans="1:7" ht="12">
      <c r="A199" s="69"/>
      <c r="B199" s="69"/>
      <c r="C199" s="69"/>
      <c r="D199" s="69"/>
      <c r="E199" s="69"/>
      <c r="F199" s="69"/>
      <c r="G199" s="69"/>
    </row>
    <row r="200" spans="1:7" ht="12">
      <c r="A200" s="69"/>
      <c r="B200" s="69"/>
      <c r="C200" s="69"/>
      <c r="D200" s="69"/>
      <c r="E200" s="69"/>
      <c r="F200" s="69"/>
      <c r="G200" s="69"/>
    </row>
    <row r="201" spans="1:7" ht="12">
      <c r="A201" s="69"/>
      <c r="B201" s="69"/>
      <c r="C201" s="69"/>
      <c r="D201" s="69"/>
      <c r="E201" s="69"/>
      <c r="F201" s="69"/>
      <c r="G201" s="69"/>
    </row>
    <row r="202" spans="1:7" ht="12">
      <c r="A202" s="69"/>
      <c r="B202" s="69"/>
      <c r="C202" s="69"/>
      <c r="D202" s="69"/>
      <c r="E202" s="69"/>
      <c r="F202" s="69"/>
      <c r="G202" s="69"/>
    </row>
    <row r="203" spans="1:7" ht="12">
      <c r="A203" s="69"/>
      <c r="B203" s="69"/>
      <c r="C203" s="69"/>
      <c r="D203" s="69"/>
      <c r="E203" s="69"/>
      <c r="F203" s="69"/>
      <c r="G203" s="69"/>
    </row>
    <row r="204" spans="1:7" ht="12">
      <c r="A204" s="69"/>
      <c r="B204" s="69"/>
      <c r="C204" s="69"/>
      <c r="D204" s="69"/>
      <c r="E204" s="69"/>
      <c r="F204" s="69"/>
      <c r="G204" s="69"/>
    </row>
    <row r="205" spans="1:7" ht="12">
      <c r="A205" s="69"/>
      <c r="B205" s="69"/>
      <c r="C205" s="69"/>
      <c r="D205" s="69"/>
      <c r="E205" s="69"/>
      <c r="F205" s="69"/>
      <c r="G205" s="69"/>
    </row>
    <row r="206" spans="1:7" ht="12">
      <c r="A206" s="69"/>
      <c r="B206" s="69"/>
      <c r="C206" s="69"/>
      <c r="D206" s="69"/>
      <c r="E206" s="69"/>
      <c r="F206" s="69"/>
      <c r="G206" s="69"/>
    </row>
    <row r="207" spans="1:7" ht="12">
      <c r="A207" s="69"/>
      <c r="B207" s="69"/>
      <c r="C207" s="69"/>
      <c r="D207" s="69"/>
      <c r="E207" s="69"/>
      <c r="F207" s="69"/>
      <c r="G207" s="69"/>
    </row>
    <row r="208" spans="1:7" ht="12">
      <c r="A208" s="69"/>
      <c r="B208" s="69"/>
      <c r="C208" s="69"/>
      <c r="D208" s="69"/>
      <c r="E208" s="69"/>
      <c r="F208" s="69"/>
      <c r="G208" s="69"/>
    </row>
    <row r="209" spans="1:7" ht="12">
      <c r="A209" s="69"/>
      <c r="B209" s="69"/>
      <c r="C209" s="69"/>
      <c r="D209" s="69"/>
      <c r="E209" s="69"/>
      <c r="F209" s="69"/>
      <c r="G209" s="69"/>
    </row>
    <row r="210" spans="1:7" ht="12">
      <c r="A210" s="69"/>
      <c r="B210" s="69"/>
      <c r="C210" s="69"/>
      <c r="D210" s="69"/>
      <c r="E210" s="69"/>
      <c r="F210" s="69"/>
      <c r="G210" s="69"/>
    </row>
    <row r="211" spans="1:7" ht="12">
      <c r="A211" s="69"/>
      <c r="B211" s="69"/>
      <c r="C211" s="69"/>
      <c r="D211" s="69"/>
      <c r="E211" s="69"/>
      <c r="F211" s="69"/>
      <c r="G211" s="69"/>
    </row>
    <row r="212" spans="1:7" ht="12">
      <c r="A212" s="69"/>
      <c r="B212" s="69"/>
      <c r="C212" s="69"/>
      <c r="D212" s="69"/>
      <c r="E212" s="69"/>
      <c r="F212" s="69"/>
      <c r="G212" s="69"/>
    </row>
    <row r="213" spans="1:7" ht="12">
      <c r="A213" s="69"/>
      <c r="B213" s="69"/>
      <c r="C213" s="69"/>
      <c r="D213" s="69"/>
      <c r="E213" s="69"/>
      <c r="F213" s="69"/>
      <c r="G213" s="69"/>
    </row>
    <row r="214" spans="1:7" ht="12">
      <c r="A214" s="69"/>
      <c r="B214" s="69"/>
      <c r="C214" s="69"/>
      <c r="D214" s="69"/>
      <c r="E214" s="69"/>
      <c r="F214" s="69"/>
      <c r="G214" s="69"/>
    </row>
    <row r="215" spans="1:7" ht="12">
      <c r="A215" s="69"/>
      <c r="B215" s="69"/>
      <c r="C215" s="69"/>
      <c r="D215" s="69"/>
      <c r="E215" s="69"/>
      <c r="F215" s="69"/>
      <c r="G215" s="69"/>
    </row>
    <row r="216" spans="1:7" ht="12">
      <c r="A216" s="69"/>
      <c r="B216" s="69"/>
      <c r="C216" s="69"/>
      <c r="D216" s="69"/>
      <c r="E216" s="69"/>
      <c r="F216" s="69"/>
      <c r="G216" s="69"/>
    </row>
    <row r="217" spans="1:7" ht="12">
      <c r="A217" s="69"/>
      <c r="B217" s="69"/>
      <c r="C217" s="69"/>
      <c r="D217" s="69"/>
      <c r="E217" s="69"/>
      <c r="F217" s="69"/>
      <c r="G217" s="69"/>
    </row>
    <row r="218" spans="1:7" ht="12">
      <c r="A218" s="69"/>
      <c r="B218" s="69"/>
      <c r="C218" s="69"/>
      <c r="D218" s="69"/>
      <c r="E218" s="69"/>
      <c r="F218" s="69"/>
      <c r="G218" s="69"/>
    </row>
    <row r="219" spans="1:7" ht="12">
      <c r="A219" s="69"/>
      <c r="B219" s="69"/>
      <c r="C219" s="69"/>
      <c r="D219" s="69"/>
      <c r="E219" s="69"/>
      <c r="F219" s="69"/>
      <c r="G219" s="69"/>
    </row>
    <row r="220" spans="1:7" ht="12">
      <c r="A220" s="69"/>
      <c r="B220" s="69"/>
      <c r="C220" s="69"/>
      <c r="D220" s="69"/>
      <c r="E220" s="69"/>
      <c r="F220" s="69"/>
      <c r="G220" s="69"/>
    </row>
    <row r="221" spans="1:7" ht="12">
      <c r="A221" s="69"/>
      <c r="B221" s="69"/>
      <c r="C221" s="69"/>
      <c r="D221" s="69"/>
      <c r="E221" s="69"/>
      <c r="F221" s="69"/>
      <c r="G221" s="69"/>
    </row>
    <row r="222" spans="1:7" ht="12">
      <c r="A222" s="69"/>
      <c r="B222" s="69"/>
      <c r="C222" s="69"/>
      <c r="D222" s="69"/>
      <c r="E222" s="69"/>
      <c r="F222" s="69"/>
      <c r="G222" s="69"/>
    </row>
    <row r="223" spans="1:7" ht="12">
      <c r="A223" s="69"/>
      <c r="B223" s="69"/>
      <c r="C223" s="69"/>
      <c r="D223" s="69"/>
      <c r="E223" s="69"/>
      <c r="F223" s="69"/>
      <c r="G223" s="69"/>
    </row>
    <row r="224" spans="1:7" ht="12">
      <c r="A224" s="69"/>
      <c r="B224" s="69"/>
      <c r="C224" s="69"/>
      <c r="D224" s="69"/>
      <c r="E224" s="69"/>
      <c r="F224" s="69"/>
      <c r="G224" s="69"/>
    </row>
    <row r="225" spans="1:7" ht="12">
      <c r="A225" s="69"/>
      <c r="B225" s="69"/>
      <c r="C225" s="69"/>
      <c r="D225" s="69"/>
      <c r="E225" s="69"/>
      <c r="F225" s="69"/>
      <c r="G225" s="69"/>
    </row>
    <row r="226" spans="1:7" ht="12">
      <c r="A226" s="69"/>
      <c r="B226" s="69"/>
      <c r="C226" s="69"/>
      <c r="D226" s="69"/>
      <c r="E226" s="69"/>
      <c r="F226" s="69"/>
      <c r="G226" s="69"/>
    </row>
    <row r="227" spans="1:7" ht="12">
      <c r="A227" s="69"/>
      <c r="B227" s="69"/>
      <c r="C227" s="69"/>
      <c r="D227" s="69"/>
      <c r="E227" s="69"/>
      <c r="F227" s="69"/>
      <c r="G227" s="69"/>
    </row>
    <row r="228" spans="1:7" ht="12">
      <c r="A228" s="69"/>
      <c r="B228" s="69"/>
      <c r="C228" s="69"/>
      <c r="D228" s="69"/>
      <c r="E228" s="69"/>
      <c r="F228" s="69"/>
      <c r="G228" s="69"/>
    </row>
    <row r="229" spans="1:7" ht="12">
      <c r="A229" s="69"/>
      <c r="B229" s="69"/>
      <c r="C229" s="69"/>
      <c r="D229" s="69"/>
      <c r="E229" s="69"/>
      <c r="F229" s="69"/>
      <c r="G229" s="69"/>
    </row>
    <row r="230" spans="1:7" ht="12">
      <c r="A230" s="69"/>
      <c r="B230" s="69"/>
      <c r="C230" s="69"/>
      <c r="D230" s="69"/>
      <c r="E230" s="69"/>
      <c r="F230" s="69"/>
      <c r="G230" s="69"/>
    </row>
    <row r="231" spans="1:7" ht="12">
      <c r="A231" s="69"/>
      <c r="B231" s="69"/>
      <c r="C231" s="69"/>
      <c r="D231" s="69"/>
      <c r="E231" s="69"/>
      <c r="F231" s="69"/>
      <c r="G231" s="69"/>
    </row>
    <row r="232" spans="1:7" ht="12">
      <c r="A232" s="69"/>
      <c r="B232" s="69"/>
      <c r="C232" s="69"/>
      <c r="D232" s="69"/>
      <c r="E232" s="69"/>
      <c r="F232" s="69"/>
      <c r="G232" s="69"/>
    </row>
    <row r="233" spans="1:7" ht="12">
      <c r="A233" s="69"/>
      <c r="B233" s="69"/>
      <c r="C233" s="69"/>
      <c r="D233" s="69"/>
      <c r="E233" s="69"/>
      <c r="F233" s="69"/>
      <c r="G233" s="69"/>
    </row>
    <row r="234" spans="1:7" ht="12">
      <c r="A234" s="69"/>
      <c r="B234" s="69"/>
      <c r="C234" s="69"/>
      <c r="D234" s="69"/>
      <c r="E234" s="69"/>
      <c r="F234" s="69"/>
      <c r="G234" s="69"/>
    </row>
    <row r="235" spans="1:7" ht="12">
      <c r="A235" s="69"/>
      <c r="B235" s="69"/>
      <c r="C235" s="69"/>
      <c r="D235" s="69"/>
      <c r="E235" s="69"/>
      <c r="F235" s="69"/>
      <c r="G235" s="69"/>
    </row>
    <row r="236" spans="1:7" ht="12">
      <c r="A236" s="69"/>
      <c r="B236" s="69"/>
      <c r="C236" s="69"/>
      <c r="D236" s="69"/>
      <c r="E236" s="69"/>
      <c r="F236" s="69"/>
      <c r="G236" s="69"/>
    </row>
    <row r="237" spans="1:7" ht="12">
      <c r="A237" s="69"/>
      <c r="B237" s="69"/>
      <c r="C237" s="69"/>
      <c r="D237" s="69"/>
      <c r="E237" s="69"/>
      <c r="F237" s="69"/>
      <c r="G237" s="69"/>
    </row>
    <row r="238" spans="1:7" ht="12">
      <c r="A238" s="69"/>
      <c r="B238" s="69"/>
      <c r="C238" s="69"/>
      <c r="D238" s="69"/>
      <c r="E238" s="69"/>
      <c r="F238" s="69"/>
      <c r="G238" s="69"/>
    </row>
    <row r="239" spans="1:7" ht="12">
      <c r="A239" s="69"/>
      <c r="B239" s="69"/>
      <c r="C239" s="69"/>
      <c r="D239" s="69"/>
      <c r="E239" s="69"/>
      <c r="F239" s="69"/>
      <c r="G239" s="69"/>
    </row>
    <row r="240" spans="1:7" ht="12">
      <c r="A240" s="69"/>
      <c r="B240" s="69"/>
      <c r="C240" s="69"/>
      <c r="D240" s="69"/>
      <c r="E240" s="69"/>
      <c r="F240" s="69"/>
      <c r="G240" s="69"/>
    </row>
    <row r="241" spans="1:7" ht="12">
      <c r="A241" s="69"/>
      <c r="B241" s="69"/>
      <c r="C241" s="69"/>
      <c r="D241" s="69"/>
      <c r="E241" s="69"/>
      <c r="F241" s="69"/>
      <c r="G241" s="69"/>
    </row>
    <row r="242" spans="1:7" ht="12">
      <c r="A242" s="69"/>
      <c r="B242" s="69"/>
      <c r="C242" s="69"/>
      <c r="D242" s="69"/>
      <c r="E242" s="69"/>
      <c r="F242" s="69"/>
      <c r="G242" s="69"/>
    </row>
    <row r="243" spans="1:7" ht="12">
      <c r="A243" s="69"/>
      <c r="B243" s="69"/>
      <c r="C243" s="69"/>
      <c r="D243" s="69"/>
      <c r="E243" s="69"/>
      <c r="F243" s="69"/>
      <c r="G243" s="69"/>
    </row>
    <row r="244" spans="1:7" ht="12">
      <c r="A244" s="69"/>
      <c r="B244" s="69"/>
      <c r="C244" s="69"/>
      <c r="D244" s="69"/>
      <c r="E244" s="69"/>
      <c r="F244" s="69"/>
      <c r="G244" s="69"/>
    </row>
    <row r="245" spans="1:7" ht="12">
      <c r="A245" s="69"/>
      <c r="B245" s="69"/>
      <c r="C245" s="69"/>
      <c r="D245" s="69"/>
      <c r="E245" s="69"/>
      <c r="F245" s="69"/>
      <c r="G245" s="69"/>
    </row>
    <row r="246" spans="1:7" ht="12">
      <c r="A246" s="69"/>
      <c r="B246" s="69"/>
      <c r="C246" s="69"/>
      <c r="D246" s="69"/>
      <c r="E246" s="69"/>
      <c r="F246" s="69"/>
      <c r="G246" s="69"/>
    </row>
    <row r="247" spans="1:7" ht="12">
      <c r="A247" s="69"/>
      <c r="B247" s="69"/>
      <c r="C247" s="69"/>
      <c r="D247" s="69"/>
      <c r="E247" s="69"/>
      <c r="F247" s="69"/>
      <c r="G247" s="69"/>
    </row>
    <row r="248" spans="1:7" ht="12">
      <c r="A248" s="69"/>
      <c r="B248" s="69"/>
      <c r="C248" s="69"/>
      <c r="D248" s="69"/>
      <c r="E248" s="69"/>
      <c r="F248" s="69"/>
      <c r="G248" s="69"/>
    </row>
    <row r="249" spans="1:7" ht="12">
      <c r="A249" s="69"/>
      <c r="B249" s="69"/>
      <c r="C249" s="69"/>
      <c r="D249" s="69"/>
      <c r="E249" s="69"/>
      <c r="F249" s="69"/>
      <c r="G249" s="69"/>
    </row>
    <row r="250" spans="1:7" ht="12">
      <c r="A250" s="69"/>
      <c r="B250" s="69"/>
      <c r="C250" s="69"/>
      <c r="D250" s="69"/>
      <c r="E250" s="69"/>
      <c r="F250" s="69"/>
      <c r="G250" s="69"/>
    </row>
    <row r="251" spans="1:7" ht="12">
      <c r="A251" s="69"/>
      <c r="B251" s="69"/>
      <c r="C251" s="69"/>
      <c r="D251" s="69"/>
      <c r="E251" s="69"/>
      <c r="F251" s="69"/>
      <c r="G251" s="69"/>
    </row>
    <row r="252" spans="1:7" ht="12">
      <c r="A252" s="69"/>
      <c r="B252" s="69"/>
      <c r="C252" s="69"/>
      <c r="D252" s="69"/>
      <c r="E252" s="69"/>
      <c r="F252" s="69"/>
      <c r="G252" s="69"/>
    </row>
    <row r="253" spans="1:7" ht="12">
      <c r="A253" s="69"/>
      <c r="B253" s="69"/>
      <c r="C253" s="69"/>
      <c r="D253" s="69"/>
      <c r="E253" s="69"/>
      <c r="F253" s="69"/>
      <c r="G253" s="69"/>
    </row>
    <row r="254" spans="1:7" ht="12">
      <c r="A254" s="69"/>
      <c r="B254" s="69"/>
      <c r="C254" s="69"/>
      <c r="D254" s="69"/>
      <c r="E254" s="69"/>
      <c r="F254" s="69"/>
      <c r="G254" s="69"/>
    </row>
    <row r="255" spans="1:7" ht="12">
      <c r="A255" s="69"/>
      <c r="B255" s="69"/>
      <c r="C255" s="69"/>
      <c r="D255" s="69"/>
      <c r="E255" s="69"/>
      <c r="F255" s="69"/>
      <c r="G255" s="69"/>
    </row>
    <row r="256" spans="1:7" ht="12">
      <c r="A256" s="69"/>
      <c r="B256" s="69"/>
      <c r="C256" s="69"/>
      <c r="D256" s="69"/>
      <c r="E256" s="69"/>
      <c r="F256" s="69"/>
      <c r="G256" s="69"/>
    </row>
    <row r="257" spans="1:7" ht="12">
      <c r="A257" s="69"/>
      <c r="B257" s="69"/>
      <c r="C257" s="69"/>
      <c r="D257" s="69"/>
      <c r="E257" s="69"/>
      <c r="F257" s="69"/>
      <c r="G257" s="69"/>
    </row>
    <row r="258" spans="1:7" ht="12">
      <c r="A258" s="69"/>
      <c r="B258" s="69"/>
      <c r="C258" s="69"/>
      <c r="D258" s="69"/>
      <c r="E258" s="69"/>
      <c r="F258" s="69"/>
      <c r="G258" s="69"/>
    </row>
    <row r="259" spans="1:7" ht="12">
      <c r="A259" s="69"/>
      <c r="B259" s="69"/>
      <c r="C259" s="69"/>
      <c r="D259" s="69"/>
      <c r="E259" s="69"/>
      <c r="F259" s="69"/>
      <c r="G259" s="69"/>
    </row>
    <row r="260" spans="1:7" ht="12">
      <c r="A260" s="69"/>
      <c r="B260" s="69"/>
      <c r="C260" s="69"/>
      <c r="D260" s="69"/>
      <c r="E260" s="69"/>
      <c r="F260" s="69"/>
      <c r="G260" s="69"/>
    </row>
    <row r="261" spans="1:7" ht="12">
      <c r="A261" s="69"/>
      <c r="B261" s="69"/>
      <c r="C261" s="69"/>
      <c r="D261" s="69"/>
      <c r="E261" s="69"/>
      <c r="F261" s="69"/>
      <c r="G261" s="69"/>
    </row>
    <row r="262" spans="1:7" ht="12">
      <c r="A262" s="69"/>
      <c r="B262" s="69"/>
      <c r="C262" s="69"/>
      <c r="D262" s="69"/>
      <c r="E262" s="69"/>
      <c r="F262" s="69"/>
      <c r="G262" s="69"/>
    </row>
    <row r="263" spans="1:7" ht="12">
      <c r="A263" s="69"/>
      <c r="B263" s="69"/>
      <c r="C263" s="69"/>
      <c r="D263" s="69"/>
      <c r="E263" s="69"/>
      <c r="F263" s="69"/>
      <c r="G263" s="69"/>
    </row>
    <row r="264" spans="1:7" ht="12">
      <c r="A264" s="69"/>
      <c r="B264" s="69"/>
      <c r="C264" s="69"/>
      <c r="D264" s="69"/>
      <c r="E264" s="69"/>
      <c r="F264" s="69"/>
      <c r="G264" s="69"/>
    </row>
    <row r="265" spans="1:7" ht="12">
      <c r="A265" s="69"/>
      <c r="B265" s="69"/>
      <c r="C265" s="69"/>
      <c r="D265" s="69"/>
      <c r="E265" s="69"/>
      <c r="F265" s="69"/>
      <c r="G265" s="69"/>
    </row>
    <row r="266" spans="1:7" ht="12">
      <c r="A266" s="69"/>
      <c r="B266" s="69"/>
      <c r="C266" s="69"/>
      <c r="D266" s="69"/>
      <c r="E266" s="69"/>
      <c r="F266" s="69"/>
      <c r="G266" s="69"/>
    </row>
    <row r="267" spans="1:7" ht="12">
      <c r="A267" s="69"/>
      <c r="B267" s="69"/>
      <c r="C267" s="69"/>
      <c r="D267" s="69"/>
      <c r="E267" s="69"/>
      <c r="F267" s="69"/>
      <c r="G267" s="69"/>
    </row>
    <row r="268" spans="1:7" ht="12">
      <c r="A268" s="69"/>
      <c r="B268" s="69"/>
      <c r="C268" s="69"/>
      <c r="D268" s="69"/>
      <c r="E268" s="69"/>
      <c r="F268" s="69"/>
      <c r="G268" s="69"/>
    </row>
    <row r="269" spans="1:7" ht="12">
      <c r="A269" s="69"/>
      <c r="B269" s="69"/>
      <c r="C269" s="69"/>
      <c r="D269" s="69"/>
      <c r="E269" s="69"/>
      <c r="F269" s="69"/>
      <c r="G269" s="69"/>
    </row>
    <row r="270" spans="1:7" ht="12">
      <c r="A270" s="69"/>
      <c r="B270" s="69"/>
      <c r="C270" s="69"/>
      <c r="D270" s="69"/>
      <c r="E270" s="69"/>
      <c r="F270" s="69"/>
      <c r="G270" s="69"/>
    </row>
    <row r="271" spans="1:7" ht="12">
      <c r="A271" s="69"/>
      <c r="B271" s="69"/>
      <c r="C271" s="69"/>
      <c r="D271" s="69"/>
      <c r="E271" s="69"/>
      <c r="F271" s="69"/>
      <c r="G271" s="69"/>
    </row>
    <row r="272" spans="1:7" ht="12">
      <c r="A272" s="69"/>
      <c r="B272" s="69"/>
      <c r="C272" s="69"/>
      <c r="D272" s="69"/>
      <c r="E272" s="69"/>
      <c r="F272" s="69"/>
      <c r="G272" s="69"/>
    </row>
    <row r="273" spans="1:7" ht="12">
      <c r="A273" s="69"/>
      <c r="B273" s="69"/>
      <c r="C273" s="69"/>
      <c r="D273" s="69"/>
      <c r="E273" s="69"/>
      <c r="F273" s="69"/>
      <c r="G273" s="69"/>
    </row>
    <row r="274" spans="1:7" ht="12">
      <c r="A274" s="69"/>
      <c r="B274" s="69"/>
      <c r="C274" s="69"/>
      <c r="D274" s="69"/>
      <c r="E274" s="69"/>
      <c r="F274" s="69"/>
      <c r="G274" s="69"/>
    </row>
    <row r="275" spans="1:7" ht="12">
      <c r="A275" s="69"/>
      <c r="B275" s="69"/>
      <c r="C275" s="69"/>
      <c r="D275" s="69"/>
      <c r="E275" s="69"/>
      <c r="F275" s="69"/>
      <c r="G275" s="69"/>
    </row>
    <row r="276" spans="1:7" ht="12">
      <c r="A276" s="69"/>
      <c r="B276" s="69"/>
      <c r="C276" s="69"/>
      <c r="D276" s="69"/>
      <c r="E276" s="69"/>
      <c r="F276" s="69"/>
      <c r="G276" s="69"/>
    </row>
    <row r="277" spans="1:7" ht="12">
      <c r="A277" s="69"/>
      <c r="B277" s="69"/>
      <c r="C277" s="69"/>
      <c r="D277" s="69"/>
      <c r="E277" s="69"/>
      <c r="F277" s="69"/>
      <c r="G277" s="69"/>
    </row>
    <row r="278" spans="1:7" ht="12">
      <c r="A278" s="69"/>
      <c r="B278" s="69"/>
      <c r="C278" s="69"/>
      <c r="D278" s="69"/>
      <c r="E278" s="69"/>
      <c r="F278" s="69"/>
      <c r="G278" s="69"/>
    </row>
    <row r="279" spans="1:7" ht="12">
      <c r="A279" s="69"/>
      <c r="B279" s="69"/>
      <c r="C279" s="69"/>
      <c r="D279" s="69"/>
      <c r="E279" s="69"/>
      <c r="F279" s="69"/>
      <c r="G279" s="69"/>
    </row>
    <row r="280" spans="1:7" ht="12">
      <c r="A280" s="69"/>
      <c r="B280" s="69"/>
      <c r="C280" s="69"/>
      <c r="D280" s="69"/>
      <c r="E280" s="69"/>
      <c r="F280" s="69"/>
      <c r="G280" s="69"/>
    </row>
    <row r="281" spans="1:7" ht="12">
      <c r="A281" s="69"/>
      <c r="B281" s="69"/>
      <c r="C281" s="69"/>
      <c r="D281" s="69"/>
      <c r="E281" s="69"/>
      <c r="F281" s="69"/>
      <c r="G281" s="69"/>
    </row>
    <row r="282" spans="1:7" ht="12">
      <c r="A282" s="69"/>
      <c r="B282" s="69"/>
      <c r="C282" s="69"/>
      <c r="D282" s="69"/>
      <c r="E282" s="69"/>
      <c r="F282" s="69"/>
      <c r="G282" s="69"/>
    </row>
    <row r="283" spans="1:7" ht="12">
      <c r="A283" s="69"/>
      <c r="B283" s="69"/>
      <c r="C283" s="69"/>
      <c r="D283" s="69"/>
      <c r="E283" s="69"/>
      <c r="F283" s="69"/>
      <c r="G283" s="69"/>
    </row>
    <row r="284" spans="1:7" ht="12">
      <c r="A284" s="69"/>
      <c r="B284" s="69"/>
      <c r="C284" s="69"/>
      <c r="D284" s="69"/>
      <c r="E284" s="69"/>
      <c r="F284" s="69"/>
      <c r="G284" s="69"/>
    </row>
    <row r="285" spans="1:7" ht="12">
      <c r="A285" s="69"/>
      <c r="B285" s="69"/>
      <c r="C285" s="69"/>
      <c r="D285" s="69"/>
      <c r="E285" s="69"/>
      <c r="F285" s="69"/>
      <c r="G285" s="69"/>
    </row>
    <row r="286" spans="1:7" ht="12">
      <c r="A286" s="69"/>
      <c r="B286" s="69"/>
      <c r="C286" s="69"/>
      <c r="D286" s="69"/>
      <c r="E286" s="69"/>
      <c r="F286" s="69"/>
      <c r="G286" s="69"/>
    </row>
    <row r="287" spans="1:7" ht="12">
      <c r="A287" s="69"/>
      <c r="B287" s="69"/>
      <c r="C287" s="69"/>
      <c r="D287" s="69"/>
      <c r="E287" s="69"/>
      <c r="F287" s="69"/>
      <c r="G287" s="69"/>
    </row>
    <row r="288" spans="1:7" ht="12">
      <c r="A288" s="69"/>
      <c r="B288" s="69"/>
      <c r="C288" s="69"/>
      <c r="D288" s="69"/>
      <c r="E288" s="69"/>
      <c r="F288" s="69"/>
      <c r="G288" s="69"/>
    </row>
    <row r="289" spans="1:7" ht="12">
      <c r="A289" s="69"/>
      <c r="B289" s="69"/>
      <c r="C289" s="69"/>
      <c r="D289" s="69"/>
      <c r="E289" s="69"/>
      <c r="F289" s="69"/>
      <c r="G289" s="69"/>
    </row>
    <row r="290" spans="1:7" ht="12">
      <c r="A290" s="69"/>
      <c r="B290" s="69"/>
      <c r="C290" s="69"/>
      <c r="D290" s="69"/>
      <c r="E290" s="69"/>
      <c r="F290" s="69"/>
      <c r="G290" s="69"/>
    </row>
    <row r="291" spans="1:7" ht="12">
      <c r="A291" s="69"/>
      <c r="B291" s="69"/>
      <c r="C291" s="69"/>
      <c r="D291" s="69"/>
      <c r="E291" s="69"/>
      <c r="F291" s="69"/>
      <c r="G291" s="69"/>
    </row>
    <row r="292" spans="1:7" ht="12">
      <c r="A292" s="69"/>
      <c r="B292" s="69"/>
      <c r="C292" s="69"/>
      <c r="D292" s="69"/>
      <c r="E292" s="69"/>
      <c r="F292" s="69"/>
      <c r="G292" s="69"/>
    </row>
    <row r="293" spans="1:7" ht="12">
      <c r="A293" s="69"/>
      <c r="B293" s="69"/>
      <c r="C293" s="69"/>
      <c r="D293" s="69"/>
      <c r="E293" s="69"/>
      <c r="F293" s="69"/>
      <c r="G293" s="69"/>
    </row>
    <row r="294" spans="1:7" ht="12">
      <c r="A294" s="69"/>
      <c r="B294" s="69"/>
      <c r="C294" s="69"/>
      <c r="D294" s="69"/>
      <c r="E294" s="69"/>
      <c r="F294" s="69"/>
      <c r="G294" s="69"/>
    </row>
    <row r="295" spans="1:7" ht="12">
      <c r="A295" s="69"/>
      <c r="B295" s="69"/>
      <c r="C295" s="69"/>
      <c r="D295" s="69"/>
      <c r="E295" s="69"/>
      <c r="F295" s="69"/>
      <c r="G295" s="69"/>
    </row>
    <row r="296" spans="1:7" ht="12">
      <c r="A296" s="69"/>
      <c r="B296" s="69"/>
      <c r="C296" s="69"/>
      <c r="D296" s="69"/>
      <c r="E296" s="69"/>
      <c r="F296" s="69"/>
      <c r="G296" s="69"/>
    </row>
    <row r="297" spans="1:7" ht="12">
      <c r="A297" s="69"/>
      <c r="B297" s="69"/>
      <c r="C297" s="69"/>
      <c r="D297" s="69"/>
      <c r="E297" s="69"/>
      <c r="F297" s="69"/>
      <c r="G297" s="69"/>
    </row>
    <row r="298" spans="1:7" ht="12">
      <c r="A298" s="69"/>
      <c r="B298" s="69"/>
      <c r="C298" s="69"/>
      <c r="D298" s="69"/>
      <c r="E298" s="69"/>
      <c r="F298" s="69"/>
      <c r="G298" s="69"/>
    </row>
    <row r="299" spans="1:7" ht="12">
      <c r="A299" s="69"/>
      <c r="B299" s="69"/>
      <c r="C299" s="69"/>
      <c r="D299" s="69"/>
      <c r="E299" s="69"/>
      <c r="F299" s="69"/>
      <c r="G299" s="69"/>
    </row>
    <row r="300" spans="1:7" ht="12">
      <c r="A300" s="69"/>
      <c r="B300" s="69"/>
      <c r="C300" s="69"/>
      <c r="D300" s="69"/>
      <c r="E300" s="69"/>
      <c r="F300" s="69"/>
      <c r="G300" s="69"/>
    </row>
    <row r="301" spans="1:7" ht="12">
      <c r="A301" s="69"/>
      <c r="B301" s="69"/>
      <c r="C301" s="69"/>
      <c r="D301" s="69"/>
      <c r="E301" s="69"/>
      <c r="F301" s="69"/>
      <c r="G301" s="69"/>
    </row>
    <row r="302" spans="1:7" ht="12">
      <c r="A302" s="69"/>
      <c r="B302" s="69"/>
      <c r="C302" s="69"/>
      <c r="D302" s="69"/>
      <c r="E302" s="69"/>
      <c r="F302" s="69"/>
      <c r="G302" s="69"/>
    </row>
    <row r="303" spans="1:7" ht="12">
      <c r="A303" s="69"/>
      <c r="B303" s="69"/>
      <c r="C303" s="69"/>
      <c r="D303" s="69"/>
      <c r="E303" s="69"/>
      <c r="F303" s="69"/>
      <c r="G303" s="69"/>
    </row>
    <row r="304" spans="1:7" ht="12">
      <c r="A304" s="69"/>
      <c r="B304" s="69"/>
      <c r="C304" s="69"/>
      <c r="D304" s="69"/>
      <c r="E304" s="69"/>
      <c r="F304" s="69"/>
      <c r="G304" s="69"/>
    </row>
    <row r="305" spans="1:7" ht="12">
      <c r="A305" s="69"/>
      <c r="B305" s="69"/>
      <c r="C305" s="69"/>
      <c r="D305" s="69"/>
      <c r="E305" s="69"/>
      <c r="F305" s="69"/>
      <c r="G305" s="69"/>
    </row>
    <row r="306" spans="1:7" ht="12">
      <c r="A306" s="69"/>
      <c r="B306" s="69"/>
      <c r="C306" s="69"/>
      <c r="D306" s="69"/>
      <c r="E306" s="69"/>
      <c r="F306" s="69"/>
      <c r="G306" s="69"/>
    </row>
    <row r="307" spans="1:7" ht="12">
      <c r="A307" s="69"/>
      <c r="B307" s="69"/>
      <c r="C307" s="69"/>
      <c r="D307" s="69"/>
      <c r="E307" s="69"/>
      <c r="F307" s="69"/>
      <c r="G307" s="69"/>
    </row>
    <row r="308" spans="1:7" ht="12">
      <c r="A308" s="69"/>
      <c r="B308" s="69"/>
      <c r="C308" s="69"/>
      <c r="D308" s="69"/>
      <c r="E308" s="69"/>
      <c r="F308" s="69"/>
      <c r="G308" s="69"/>
    </row>
    <row r="309" spans="1:7" ht="12">
      <c r="A309" s="69"/>
      <c r="B309" s="69"/>
      <c r="C309" s="69"/>
      <c r="D309" s="69"/>
      <c r="E309" s="69"/>
      <c r="F309" s="69"/>
      <c r="G309" s="69"/>
    </row>
    <row r="310" spans="1:7" ht="12">
      <c r="A310" s="69"/>
      <c r="B310" s="69"/>
      <c r="C310" s="69"/>
      <c r="D310" s="69"/>
      <c r="E310" s="69"/>
      <c r="F310" s="69"/>
      <c r="G310" s="69"/>
    </row>
    <row r="311" spans="1:7" ht="12">
      <c r="A311" s="69"/>
      <c r="B311" s="69"/>
      <c r="C311" s="69"/>
      <c r="D311" s="69"/>
      <c r="E311" s="69"/>
      <c r="F311" s="69"/>
      <c r="G311" s="69"/>
    </row>
    <row r="312" spans="1:7" ht="12">
      <c r="A312" s="69"/>
      <c r="B312" s="69"/>
      <c r="C312" s="69"/>
      <c r="D312" s="69"/>
      <c r="E312" s="69"/>
      <c r="F312" s="69"/>
      <c r="G312" s="69"/>
    </row>
    <row r="313" spans="1:7" ht="12">
      <c r="A313" s="69"/>
      <c r="B313" s="69"/>
      <c r="C313" s="69"/>
      <c r="D313" s="69"/>
      <c r="E313" s="69"/>
      <c r="F313" s="69"/>
      <c r="G313" s="69"/>
    </row>
    <row r="314" spans="1:7" ht="12">
      <c r="A314" s="69"/>
      <c r="B314" s="69"/>
      <c r="C314" s="69"/>
      <c r="D314" s="69"/>
      <c r="E314" s="69"/>
      <c r="F314" s="69"/>
      <c r="G314" s="69"/>
    </row>
    <row r="315" spans="1:7" ht="12">
      <c r="A315" s="69"/>
      <c r="B315" s="69"/>
      <c r="C315" s="69"/>
      <c r="D315" s="69"/>
      <c r="E315" s="69"/>
      <c r="F315" s="69"/>
      <c r="G315" s="69"/>
    </row>
    <row r="316" spans="1:7" ht="12">
      <c r="A316" s="69"/>
      <c r="B316" s="69"/>
      <c r="C316" s="69"/>
      <c r="D316" s="69"/>
      <c r="E316" s="69"/>
      <c r="F316" s="69"/>
      <c r="G316" s="69"/>
    </row>
    <row r="317" spans="1:7" ht="12">
      <c r="A317" s="69"/>
      <c r="B317" s="69"/>
      <c r="C317" s="69"/>
      <c r="D317" s="69"/>
      <c r="E317" s="69"/>
      <c r="F317" s="69"/>
      <c r="G317" s="69"/>
    </row>
    <row r="318" spans="1:7" ht="12">
      <c r="A318" s="69"/>
      <c r="B318" s="69"/>
      <c r="C318" s="69"/>
      <c r="D318" s="69"/>
      <c r="E318" s="69"/>
      <c r="F318" s="69"/>
      <c r="G318" s="69"/>
    </row>
    <row r="319" spans="1:7" ht="12">
      <c r="A319" s="69"/>
      <c r="B319" s="69"/>
      <c r="C319" s="69"/>
      <c r="D319" s="69"/>
      <c r="E319" s="69"/>
      <c r="F319" s="69"/>
      <c r="G319" s="69"/>
    </row>
    <row r="320" spans="1:7" ht="12">
      <c r="A320" s="69"/>
      <c r="B320" s="69"/>
      <c r="C320" s="69"/>
      <c r="D320" s="69"/>
      <c r="E320" s="69"/>
      <c r="F320" s="69"/>
      <c r="G320" s="69"/>
    </row>
    <row r="321" spans="1:7" ht="12">
      <c r="A321" s="69"/>
      <c r="B321" s="69"/>
      <c r="C321" s="69"/>
      <c r="D321" s="69"/>
      <c r="E321" s="69"/>
      <c r="F321" s="69"/>
      <c r="G321" s="69"/>
    </row>
    <row r="322" spans="1:7" ht="12">
      <c r="A322" s="69"/>
      <c r="B322" s="69"/>
      <c r="C322" s="69"/>
      <c r="D322" s="69"/>
      <c r="E322" s="69"/>
      <c r="F322" s="69"/>
      <c r="G322" s="69"/>
    </row>
    <row r="323" spans="1:7" ht="12">
      <c r="A323" s="69"/>
      <c r="B323" s="69"/>
      <c r="C323" s="69"/>
      <c r="D323" s="69"/>
      <c r="E323" s="69"/>
      <c r="F323" s="69"/>
      <c r="G323" s="69"/>
    </row>
    <row r="324" spans="1:7" ht="12">
      <c r="A324" s="69"/>
      <c r="B324" s="69"/>
      <c r="C324" s="69"/>
      <c r="D324" s="69"/>
      <c r="E324" s="69"/>
      <c r="F324" s="69"/>
      <c r="G324" s="69"/>
    </row>
    <row r="325" spans="1:7" ht="12">
      <c r="A325" s="69"/>
      <c r="B325" s="69"/>
      <c r="C325" s="69"/>
      <c r="D325" s="69"/>
      <c r="E325" s="69"/>
      <c r="F325" s="69"/>
      <c r="G325" s="69"/>
    </row>
    <row r="326" spans="1:7" ht="12">
      <c r="A326" s="69"/>
      <c r="B326" s="69"/>
      <c r="C326" s="69"/>
      <c r="D326" s="69"/>
      <c r="E326" s="69"/>
      <c r="F326" s="69"/>
      <c r="G326" s="69"/>
    </row>
    <row r="327" spans="1:7" ht="12">
      <c r="A327" s="69"/>
      <c r="B327" s="69"/>
      <c r="C327" s="69"/>
      <c r="D327" s="69"/>
      <c r="E327" s="69"/>
      <c r="F327" s="69"/>
      <c r="G327" s="69"/>
    </row>
    <row r="328" spans="1:7" ht="12">
      <c r="A328" s="69"/>
      <c r="B328" s="69"/>
      <c r="C328" s="69"/>
      <c r="D328" s="69"/>
      <c r="E328" s="69"/>
      <c r="F328" s="69"/>
      <c r="G328" s="69"/>
    </row>
    <row r="329" spans="1:7" ht="12">
      <c r="A329" s="69"/>
      <c r="B329" s="69"/>
      <c r="C329" s="69"/>
      <c r="D329" s="69"/>
      <c r="E329" s="69"/>
      <c r="F329" s="69"/>
      <c r="G329" s="69"/>
    </row>
    <row r="330" spans="1:7" ht="12">
      <c r="A330" s="69"/>
      <c r="B330" s="69"/>
      <c r="C330" s="69"/>
      <c r="D330" s="69"/>
      <c r="E330" s="69"/>
      <c r="F330" s="69"/>
      <c r="G330" s="69"/>
    </row>
    <row r="331" spans="1:7" ht="12">
      <c r="A331" s="69"/>
      <c r="B331" s="69"/>
      <c r="C331" s="69"/>
      <c r="D331" s="69"/>
      <c r="E331" s="69"/>
      <c r="F331" s="69"/>
      <c r="G331" s="69"/>
    </row>
    <row r="332" spans="1:7" ht="12">
      <c r="A332" s="69"/>
      <c r="B332" s="69"/>
      <c r="C332" s="69"/>
      <c r="D332" s="69"/>
      <c r="E332" s="69"/>
      <c r="F332" s="69"/>
      <c r="G332" s="69"/>
    </row>
    <row r="333" spans="1:7" ht="12">
      <c r="A333" s="69"/>
      <c r="B333" s="69"/>
      <c r="C333" s="69"/>
      <c r="D333" s="69"/>
      <c r="E333" s="69"/>
      <c r="F333" s="69"/>
      <c r="G333" s="69"/>
    </row>
    <row r="334" spans="1:7" ht="12">
      <c r="A334" s="69"/>
      <c r="B334" s="69"/>
      <c r="C334" s="69"/>
      <c r="D334" s="69"/>
      <c r="E334" s="69"/>
      <c r="F334" s="69"/>
      <c r="G334" s="69"/>
    </row>
    <row r="335" spans="1:7" ht="12">
      <c r="A335" s="69"/>
      <c r="B335" s="69"/>
      <c r="C335" s="69"/>
      <c r="D335" s="69"/>
      <c r="E335" s="69"/>
      <c r="F335" s="69"/>
      <c r="G335" s="69"/>
    </row>
    <row r="336" spans="1:7" ht="12">
      <c r="A336" s="69"/>
      <c r="B336" s="69"/>
      <c r="C336" s="69"/>
      <c r="D336" s="69"/>
      <c r="E336" s="69"/>
      <c r="F336" s="69"/>
      <c r="G336" s="69"/>
    </row>
    <row r="337" spans="1:7" ht="12">
      <c r="A337" s="69"/>
      <c r="B337" s="69"/>
      <c r="C337" s="69"/>
      <c r="D337" s="69"/>
      <c r="E337" s="69"/>
      <c r="F337" s="69"/>
      <c r="G337" s="69"/>
    </row>
    <row r="338" spans="1:7" ht="12">
      <c r="A338" s="69"/>
      <c r="B338" s="69"/>
      <c r="C338" s="69"/>
      <c r="D338" s="69"/>
      <c r="E338" s="69"/>
      <c r="F338" s="69"/>
      <c r="G338" s="69"/>
    </row>
    <row r="339" spans="1:7" ht="12">
      <c r="A339" s="69"/>
      <c r="B339" s="69"/>
      <c r="C339" s="69"/>
      <c r="D339" s="69"/>
      <c r="E339" s="69"/>
      <c r="F339" s="69"/>
      <c r="G339" s="69"/>
    </row>
    <row r="340" spans="1:7" ht="12">
      <c r="A340" s="69"/>
      <c r="B340" s="69"/>
      <c r="C340" s="69"/>
      <c r="D340" s="69"/>
      <c r="E340" s="69"/>
      <c r="F340" s="69"/>
      <c r="G340" s="69"/>
    </row>
    <row r="341" spans="1:7" ht="12">
      <c r="A341" s="69"/>
      <c r="B341" s="69"/>
      <c r="C341" s="69"/>
      <c r="D341" s="69"/>
      <c r="E341" s="69"/>
      <c r="F341" s="69"/>
      <c r="G341" s="69"/>
    </row>
    <row r="342" spans="1:7" ht="12">
      <c r="A342" s="69"/>
      <c r="B342" s="69"/>
      <c r="C342" s="69"/>
      <c r="D342" s="69"/>
      <c r="E342" s="69"/>
      <c r="F342" s="69"/>
      <c r="G342" s="69"/>
    </row>
    <row r="343" spans="1:7" ht="12">
      <c r="A343" s="69"/>
      <c r="B343" s="69"/>
      <c r="C343" s="69"/>
      <c r="D343" s="69"/>
      <c r="E343" s="69"/>
      <c r="F343" s="69"/>
      <c r="G343" s="69"/>
    </row>
    <row r="344" spans="1:7" ht="12">
      <c r="A344" s="69"/>
      <c r="B344" s="69"/>
      <c r="C344" s="69"/>
      <c r="D344" s="69"/>
      <c r="E344" s="69"/>
      <c r="F344" s="69"/>
      <c r="G344" s="69"/>
    </row>
    <row r="345" spans="1:7" ht="12">
      <c r="A345" s="69"/>
      <c r="B345" s="69"/>
      <c r="C345" s="69"/>
      <c r="D345" s="69"/>
      <c r="E345" s="69"/>
      <c r="F345" s="69"/>
      <c r="G345" s="69"/>
    </row>
    <row r="346" spans="1:7" ht="12">
      <c r="A346" s="69"/>
      <c r="B346" s="69"/>
      <c r="C346" s="69"/>
      <c r="D346" s="69"/>
      <c r="E346" s="69"/>
      <c r="F346" s="69"/>
      <c r="G346" s="69"/>
    </row>
    <row r="347" spans="1:7" ht="12">
      <c r="A347" s="69"/>
      <c r="B347" s="69"/>
      <c r="C347" s="69"/>
      <c r="D347" s="69"/>
      <c r="E347" s="69"/>
      <c r="F347" s="69"/>
      <c r="G347" s="69"/>
    </row>
    <row r="348" spans="1:7" ht="12">
      <c r="A348" s="69"/>
      <c r="B348" s="69"/>
      <c r="C348" s="69"/>
      <c r="D348" s="69"/>
      <c r="E348" s="69"/>
      <c r="F348" s="69"/>
      <c r="G348" s="69"/>
    </row>
    <row r="349" spans="1:7" ht="12">
      <c r="A349" s="69"/>
      <c r="B349" s="69"/>
      <c r="C349" s="69"/>
      <c r="D349" s="69"/>
      <c r="E349" s="69"/>
      <c r="F349" s="69"/>
      <c r="G349" s="69"/>
    </row>
    <row r="350" spans="1:7" ht="12">
      <c r="A350" s="69"/>
      <c r="B350" s="69"/>
      <c r="C350" s="69"/>
      <c r="D350" s="69"/>
      <c r="E350" s="69"/>
      <c r="F350" s="69"/>
      <c r="G350" s="69"/>
    </row>
    <row r="351" spans="1:7" ht="12">
      <c r="A351" s="69"/>
      <c r="B351" s="69"/>
      <c r="C351" s="69"/>
      <c r="D351" s="69"/>
      <c r="E351" s="69"/>
      <c r="F351" s="69"/>
      <c r="G351" s="69"/>
    </row>
    <row r="352" spans="1:7" ht="12">
      <c r="A352" s="69"/>
      <c r="B352" s="69"/>
      <c r="C352" s="69"/>
      <c r="D352" s="69"/>
      <c r="E352" s="69"/>
      <c r="F352" s="69"/>
      <c r="G352" s="69"/>
    </row>
    <row r="353" spans="1:7" ht="12">
      <c r="A353" s="69"/>
      <c r="B353" s="69"/>
      <c r="C353" s="69"/>
      <c r="D353" s="69"/>
      <c r="E353" s="69"/>
      <c r="F353" s="69"/>
      <c r="G353" s="69"/>
    </row>
    <row r="354" spans="1:7" ht="12">
      <c r="A354" s="69"/>
      <c r="B354" s="69"/>
      <c r="C354" s="69"/>
      <c r="D354" s="69"/>
      <c r="E354" s="69"/>
      <c r="F354" s="69"/>
      <c r="G354" s="69"/>
    </row>
    <row r="355" spans="1:7" ht="12">
      <c r="A355" s="69"/>
      <c r="B355" s="69"/>
      <c r="C355" s="69"/>
      <c r="D355" s="69"/>
      <c r="E355" s="69"/>
      <c r="F355" s="69"/>
      <c r="G355" s="69"/>
    </row>
    <row r="356" spans="1:7" ht="12">
      <c r="A356" s="69"/>
      <c r="B356" s="69"/>
      <c r="C356" s="69"/>
      <c r="D356" s="69"/>
      <c r="E356" s="69"/>
      <c r="F356" s="69"/>
      <c r="G356" s="69"/>
    </row>
    <row r="357" spans="1:7" ht="12">
      <c r="A357" s="69"/>
      <c r="B357" s="69"/>
      <c r="C357" s="69"/>
      <c r="D357" s="69"/>
      <c r="E357" s="69"/>
      <c r="F357" s="69"/>
      <c r="G357" s="69"/>
    </row>
    <row r="358" spans="1:7" ht="12">
      <c r="A358" s="69"/>
      <c r="B358" s="69"/>
      <c r="C358" s="69"/>
      <c r="D358" s="69"/>
      <c r="E358" s="69"/>
      <c r="F358" s="69"/>
      <c r="G358" s="69"/>
    </row>
    <row r="359" spans="1:7" ht="12">
      <c r="A359" s="69"/>
      <c r="B359" s="69"/>
      <c r="C359" s="69"/>
      <c r="D359" s="69"/>
      <c r="E359" s="69"/>
      <c r="F359" s="69"/>
      <c r="G359" s="69"/>
    </row>
    <row r="360" spans="1:7" ht="12">
      <c r="A360" s="69"/>
      <c r="B360" s="69"/>
      <c r="C360" s="69"/>
      <c r="D360" s="69"/>
      <c r="E360" s="69"/>
      <c r="F360" s="69"/>
      <c r="G360" s="69"/>
    </row>
    <row r="361" spans="1:7" ht="12">
      <c r="A361" s="69"/>
      <c r="B361" s="69"/>
      <c r="C361" s="69"/>
      <c r="D361" s="69"/>
      <c r="E361" s="69"/>
      <c r="F361" s="69"/>
      <c r="G361" s="69"/>
    </row>
    <row r="362" spans="1:7" ht="12">
      <c r="A362" s="69"/>
      <c r="B362" s="69"/>
      <c r="C362" s="69"/>
      <c r="D362" s="69"/>
      <c r="E362" s="69"/>
      <c r="F362" s="69"/>
      <c r="G362" s="69"/>
    </row>
    <row r="363" spans="1:7" ht="12">
      <c r="A363" s="69"/>
      <c r="B363" s="69"/>
      <c r="C363" s="69"/>
      <c r="D363" s="69"/>
      <c r="E363" s="69"/>
      <c r="F363" s="69"/>
      <c r="G363" s="69"/>
    </row>
    <row r="364" spans="1:7" ht="12">
      <c r="A364" s="69"/>
      <c r="B364" s="69"/>
      <c r="C364" s="69"/>
      <c r="D364" s="69"/>
      <c r="E364" s="69"/>
      <c r="F364" s="69"/>
      <c r="G364" s="69"/>
    </row>
    <row r="365" spans="1:7" ht="12">
      <c r="A365" s="69"/>
      <c r="B365" s="69"/>
      <c r="C365" s="69"/>
      <c r="D365" s="69"/>
      <c r="E365" s="69"/>
      <c r="F365" s="69"/>
      <c r="G365" s="69"/>
    </row>
    <row r="366" spans="1:7" ht="12">
      <c r="A366" s="69"/>
      <c r="B366" s="69"/>
      <c r="C366" s="69"/>
      <c r="D366" s="69"/>
      <c r="E366" s="69"/>
      <c r="F366" s="69"/>
      <c r="G366" s="69"/>
    </row>
    <row r="367" spans="1:7" ht="12">
      <c r="A367" s="69"/>
      <c r="B367" s="69"/>
      <c r="C367" s="69"/>
      <c r="D367" s="69"/>
      <c r="E367" s="69"/>
      <c r="F367" s="69"/>
      <c r="G367" s="69"/>
    </row>
    <row r="368" spans="1:7" ht="12">
      <c r="A368" s="69"/>
      <c r="B368" s="69"/>
      <c r="C368" s="69"/>
      <c r="D368" s="69"/>
      <c r="E368" s="69"/>
      <c r="F368" s="69"/>
      <c r="G368" s="69"/>
    </row>
    <row r="369" spans="1:7" ht="12">
      <c r="A369" s="69"/>
      <c r="B369" s="69"/>
      <c r="C369" s="69"/>
      <c r="D369" s="69"/>
      <c r="E369" s="69"/>
      <c r="F369" s="69"/>
      <c r="G369" s="69"/>
    </row>
    <row r="370" spans="1:7" ht="12">
      <c r="A370" s="69"/>
      <c r="B370" s="69"/>
      <c r="C370" s="69"/>
      <c r="D370" s="69"/>
      <c r="E370" s="69"/>
      <c r="F370" s="69"/>
      <c r="G370" s="69"/>
    </row>
    <row r="371" spans="1:7" ht="12">
      <c r="A371" s="69"/>
      <c r="B371" s="69"/>
      <c r="C371" s="69"/>
      <c r="D371" s="69"/>
      <c r="E371" s="69"/>
      <c r="F371" s="69"/>
      <c r="G371" s="69"/>
    </row>
    <row r="372" spans="1:7" ht="12">
      <c r="A372" s="69"/>
      <c r="B372" s="69"/>
      <c r="C372" s="69"/>
      <c r="D372" s="69"/>
      <c r="E372" s="69"/>
      <c r="F372" s="69"/>
      <c r="G372" s="69"/>
    </row>
    <row r="373" spans="1:7" ht="12">
      <c r="A373" s="69"/>
      <c r="B373" s="69"/>
      <c r="C373" s="69"/>
      <c r="D373" s="69"/>
      <c r="E373" s="69"/>
      <c r="F373" s="69"/>
      <c r="G373" s="69"/>
    </row>
    <row r="374" spans="1:7" ht="12">
      <c r="A374" s="69"/>
      <c r="B374" s="69"/>
      <c r="C374" s="69"/>
      <c r="D374" s="69"/>
      <c r="E374" s="69"/>
      <c r="F374" s="69"/>
      <c r="G374" s="69"/>
    </row>
    <row r="375" spans="1:7" ht="12">
      <c r="A375" s="69"/>
      <c r="B375" s="69"/>
      <c r="C375" s="69"/>
      <c r="D375" s="69"/>
      <c r="E375" s="69"/>
      <c r="F375" s="69"/>
      <c r="G375" s="69"/>
    </row>
    <row r="376" spans="1:7" ht="12">
      <c r="A376" s="69"/>
      <c r="B376" s="69"/>
      <c r="C376" s="69"/>
      <c r="D376" s="69"/>
      <c r="E376" s="69"/>
      <c r="F376" s="69"/>
      <c r="G376" s="69"/>
    </row>
    <row r="377" spans="1:7" ht="12">
      <c r="A377" s="69"/>
      <c r="B377" s="69"/>
      <c r="C377" s="69"/>
      <c r="D377" s="69"/>
      <c r="E377" s="69"/>
      <c r="F377" s="69"/>
      <c r="G377" s="69"/>
    </row>
    <row r="378" spans="1:7" ht="12">
      <c r="A378" s="69"/>
      <c r="B378" s="69"/>
      <c r="C378" s="69"/>
      <c r="D378" s="69"/>
      <c r="E378" s="69"/>
      <c r="F378" s="69"/>
      <c r="G378" s="69"/>
    </row>
    <row r="379" spans="1:7" ht="12">
      <c r="A379" s="69"/>
      <c r="B379" s="69"/>
      <c r="C379" s="69"/>
      <c r="D379" s="69"/>
      <c r="E379" s="69"/>
      <c r="F379" s="69"/>
      <c r="G379" s="69"/>
    </row>
    <row r="380" spans="1:7" ht="12">
      <c r="A380" s="69"/>
      <c r="B380" s="69"/>
      <c r="C380" s="69"/>
      <c r="D380" s="69"/>
      <c r="E380" s="69"/>
      <c r="F380" s="69"/>
      <c r="G380" s="69"/>
    </row>
    <row r="381" spans="1:7" ht="12">
      <c r="A381" s="69"/>
      <c r="B381" s="69"/>
      <c r="C381" s="69"/>
      <c r="D381" s="69"/>
      <c r="E381" s="69"/>
      <c r="F381" s="69"/>
      <c r="G381" s="69"/>
    </row>
    <row r="382" spans="1:7" ht="12">
      <c r="A382" s="69"/>
      <c r="B382" s="69"/>
      <c r="C382" s="69"/>
      <c r="D382" s="69"/>
      <c r="E382" s="69"/>
      <c r="F382" s="69"/>
      <c r="G382" s="69"/>
    </row>
    <row r="383" spans="1:7" ht="12">
      <c r="A383" s="69"/>
      <c r="B383" s="69"/>
      <c r="C383" s="69"/>
      <c r="D383" s="69"/>
      <c r="E383" s="69"/>
      <c r="F383" s="69"/>
      <c r="G383" s="69"/>
    </row>
    <row r="384" spans="1:7" ht="12">
      <c r="A384" s="69"/>
      <c r="B384" s="69"/>
      <c r="C384" s="69"/>
      <c r="D384" s="69"/>
      <c r="E384" s="69"/>
      <c r="F384" s="69"/>
      <c r="G384" s="69"/>
    </row>
    <row r="385" spans="1:7" ht="12">
      <c r="A385" s="69"/>
      <c r="B385" s="69"/>
      <c r="C385" s="69"/>
      <c r="D385" s="69"/>
      <c r="E385" s="69"/>
      <c r="F385" s="69"/>
      <c r="G385" s="69"/>
    </row>
    <row r="386" spans="1:7" ht="12">
      <c r="A386" s="69"/>
      <c r="B386" s="69"/>
      <c r="C386" s="69"/>
      <c r="D386" s="69"/>
      <c r="E386" s="69"/>
      <c r="F386" s="69"/>
      <c r="G386" s="69"/>
    </row>
    <row r="387" spans="1:7" ht="12">
      <c r="A387" s="69"/>
      <c r="B387" s="69"/>
      <c r="C387" s="69"/>
      <c r="D387" s="69"/>
      <c r="E387" s="69"/>
      <c r="F387" s="69"/>
      <c r="G387" s="69"/>
    </row>
    <row r="388" spans="1:7" ht="12">
      <c r="A388" s="69"/>
      <c r="B388" s="69"/>
      <c r="C388" s="69"/>
      <c r="D388" s="69"/>
      <c r="E388" s="69"/>
      <c r="F388" s="69"/>
      <c r="G388" s="69"/>
    </row>
    <row r="389" spans="1:7" ht="12">
      <c r="A389" s="69"/>
      <c r="B389" s="69"/>
      <c r="C389" s="69"/>
      <c r="D389" s="69"/>
      <c r="E389" s="69"/>
      <c r="F389" s="69"/>
      <c r="G389" s="69"/>
    </row>
    <row r="390" spans="1:7" ht="12">
      <c r="A390" s="69"/>
      <c r="B390" s="69"/>
      <c r="C390" s="69"/>
      <c r="D390" s="69"/>
      <c r="E390" s="69"/>
      <c r="F390" s="69"/>
      <c r="G390" s="69"/>
    </row>
    <row r="391" spans="1:7" ht="12">
      <c r="A391" s="69"/>
      <c r="B391" s="69"/>
      <c r="C391" s="69"/>
      <c r="D391" s="69"/>
      <c r="E391" s="69"/>
      <c r="F391" s="69"/>
      <c r="G391" s="69"/>
    </row>
    <row r="392" spans="1:7" ht="12">
      <c r="A392" s="69"/>
      <c r="B392" s="69"/>
      <c r="C392" s="69"/>
      <c r="D392" s="69"/>
      <c r="E392" s="69"/>
      <c r="F392" s="69"/>
      <c r="G392" s="69"/>
    </row>
    <row r="393" spans="1:7" ht="12">
      <c r="A393" s="69"/>
      <c r="B393" s="69"/>
      <c r="C393" s="69"/>
      <c r="D393" s="69"/>
      <c r="E393" s="69"/>
      <c r="F393" s="69"/>
      <c r="G393" s="69"/>
    </row>
    <row r="394" spans="1:7" ht="12">
      <c r="A394" s="69"/>
      <c r="B394" s="69"/>
      <c r="C394" s="69"/>
      <c r="D394" s="69"/>
      <c r="E394" s="69"/>
      <c r="F394" s="69"/>
      <c r="G394" s="69"/>
    </row>
    <row r="395" spans="1:7" ht="12">
      <c r="A395" s="69"/>
      <c r="B395" s="69"/>
      <c r="C395" s="69"/>
      <c r="D395" s="69"/>
      <c r="E395" s="69"/>
      <c r="F395" s="69"/>
      <c r="G395" s="69"/>
    </row>
    <row r="396" spans="1:7" ht="12">
      <c r="A396" s="69"/>
      <c r="B396" s="69"/>
      <c r="C396" s="69"/>
      <c r="D396" s="69"/>
      <c r="E396" s="69"/>
      <c r="F396" s="69"/>
      <c r="G396" s="69"/>
    </row>
    <row r="397" spans="1:7" ht="12">
      <c r="A397" s="69"/>
      <c r="B397" s="69"/>
      <c r="C397" s="69"/>
      <c r="D397" s="69"/>
      <c r="E397" s="69"/>
      <c r="F397" s="69"/>
      <c r="G397" s="69"/>
    </row>
    <row r="398" spans="1:7" ht="12">
      <c r="A398" s="69"/>
      <c r="B398" s="69"/>
      <c r="C398" s="69"/>
      <c r="D398" s="69"/>
      <c r="E398" s="69"/>
      <c r="F398" s="69"/>
      <c r="G398" s="69"/>
    </row>
    <row r="399" spans="1:7" ht="12">
      <c r="A399" s="69"/>
      <c r="B399" s="69"/>
      <c r="C399" s="69"/>
      <c r="D399" s="69"/>
      <c r="E399" s="69"/>
      <c r="F399" s="69"/>
      <c r="G399" s="69"/>
    </row>
    <row r="400" spans="1:7" ht="12">
      <c r="A400" s="69"/>
      <c r="B400" s="69"/>
      <c r="C400" s="69"/>
      <c r="D400" s="69"/>
      <c r="E400" s="69"/>
      <c r="F400" s="69"/>
      <c r="G400" s="69"/>
    </row>
    <row r="401" spans="1:7" ht="12">
      <c r="A401" s="69"/>
      <c r="B401" s="69"/>
      <c r="C401" s="69"/>
      <c r="D401" s="69"/>
      <c r="E401" s="69"/>
      <c r="F401" s="69"/>
      <c r="G401" s="69"/>
    </row>
    <row r="402" spans="1:7" ht="12">
      <c r="A402" s="69"/>
      <c r="B402" s="69"/>
      <c r="C402" s="69"/>
      <c r="D402" s="69"/>
      <c r="E402" s="69"/>
      <c r="F402" s="69"/>
      <c r="G402" s="69"/>
    </row>
    <row r="403" spans="1:7" ht="12">
      <c r="A403" s="69"/>
      <c r="B403" s="69"/>
      <c r="C403" s="69"/>
      <c r="D403" s="69"/>
      <c r="E403" s="69"/>
      <c r="F403" s="69"/>
      <c r="G403" s="69"/>
    </row>
    <row r="404" spans="1:7" ht="12">
      <c r="A404" s="69"/>
      <c r="B404" s="69"/>
      <c r="C404" s="69"/>
      <c r="D404" s="69"/>
      <c r="E404" s="69"/>
      <c r="F404" s="69"/>
      <c r="G404" s="69"/>
    </row>
    <row r="405" spans="1:7" ht="12">
      <c r="A405" s="69"/>
      <c r="B405" s="69"/>
      <c r="C405" s="69"/>
      <c r="D405" s="69"/>
      <c r="E405" s="69"/>
      <c r="F405" s="69"/>
      <c r="G405" s="69"/>
    </row>
    <row r="406" spans="1:7" ht="12">
      <c r="A406" s="69"/>
      <c r="B406" s="69"/>
      <c r="C406" s="69"/>
      <c r="D406" s="69"/>
      <c r="E406" s="69"/>
      <c r="F406" s="69"/>
      <c r="G406" s="69"/>
    </row>
    <row r="407" spans="1:7" ht="12">
      <c r="A407" s="69"/>
      <c r="B407" s="69"/>
      <c r="C407" s="69"/>
      <c r="D407" s="69"/>
      <c r="E407" s="69"/>
      <c r="F407" s="69"/>
      <c r="G407" s="69"/>
    </row>
    <row r="408" spans="1:7" ht="12">
      <c r="A408" s="69"/>
      <c r="B408" s="69"/>
      <c r="C408" s="69"/>
      <c r="D408" s="69"/>
      <c r="E408" s="69"/>
      <c r="F408" s="69"/>
      <c r="G408" s="69"/>
    </row>
    <row r="409" spans="1:7" ht="12">
      <c r="A409" s="69"/>
      <c r="B409" s="69"/>
      <c r="C409" s="69"/>
      <c r="D409" s="69"/>
      <c r="E409" s="69"/>
      <c r="F409" s="69"/>
      <c r="G409" s="69"/>
    </row>
    <row r="410" spans="1:7" ht="12">
      <c r="A410" s="69"/>
      <c r="B410" s="69"/>
      <c r="C410" s="69"/>
      <c r="D410" s="69"/>
      <c r="E410" s="69"/>
      <c r="F410" s="69"/>
      <c r="G410" s="69"/>
    </row>
    <row r="411" spans="1:7" ht="12">
      <c r="A411" s="69"/>
      <c r="B411" s="69"/>
      <c r="C411" s="69"/>
      <c r="D411" s="69"/>
      <c r="E411" s="69"/>
      <c r="F411" s="69"/>
      <c r="G411" s="69"/>
    </row>
    <row r="412" spans="1:7" ht="12">
      <c r="A412" s="69"/>
      <c r="B412" s="69"/>
      <c r="C412" s="69"/>
      <c r="D412" s="69"/>
      <c r="E412" s="69"/>
      <c r="F412" s="69"/>
      <c r="G412" s="69"/>
    </row>
    <row r="413" spans="1:7" ht="12">
      <c r="A413" s="69"/>
      <c r="B413" s="69"/>
      <c r="C413" s="69"/>
      <c r="D413" s="69"/>
      <c r="E413" s="69"/>
      <c r="F413" s="69"/>
      <c r="G413" s="69"/>
    </row>
    <row r="414" spans="1:7" ht="12">
      <c r="A414" s="69"/>
      <c r="B414" s="69"/>
      <c r="C414" s="69"/>
      <c r="D414" s="69"/>
      <c r="E414" s="69"/>
      <c r="F414" s="69"/>
      <c r="G414" s="69"/>
    </row>
    <row r="415" spans="1:7" ht="12">
      <c r="A415" s="69"/>
      <c r="B415" s="69"/>
      <c r="C415" s="69"/>
      <c r="D415" s="69"/>
      <c r="E415" s="69"/>
      <c r="F415" s="69"/>
      <c r="G415" s="69"/>
    </row>
    <row r="416" spans="1:7" ht="12">
      <c r="A416" s="69"/>
      <c r="B416" s="69"/>
      <c r="C416" s="69"/>
      <c r="D416" s="69"/>
      <c r="E416" s="69"/>
      <c r="F416" s="69"/>
      <c r="G416" s="69"/>
    </row>
    <row r="417" spans="1:7" ht="12">
      <c r="A417" s="69"/>
      <c r="B417" s="69"/>
      <c r="C417" s="69"/>
      <c r="D417" s="69"/>
      <c r="E417" s="69"/>
      <c r="F417" s="69"/>
      <c r="G417" s="69"/>
    </row>
  </sheetData>
  <mergeCells count="11">
    <mergeCell ref="A53:F53"/>
    <mergeCell ref="A13:F13"/>
    <mergeCell ref="A10:A11"/>
    <mergeCell ref="B10:B11"/>
    <mergeCell ref="C10:C11"/>
    <mergeCell ref="D9:D11"/>
    <mergeCell ref="E9:E11"/>
    <mergeCell ref="F9:F11"/>
    <mergeCell ref="A6:F6"/>
    <mergeCell ref="A7:F7"/>
    <mergeCell ref="A9:C9"/>
  </mergeCells>
  <printOptions/>
  <pageMargins left="0.39" right="0.3937007874015748" top="0.25" bottom="0.19" header="0.11811023622047245" footer="0.11811023622047245"/>
  <pageSetup fitToHeight="2" fitToWidth="2" horizontalDpi="600" verticalDpi="600" orientation="portrait" paperSize="9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5">
      <selection activeCell="D36" sqref="D36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2.25390625" style="0" customWidth="1"/>
    <col min="5" max="5" width="11.625" style="0" customWidth="1"/>
    <col min="6" max="6" width="12.625" style="0" customWidth="1"/>
  </cols>
  <sheetData>
    <row r="1" ht="12.75">
      <c r="E1" s="238" t="s">
        <v>765</v>
      </c>
    </row>
    <row r="2" ht="12.75">
      <c r="E2" s="238" t="s">
        <v>272</v>
      </c>
    </row>
    <row r="3" ht="12.75">
      <c r="E3" s="238" t="s">
        <v>49</v>
      </c>
    </row>
    <row r="4" ht="12.75">
      <c r="E4" s="238" t="s">
        <v>664</v>
      </c>
    </row>
    <row r="7" spans="2:5" ht="12.75">
      <c r="B7" s="982" t="s">
        <v>763</v>
      </c>
      <c r="C7" s="982"/>
      <c r="D7" s="982"/>
      <c r="E7" s="982"/>
    </row>
    <row r="8" spans="2:5" ht="12.75">
      <c r="B8" s="982" t="s">
        <v>764</v>
      </c>
      <c r="C8" s="982"/>
      <c r="D8" s="982"/>
      <c r="E8" s="982"/>
    </row>
    <row r="9" ht="13.5" thickBot="1">
      <c r="F9" s="521" t="s">
        <v>90</v>
      </c>
    </row>
    <row r="10" spans="1:6" ht="12.75">
      <c r="A10" s="969" t="s">
        <v>298</v>
      </c>
      <c r="B10" s="970"/>
      <c r="C10" s="971"/>
      <c r="D10" s="945" t="s">
        <v>91</v>
      </c>
      <c r="E10" s="945" t="s">
        <v>252</v>
      </c>
      <c r="F10" s="966" t="s">
        <v>255</v>
      </c>
    </row>
    <row r="11" spans="1:6" ht="12.75">
      <c r="A11" s="978" t="s">
        <v>58</v>
      </c>
      <c r="B11" s="980" t="s">
        <v>46</v>
      </c>
      <c r="C11" s="980" t="s">
        <v>0</v>
      </c>
      <c r="D11" s="946"/>
      <c r="E11" s="946"/>
      <c r="F11" s="967"/>
    </row>
    <row r="12" spans="1:6" ht="13.5" thickBot="1">
      <c r="A12" s="979"/>
      <c r="B12" s="981"/>
      <c r="C12" s="981"/>
      <c r="D12" s="981"/>
      <c r="E12" s="981"/>
      <c r="F12" s="968"/>
    </row>
    <row r="13" spans="1:6" ht="13.5" thickBot="1">
      <c r="A13" s="38">
        <v>1</v>
      </c>
      <c r="B13" s="39">
        <v>2</v>
      </c>
      <c r="C13" s="172">
        <v>3</v>
      </c>
      <c r="D13" s="172">
        <v>4</v>
      </c>
      <c r="E13" s="172">
        <v>5</v>
      </c>
      <c r="F13" s="173">
        <v>6</v>
      </c>
    </row>
    <row r="14" spans="1:6" ht="13.5" thickBot="1">
      <c r="A14" s="795"/>
      <c r="B14" s="796"/>
      <c r="C14" s="797"/>
      <c r="D14" s="815" t="s">
        <v>797</v>
      </c>
      <c r="E14" s="813">
        <f>E21+E38+E17</f>
        <v>1562596</v>
      </c>
      <c r="F14" s="858">
        <f>F21+F38+F17</f>
        <v>1562596</v>
      </c>
    </row>
    <row r="15" spans="1:6" ht="12.75">
      <c r="A15" s="798"/>
      <c r="B15" s="799"/>
      <c r="C15" s="800"/>
      <c r="D15" s="87" t="s">
        <v>62</v>
      </c>
      <c r="E15" s="800"/>
      <c r="F15" s="801"/>
    </row>
    <row r="16" spans="1:6" ht="12.75">
      <c r="A16" s="802"/>
      <c r="B16" s="803"/>
      <c r="C16" s="804"/>
      <c r="D16" s="804"/>
      <c r="E16" s="804"/>
      <c r="F16" s="805"/>
    </row>
    <row r="17" spans="1:6" ht="13.5" thickBot="1">
      <c r="A17" s="851">
        <v>851</v>
      </c>
      <c r="B17" s="852"/>
      <c r="C17" s="853"/>
      <c r="D17" s="854" t="s">
        <v>18</v>
      </c>
      <c r="E17" s="856">
        <f>E18</f>
        <v>0</v>
      </c>
      <c r="F17" s="857">
        <f>F18</f>
        <v>10000</v>
      </c>
    </row>
    <row r="18" spans="1:6" ht="12.75">
      <c r="A18" s="76"/>
      <c r="B18" s="213">
        <v>85154</v>
      </c>
      <c r="C18" s="792"/>
      <c r="D18" s="448" t="s">
        <v>39</v>
      </c>
      <c r="E18" s="855">
        <v>0</v>
      </c>
      <c r="F18" s="237">
        <f>SUM(F19)</f>
        <v>10000</v>
      </c>
    </row>
    <row r="19" spans="1:6" ht="12.75">
      <c r="A19" s="76"/>
      <c r="B19" s="79"/>
      <c r="C19" s="75">
        <v>4300</v>
      </c>
      <c r="D19" s="656" t="s">
        <v>182</v>
      </c>
      <c r="E19" s="75"/>
      <c r="F19" s="206">
        <v>10000</v>
      </c>
    </row>
    <row r="20" spans="1:6" ht="12.75">
      <c r="A20" s="76"/>
      <c r="B20" s="79"/>
      <c r="C20" s="75"/>
      <c r="D20" s="75"/>
      <c r="E20" s="75"/>
      <c r="F20" s="24"/>
    </row>
    <row r="21" spans="1:6" ht="13.5" thickBot="1">
      <c r="A21" s="80">
        <v>852</v>
      </c>
      <c r="B21" s="81"/>
      <c r="C21" s="82"/>
      <c r="D21" s="83" t="s">
        <v>795</v>
      </c>
      <c r="E21" s="814">
        <f>E22+E26+E31</f>
        <v>300000</v>
      </c>
      <c r="F21" s="84">
        <f>F22+F26+F31</f>
        <v>290000</v>
      </c>
    </row>
    <row r="22" spans="1:6" ht="12.75">
      <c r="A22" s="76"/>
      <c r="B22" s="213">
        <v>85218</v>
      </c>
      <c r="C22" s="792"/>
      <c r="D22" s="808" t="s">
        <v>19</v>
      </c>
      <c r="E22" s="812">
        <f>E23</f>
        <v>40000</v>
      </c>
      <c r="F22" s="237">
        <v>0</v>
      </c>
    </row>
    <row r="23" spans="1:6" ht="12.75">
      <c r="A23" s="76"/>
      <c r="B23" s="79"/>
      <c r="C23" s="75">
        <v>2120</v>
      </c>
      <c r="D23" s="204" t="s">
        <v>760</v>
      </c>
      <c r="E23" s="809">
        <f>'Dochody-ukł.wykon.'!G214</f>
        <v>40000</v>
      </c>
      <c r="F23" s="206"/>
    </row>
    <row r="24" spans="1:6" ht="12.75">
      <c r="A24" s="76"/>
      <c r="B24" s="79"/>
      <c r="C24" s="75"/>
      <c r="D24" s="204" t="s">
        <v>761</v>
      </c>
      <c r="E24" s="810"/>
      <c r="F24" s="206"/>
    </row>
    <row r="25" spans="1:6" ht="12.75">
      <c r="A25" s="76"/>
      <c r="B25" s="79"/>
      <c r="C25" s="75"/>
      <c r="D25" s="75"/>
      <c r="E25" s="810"/>
      <c r="F25" s="206"/>
    </row>
    <row r="26" spans="1:6" ht="12.75">
      <c r="A26" s="76"/>
      <c r="B26" s="77">
        <v>85220</v>
      </c>
      <c r="C26" s="85"/>
      <c r="D26" s="85" t="s">
        <v>796</v>
      </c>
      <c r="E26" s="811">
        <f>E27</f>
        <v>100000</v>
      </c>
      <c r="F26" s="78">
        <f>F29</f>
        <v>100000</v>
      </c>
    </row>
    <row r="27" spans="1:6" ht="12.75">
      <c r="A27" s="76"/>
      <c r="B27" s="79"/>
      <c r="C27" s="75">
        <v>2120</v>
      </c>
      <c r="D27" s="204" t="s">
        <v>760</v>
      </c>
      <c r="E27" s="809">
        <f>'Dochody-ukł.wykon.'!G222</f>
        <v>100000</v>
      </c>
      <c r="F27" s="206"/>
    </row>
    <row r="28" spans="1:6" ht="12.75">
      <c r="A28" s="76"/>
      <c r="B28" s="79"/>
      <c r="C28" s="75"/>
      <c r="D28" s="204" t="s">
        <v>761</v>
      </c>
      <c r="E28" s="810"/>
      <c r="F28" s="206"/>
    </row>
    <row r="29" spans="1:6" ht="12.75">
      <c r="A29" s="76"/>
      <c r="B29" s="79"/>
      <c r="C29" s="75">
        <v>4270</v>
      </c>
      <c r="D29" s="87" t="s">
        <v>192</v>
      </c>
      <c r="E29" s="810"/>
      <c r="F29" s="206">
        <v>100000</v>
      </c>
    </row>
    <row r="30" spans="1:6" ht="12.75">
      <c r="A30" s="76"/>
      <c r="B30" s="79"/>
      <c r="C30" s="75"/>
      <c r="D30" s="75"/>
      <c r="E30" s="810"/>
      <c r="F30" s="206"/>
    </row>
    <row r="31" spans="1:6" ht="12.75">
      <c r="A31" s="76"/>
      <c r="B31" s="77">
        <v>85295</v>
      </c>
      <c r="C31" s="85"/>
      <c r="D31" s="86" t="s">
        <v>25</v>
      </c>
      <c r="E31" s="811">
        <f>E32</f>
        <v>160000</v>
      </c>
      <c r="F31" s="78">
        <f>SUM(F34:F36)</f>
        <v>190000</v>
      </c>
    </row>
    <row r="32" spans="1:6" ht="12.75">
      <c r="A32" s="76"/>
      <c r="B32" s="79"/>
      <c r="C32" s="75">
        <v>2120</v>
      </c>
      <c r="D32" s="204" t="s">
        <v>760</v>
      </c>
      <c r="E32" s="809">
        <f>'Dochody-ukł.wykon.'!G228</f>
        <v>160000</v>
      </c>
      <c r="F32" s="206"/>
    </row>
    <row r="33" spans="1:6" ht="12.75">
      <c r="A33" s="76"/>
      <c r="B33" s="79"/>
      <c r="C33" s="75"/>
      <c r="D33" s="204" t="s">
        <v>761</v>
      </c>
      <c r="E33" s="810"/>
      <c r="F33" s="206"/>
    </row>
    <row r="34" spans="1:6" ht="12.75">
      <c r="A34" s="76"/>
      <c r="B34" s="79"/>
      <c r="C34" s="75">
        <v>4210</v>
      </c>
      <c r="D34" s="87" t="s">
        <v>190</v>
      </c>
      <c r="E34" s="810"/>
      <c r="F34" s="206">
        <f>30000+10760</f>
        <v>40760</v>
      </c>
    </row>
    <row r="35" spans="1:6" ht="12.75">
      <c r="A35" s="76"/>
      <c r="B35" s="79"/>
      <c r="C35" s="75">
        <v>4270</v>
      </c>
      <c r="D35" s="87" t="s">
        <v>192</v>
      </c>
      <c r="E35" s="75"/>
      <c r="F35" s="206">
        <f>130000+16240</f>
        <v>146240</v>
      </c>
    </row>
    <row r="36" spans="1:6" ht="12.75">
      <c r="A36" s="76"/>
      <c r="B36" s="79"/>
      <c r="C36" s="75">
        <v>4300</v>
      </c>
      <c r="D36" s="204" t="s">
        <v>182</v>
      </c>
      <c r="E36" s="75"/>
      <c r="F36" s="206">
        <v>3000</v>
      </c>
    </row>
    <row r="37" spans="1:6" ht="12.75">
      <c r="A37" s="806"/>
      <c r="B37" s="77"/>
      <c r="C37" s="85"/>
      <c r="D37" s="85"/>
      <c r="E37" s="85"/>
      <c r="F37" s="807"/>
    </row>
    <row r="38" spans="1:6" ht="13.5" thickBot="1">
      <c r="A38" s="80">
        <v>853</v>
      </c>
      <c r="B38" s="217"/>
      <c r="C38" s="217"/>
      <c r="D38" s="416" t="s">
        <v>241</v>
      </c>
      <c r="E38" s="183">
        <f>E39</f>
        <v>1262596</v>
      </c>
      <c r="F38" s="643">
        <f>F39</f>
        <v>1262596</v>
      </c>
    </row>
    <row r="39" spans="1:6" ht="12.75">
      <c r="A39" s="89"/>
      <c r="B39" s="728">
        <v>85395</v>
      </c>
      <c r="C39" s="728"/>
      <c r="D39" s="728" t="s">
        <v>25</v>
      </c>
      <c r="E39" s="218">
        <f>E40+E42</f>
        <v>1262596</v>
      </c>
      <c r="F39" s="742">
        <f>SUM(F44:F50)</f>
        <v>1262596</v>
      </c>
    </row>
    <row r="40" spans="1:6" ht="12.75">
      <c r="A40" s="89"/>
      <c r="B40" s="90"/>
      <c r="C40" s="90">
        <v>2128</v>
      </c>
      <c r="D40" s="204" t="s">
        <v>760</v>
      </c>
      <c r="E40" s="181">
        <f>'Dochody-ukł.wykon.'!G257</f>
        <v>1025340</v>
      </c>
      <c r="F40" s="766"/>
    </row>
    <row r="41" spans="1:6" ht="12.75">
      <c r="A41" s="89"/>
      <c r="B41" s="90"/>
      <c r="C41" s="90"/>
      <c r="D41" s="204" t="s">
        <v>761</v>
      </c>
      <c r="E41" s="90"/>
      <c r="F41" s="766"/>
    </row>
    <row r="42" spans="1:6" ht="12.75">
      <c r="A42" s="89"/>
      <c r="B42" s="90"/>
      <c r="C42" s="90">
        <v>2129</v>
      </c>
      <c r="D42" s="204" t="s">
        <v>760</v>
      </c>
      <c r="E42" s="181">
        <f>'Dochody-ukł.wykon.'!G259</f>
        <v>237256</v>
      </c>
      <c r="F42" s="766"/>
    </row>
    <row r="43" spans="1:6" ht="12.75">
      <c r="A43" s="89"/>
      <c r="B43" s="90"/>
      <c r="C43" s="90"/>
      <c r="D43" s="204" t="s">
        <v>761</v>
      </c>
      <c r="E43" s="181"/>
      <c r="F43" s="766"/>
    </row>
    <row r="44" spans="1:6" ht="12.75">
      <c r="A44" s="89"/>
      <c r="B44" s="90"/>
      <c r="C44" s="90">
        <v>3118</v>
      </c>
      <c r="D44" s="90" t="s">
        <v>222</v>
      </c>
      <c r="E44" s="90"/>
      <c r="F44" s="537">
        <f>'WYDATKI ukł.wyk.'!G467</f>
        <v>340532</v>
      </c>
    </row>
    <row r="45" spans="1:6" ht="12.75">
      <c r="A45" s="89"/>
      <c r="B45" s="90"/>
      <c r="C45" s="90">
        <v>4018</v>
      </c>
      <c r="D45" s="238" t="s">
        <v>186</v>
      </c>
      <c r="E45" s="90"/>
      <c r="F45" s="537">
        <f>'WYDATKI ukł.wyk.'!G468</f>
        <v>173296</v>
      </c>
    </row>
    <row r="46" spans="1:6" ht="12.75">
      <c r="A46" s="89"/>
      <c r="B46" s="90"/>
      <c r="C46" s="90">
        <v>4118</v>
      </c>
      <c r="D46" s="238" t="s">
        <v>188</v>
      </c>
      <c r="E46" s="90"/>
      <c r="F46" s="537">
        <f>'WYDATKI ukł.wyk.'!G470</f>
        <v>133893</v>
      </c>
    </row>
    <row r="47" spans="1:6" ht="12.75">
      <c r="A47" s="89"/>
      <c r="B47" s="90"/>
      <c r="C47" s="90">
        <v>4218</v>
      </c>
      <c r="D47" s="238" t="s">
        <v>190</v>
      </c>
      <c r="E47" s="90"/>
      <c r="F47" s="537">
        <f>'WYDATKI ukł.wyk.'!G473</f>
        <v>211290</v>
      </c>
    </row>
    <row r="48" spans="1:6" ht="12.75">
      <c r="A48" s="89"/>
      <c r="B48" s="90"/>
      <c r="C48" s="90">
        <v>4288</v>
      </c>
      <c r="D48" s="238" t="s">
        <v>193</v>
      </c>
      <c r="E48" s="90"/>
      <c r="F48" s="537">
        <f>'WYDATKI ukł.wyk.'!G475</f>
        <v>9369</v>
      </c>
    </row>
    <row r="49" spans="1:6" ht="12.75">
      <c r="A49" s="89"/>
      <c r="B49" s="90"/>
      <c r="C49" s="90">
        <v>4309</v>
      </c>
      <c r="D49" s="238" t="s">
        <v>182</v>
      </c>
      <c r="E49" s="90"/>
      <c r="F49" s="537">
        <f>'WYDATKI ukł.wyk.'!G477</f>
        <v>156960</v>
      </c>
    </row>
    <row r="50" spans="1:6" ht="12.75">
      <c r="A50" s="89"/>
      <c r="B50" s="90"/>
      <c r="C50" s="90">
        <v>4309</v>
      </c>
      <c r="D50" s="238" t="s">
        <v>182</v>
      </c>
      <c r="E50" s="90"/>
      <c r="F50" s="537">
        <f>'WYDATKI ukł.wyk.'!G478</f>
        <v>237256</v>
      </c>
    </row>
    <row r="51" spans="1:6" ht="13.5" thickBot="1">
      <c r="A51" s="764"/>
      <c r="B51" s="267"/>
      <c r="C51" s="267"/>
      <c r="D51" s="267"/>
      <c r="E51" s="267"/>
      <c r="F51" s="765"/>
    </row>
  </sheetData>
  <mergeCells count="9">
    <mergeCell ref="B7:E7"/>
    <mergeCell ref="B8:E8"/>
    <mergeCell ref="A10:C10"/>
    <mergeCell ref="D10:D12"/>
    <mergeCell ref="E10:E12"/>
    <mergeCell ref="F10:F12"/>
    <mergeCell ref="A11:A12"/>
    <mergeCell ref="B11:B12"/>
    <mergeCell ref="C11:C12"/>
  </mergeCells>
  <printOptions/>
  <pageMargins left="0.24" right="0.2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E48" sqref="E48"/>
    </sheetView>
  </sheetViews>
  <sheetFormatPr defaultColWidth="9.00390625" defaultRowHeight="12.75"/>
  <cols>
    <col min="1" max="1" width="4.00390625" style="384" bestFit="1" customWidth="1"/>
    <col min="2" max="2" width="6.125" style="384" bestFit="1" customWidth="1"/>
    <col min="3" max="3" width="5.00390625" style="384" bestFit="1" customWidth="1"/>
    <col min="4" max="4" width="49.375" style="384" customWidth="1"/>
    <col min="5" max="5" width="20.00390625" style="384" customWidth="1"/>
    <col min="6" max="16384" width="9.125" style="384" customWidth="1"/>
  </cols>
  <sheetData>
    <row r="1" spans="1:5" ht="12.75">
      <c r="A1" s="185"/>
      <c r="B1" s="185"/>
      <c r="C1" s="185"/>
      <c r="D1" s="185"/>
      <c r="E1" s="238" t="s">
        <v>275</v>
      </c>
    </row>
    <row r="2" spans="1:5" ht="12.75">
      <c r="A2" s="185"/>
      <c r="B2" s="185"/>
      <c r="C2" s="185"/>
      <c r="D2" s="185"/>
      <c r="E2" s="238" t="s">
        <v>272</v>
      </c>
    </row>
    <row r="3" spans="1:5" ht="12.75">
      <c r="A3" s="185"/>
      <c r="B3" s="185"/>
      <c r="C3" s="185"/>
      <c r="D3" s="325"/>
      <c r="E3" s="238" t="s">
        <v>49</v>
      </c>
    </row>
    <row r="4" spans="1:5" ht="12.75">
      <c r="A4" s="185"/>
      <c r="B4" s="185"/>
      <c r="C4" s="185"/>
      <c r="D4" s="325"/>
      <c r="E4" s="238" t="s">
        <v>664</v>
      </c>
    </row>
    <row r="5" spans="1:5" ht="12.75">
      <c r="A5" s="185"/>
      <c r="B5" s="185"/>
      <c r="C5" s="185"/>
      <c r="D5" s="325"/>
      <c r="E5" s="238"/>
    </row>
    <row r="6" spans="1:5" ht="12.75">
      <c r="A6" s="185"/>
      <c r="B6" s="185"/>
      <c r="C6" s="185"/>
      <c r="D6" s="325"/>
      <c r="E6" s="325"/>
    </row>
    <row r="7" spans="1:5" ht="12.75">
      <c r="A7" s="185"/>
      <c r="B7" s="185"/>
      <c r="C7" s="185"/>
      <c r="D7" s="185"/>
      <c r="E7" s="185"/>
    </row>
    <row r="8" spans="1:5" ht="12.75">
      <c r="A8" s="950" t="s">
        <v>294</v>
      </c>
      <c r="B8" s="950"/>
      <c r="C8" s="950"/>
      <c r="D8" s="950"/>
      <c r="E8" s="950"/>
    </row>
    <row r="9" spans="1:5" ht="12.75">
      <c r="A9" s="950" t="s">
        <v>402</v>
      </c>
      <c r="B9" s="950"/>
      <c r="C9" s="950"/>
      <c r="D9" s="950"/>
      <c r="E9" s="950"/>
    </row>
    <row r="10" spans="1:5" ht="12.75">
      <c r="A10" s="950" t="s">
        <v>514</v>
      </c>
      <c r="B10" s="950"/>
      <c r="C10" s="950"/>
      <c r="D10" s="950"/>
      <c r="E10" s="950"/>
    </row>
    <row r="11" spans="1:5" ht="12.75">
      <c r="A11" s="185"/>
      <c r="B11" s="305"/>
      <c r="C11" s="185"/>
      <c r="D11" s="185"/>
      <c r="E11" s="185"/>
    </row>
    <row r="12" spans="1:5" ht="12.75">
      <c r="A12" s="185"/>
      <c r="B12" s="305"/>
      <c r="C12" s="185"/>
      <c r="D12" s="185"/>
      <c r="E12" s="185"/>
    </row>
    <row r="13" spans="1:5" ht="13.5" thickBot="1">
      <c r="A13" s="325"/>
      <c r="B13" s="325"/>
      <c r="C13" s="325"/>
      <c r="D13" s="325"/>
      <c r="E13" s="433" t="s">
        <v>273</v>
      </c>
    </row>
    <row r="14" spans="1:5" ht="12.75">
      <c r="A14" s="985" t="s">
        <v>298</v>
      </c>
      <c r="B14" s="986"/>
      <c r="C14" s="987"/>
      <c r="D14" s="435"/>
      <c r="E14" s="436"/>
    </row>
    <row r="15" spans="1:5" ht="12.75">
      <c r="A15" s="983" t="s">
        <v>58</v>
      </c>
      <c r="B15" s="984" t="s">
        <v>46</v>
      </c>
      <c r="C15" s="984" t="s">
        <v>0</v>
      </c>
      <c r="D15" s="264" t="s">
        <v>91</v>
      </c>
      <c r="E15" s="437" t="s">
        <v>255</v>
      </c>
    </row>
    <row r="16" spans="1:5" ht="13.5" thickBot="1">
      <c r="A16" s="929"/>
      <c r="B16" s="932"/>
      <c r="C16" s="932"/>
      <c r="D16" s="299"/>
      <c r="E16" s="438"/>
    </row>
    <row r="17" spans="1:5" ht="13.5" thickBot="1">
      <c r="A17" s="439">
        <v>1</v>
      </c>
      <c r="B17" s="440">
        <v>2</v>
      </c>
      <c r="C17" s="441">
        <v>3</v>
      </c>
      <c r="D17" s="441">
        <v>4</v>
      </c>
      <c r="E17" s="442">
        <v>5</v>
      </c>
    </row>
    <row r="18" spans="1:5" ht="13.5" thickBot="1">
      <c r="A18" s="408">
        <v>754</v>
      </c>
      <c r="B18" s="298"/>
      <c r="C18" s="300"/>
      <c r="D18" s="401" t="s">
        <v>723</v>
      </c>
      <c r="E18" s="623">
        <f>E19+E23</f>
        <v>8000</v>
      </c>
    </row>
    <row r="19" spans="1:5" ht="12.75">
      <c r="A19" s="475"/>
      <c r="B19" s="449">
        <v>75406</v>
      </c>
      <c r="C19" s="450"/>
      <c r="D19" s="450" t="s">
        <v>719</v>
      </c>
      <c r="E19" s="634">
        <f>E20</f>
        <v>5000</v>
      </c>
    </row>
    <row r="20" spans="1:5" ht="12.75">
      <c r="A20" s="475"/>
      <c r="B20" s="417"/>
      <c r="C20" s="301">
        <v>6610</v>
      </c>
      <c r="D20" s="186" t="s">
        <v>715</v>
      </c>
      <c r="E20" s="476">
        <f>'WYDATKI ukł.wyk.'!G168</f>
        <v>5000</v>
      </c>
    </row>
    <row r="21" spans="1:5" ht="12.75">
      <c r="A21" s="475"/>
      <c r="B21" s="417"/>
      <c r="C21" s="264"/>
      <c r="D21" s="186" t="s">
        <v>679</v>
      </c>
      <c r="E21" s="437"/>
    </row>
    <row r="22" spans="1:5" ht="12.75">
      <c r="A22" s="475"/>
      <c r="B22" s="417"/>
      <c r="C22" s="264"/>
      <c r="D22" s="209"/>
      <c r="E22" s="437"/>
    </row>
    <row r="23" spans="1:5" ht="12.75">
      <c r="A23" s="475"/>
      <c r="B23" s="449">
        <v>75495</v>
      </c>
      <c r="C23" s="454"/>
      <c r="D23" s="60" t="s">
        <v>25</v>
      </c>
      <c r="E23" s="634">
        <f>E24</f>
        <v>3000</v>
      </c>
    </row>
    <row r="24" spans="1:5" ht="12.75">
      <c r="A24" s="475"/>
      <c r="B24" s="417"/>
      <c r="C24" s="264">
        <v>2310</v>
      </c>
      <c r="D24" s="301" t="s">
        <v>543</v>
      </c>
      <c r="E24" s="476">
        <f>'WYDATKI ukł.wyk.'!G171</f>
        <v>3000</v>
      </c>
    </row>
    <row r="25" spans="1:5" ht="12.75">
      <c r="A25" s="475"/>
      <c r="B25" s="417"/>
      <c r="C25" s="264"/>
      <c r="D25" s="301" t="s">
        <v>544</v>
      </c>
      <c r="E25" s="437"/>
    </row>
    <row r="26" spans="1:5" ht="12.75">
      <c r="A26" s="475"/>
      <c r="B26" s="417"/>
      <c r="C26" s="264"/>
      <c r="D26" s="209"/>
      <c r="E26" s="437"/>
    </row>
    <row r="27" spans="1:5" ht="13.5" thickBot="1">
      <c r="A27" s="408">
        <v>852</v>
      </c>
      <c r="B27" s="415"/>
      <c r="C27" s="401"/>
      <c r="D27" s="401" t="s">
        <v>245</v>
      </c>
      <c r="E27" s="443">
        <f>E32+E28</f>
        <v>543000</v>
      </c>
    </row>
    <row r="28" spans="1:5" ht="12.75">
      <c r="A28" s="392"/>
      <c r="B28" s="444">
        <v>85201</v>
      </c>
      <c r="C28" s="447"/>
      <c r="D28" s="448" t="s">
        <v>26</v>
      </c>
      <c r="E28" s="445">
        <f>E30</f>
        <v>436000</v>
      </c>
    </row>
    <row r="29" spans="1:5" ht="12.75">
      <c r="A29" s="392"/>
      <c r="B29" s="417"/>
      <c r="C29" s="301">
        <v>2310</v>
      </c>
      <c r="D29" s="301" t="s">
        <v>543</v>
      </c>
      <c r="E29" s="446"/>
    </row>
    <row r="30" spans="1:5" ht="12.75">
      <c r="A30" s="392"/>
      <c r="B30" s="417"/>
      <c r="C30" s="301"/>
      <c r="D30" s="301" t="s">
        <v>544</v>
      </c>
      <c r="E30" s="446">
        <f>'WYDATKI ukł.wyk.'!G317</f>
        <v>436000</v>
      </c>
    </row>
    <row r="31" spans="1:5" ht="12.75">
      <c r="A31" s="392"/>
      <c r="B31" s="417"/>
      <c r="C31" s="301"/>
      <c r="D31" s="301"/>
      <c r="E31" s="446"/>
    </row>
    <row r="32" spans="1:5" ht="12.75">
      <c r="A32" s="410"/>
      <c r="B32" s="449">
        <v>85204</v>
      </c>
      <c r="C32" s="450"/>
      <c r="D32" s="450" t="s">
        <v>28</v>
      </c>
      <c r="E32" s="451">
        <f>E34</f>
        <v>107000</v>
      </c>
    </row>
    <row r="33" spans="1:5" ht="12.75">
      <c r="A33" s="452"/>
      <c r="B33" s="204"/>
      <c r="C33" s="264">
        <v>2310</v>
      </c>
      <c r="D33" s="301" t="s">
        <v>543</v>
      </c>
      <c r="E33" s="446"/>
    </row>
    <row r="34" spans="1:5" ht="12.75">
      <c r="A34" s="452"/>
      <c r="B34" s="204"/>
      <c r="C34" s="264"/>
      <c r="D34" s="301" t="s">
        <v>544</v>
      </c>
      <c r="E34" s="446">
        <f>'WYDATKI ukł.wyk.'!G382</f>
        <v>107000</v>
      </c>
    </row>
    <row r="35" spans="1:5" ht="12.75">
      <c r="A35" s="410"/>
      <c r="B35" s="417"/>
      <c r="C35" s="264"/>
      <c r="D35" s="301"/>
      <c r="E35" s="453"/>
    </row>
    <row r="36" spans="1:5" ht="13.5" thickBot="1">
      <c r="A36" s="408">
        <v>854</v>
      </c>
      <c r="B36" s="415"/>
      <c r="C36" s="389"/>
      <c r="D36" s="401" t="s">
        <v>29</v>
      </c>
      <c r="E36" s="443">
        <f>E38</f>
        <v>120300</v>
      </c>
    </row>
    <row r="37" spans="1:5" ht="12.75">
      <c r="A37" s="410"/>
      <c r="B37" s="417">
        <v>85406</v>
      </c>
      <c r="C37" s="264"/>
      <c r="D37" s="301" t="s">
        <v>165</v>
      </c>
      <c r="E37" s="446"/>
    </row>
    <row r="38" spans="1:5" ht="12.75">
      <c r="A38" s="410"/>
      <c r="B38" s="449"/>
      <c r="C38" s="454"/>
      <c r="D38" s="450" t="s">
        <v>295</v>
      </c>
      <c r="E38" s="451">
        <f>E40</f>
        <v>120300</v>
      </c>
    </row>
    <row r="39" spans="1:5" ht="12.75">
      <c r="A39" s="410"/>
      <c r="B39" s="417"/>
      <c r="C39" s="264">
        <v>2310</v>
      </c>
      <c r="D39" s="301" t="s">
        <v>543</v>
      </c>
      <c r="E39" s="446"/>
    </row>
    <row r="40" spans="1:5" ht="12.75">
      <c r="A40" s="410"/>
      <c r="B40" s="417"/>
      <c r="C40" s="264"/>
      <c r="D40" s="301" t="s">
        <v>544</v>
      </c>
      <c r="E40" s="446">
        <f>'WYDATKI ukł.wyk.'!G490</f>
        <v>120300</v>
      </c>
    </row>
    <row r="41" spans="1:5" ht="12.75">
      <c r="A41" s="410"/>
      <c r="B41" s="417"/>
      <c r="C41" s="264"/>
      <c r="D41" s="301"/>
      <c r="E41" s="446"/>
    </row>
    <row r="42" spans="1:5" ht="13.5" thickBot="1">
      <c r="A42" s="408">
        <v>921</v>
      </c>
      <c r="B42" s="415"/>
      <c r="C42" s="389"/>
      <c r="D42" s="401" t="s">
        <v>45</v>
      </c>
      <c r="E42" s="443">
        <f>E43</f>
        <v>35000</v>
      </c>
    </row>
    <row r="43" spans="1:5" ht="12.75">
      <c r="A43" s="410"/>
      <c r="B43" s="449">
        <v>92116</v>
      </c>
      <c r="C43" s="454"/>
      <c r="D43" s="450" t="s">
        <v>229</v>
      </c>
      <c r="E43" s="451">
        <f>E45</f>
        <v>35000</v>
      </c>
    </row>
    <row r="44" spans="1:5" ht="12.75">
      <c r="A44" s="410"/>
      <c r="B44" s="417"/>
      <c r="C44" s="264">
        <v>2310</v>
      </c>
      <c r="D44" s="301" t="s">
        <v>543</v>
      </c>
      <c r="E44" s="446"/>
    </row>
    <row r="45" spans="1:5" ht="13.5" thickBot="1">
      <c r="A45" s="410"/>
      <c r="B45" s="417"/>
      <c r="C45" s="264"/>
      <c r="D45" s="301" t="s">
        <v>544</v>
      </c>
      <c r="E45" s="446">
        <f>'WYDATKI ukł.wyk.'!G581</f>
        <v>35000</v>
      </c>
    </row>
    <row r="46" spans="1:5" ht="12.75">
      <c r="A46" s="455"/>
      <c r="B46" s="456"/>
      <c r="C46" s="457"/>
      <c r="D46" s="458"/>
      <c r="E46" s="459"/>
    </row>
    <row r="47" spans="1:5" ht="12.75">
      <c r="A47" s="192"/>
      <c r="B47" s="50"/>
      <c r="C47" s="50"/>
      <c r="D47" s="368" t="s">
        <v>274</v>
      </c>
      <c r="E47" s="460">
        <f>E42+E36+E27+E18</f>
        <v>706300</v>
      </c>
    </row>
    <row r="48" spans="1:5" ht="13.5" thickBot="1">
      <c r="A48" s="461"/>
      <c r="B48" s="377"/>
      <c r="C48" s="377"/>
      <c r="D48" s="462"/>
      <c r="E48" s="463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zoomScale="80" zoomScaleNormal="80" workbookViewId="0" topLeftCell="A1">
      <pane ySplit="13" topLeftCell="BM43" activePane="bottomLeft" state="frozen"/>
      <selection pane="topLeft" activeCell="A1" sqref="A1"/>
      <selection pane="bottomLeft" activeCell="G52" sqref="G52"/>
    </sheetView>
  </sheetViews>
  <sheetFormatPr defaultColWidth="9.00390625" defaultRowHeight="12.75"/>
  <cols>
    <col min="1" max="1" width="3.875" style="9" customWidth="1"/>
    <col min="2" max="2" width="5.375" style="9" customWidth="1"/>
    <col min="3" max="3" width="44.625" style="9" customWidth="1"/>
    <col min="4" max="4" width="9.375" style="9" customWidth="1"/>
    <col min="5" max="5" width="9.00390625" style="9" customWidth="1"/>
    <col min="6" max="6" width="9.875" style="185" bestFit="1" customWidth="1"/>
    <col min="7" max="7" width="8.375" style="9" customWidth="1"/>
    <col min="8" max="8" width="9.00390625" style="9" customWidth="1"/>
    <col min="9" max="9" width="8.625" style="9" customWidth="1"/>
    <col min="10" max="10" width="10.625" style="9" customWidth="1"/>
    <col min="11" max="11" width="8.875" style="9" customWidth="1"/>
    <col min="12" max="12" width="7.375" style="9" customWidth="1"/>
    <col min="13" max="13" width="11.625" style="9" customWidth="1"/>
    <col min="14" max="16384" width="9.125" style="9" customWidth="1"/>
  </cols>
  <sheetData>
    <row r="1" spans="11:12" ht="12">
      <c r="K1" s="10" t="s">
        <v>831</v>
      </c>
      <c r="L1" s="10"/>
    </row>
    <row r="2" spans="7:13" ht="12">
      <c r="G2" s="22"/>
      <c r="K2" s="10" t="s">
        <v>276</v>
      </c>
      <c r="L2" s="10"/>
      <c r="M2" s="11"/>
    </row>
    <row r="3" spans="11:13" ht="12">
      <c r="K3" s="10" t="s">
        <v>180</v>
      </c>
      <c r="L3" s="10"/>
      <c r="M3" s="11"/>
    </row>
    <row r="4" spans="11:13" ht="12">
      <c r="K4" s="10" t="s">
        <v>665</v>
      </c>
      <c r="L4" s="10"/>
      <c r="M4" s="11"/>
    </row>
    <row r="5" spans="1:13" ht="14.25" customHeight="1">
      <c r="A5" s="950" t="s">
        <v>554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</row>
    <row r="6" spans="1:13" ht="14.25" customHeight="1">
      <c r="A6" s="982" t="s">
        <v>555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</row>
    <row r="7" spans="1:13" ht="14.25" customHeight="1">
      <c r="A7" s="175"/>
      <c r="B7" s="175"/>
      <c r="C7" s="175"/>
      <c r="D7" s="175"/>
      <c r="E7" s="175"/>
      <c r="F7" s="430"/>
      <c r="G7" s="175"/>
      <c r="H7" s="175"/>
      <c r="I7" s="175"/>
      <c r="J7" s="175"/>
      <c r="K7" s="175"/>
      <c r="L7" s="175"/>
      <c r="M7" s="175"/>
    </row>
    <row r="8" spans="1:13" ht="12.75" thickBot="1">
      <c r="A8" s="10"/>
      <c r="B8" s="10"/>
      <c r="C8" s="10"/>
      <c r="D8" s="10"/>
      <c r="E8" s="10"/>
      <c r="F8" s="238"/>
      <c r="G8" s="10"/>
      <c r="H8" s="10"/>
      <c r="I8" s="10"/>
      <c r="J8" s="10"/>
      <c r="K8" s="10"/>
      <c r="L8" s="10"/>
      <c r="M8" s="195" t="s">
        <v>273</v>
      </c>
    </row>
    <row r="9" spans="1:13" ht="12.75" customHeight="1">
      <c r="A9" s="221"/>
      <c r="B9" s="222"/>
      <c r="C9" s="484"/>
      <c r="D9" s="485"/>
      <c r="E9" s="991" t="s">
        <v>418</v>
      </c>
      <c r="F9" s="992"/>
      <c r="G9" s="992"/>
      <c r="H9" s="992"/>
      <c r="I9" s="992"/>
      <c r="J9" s="992"/>
      <c r="K9" s="992"/>
      <c r="L9" s="993"/>
      <c r="M9" s="486"/>
    </row>
    <row r="10" spans="1:13" ht="12">
      <c r="A10" s="223"/>
      <c r="B10" s="220"/>
      <c r="C10" s="487"/>
      <c r="D10" s="488" t="s">
        <v>277</v>
      </c>
      <c r="E10" s="489" t="s">
        <v>278</v>
      </c>
      <c r="F10" s="988" t="s">
        <v>417</v>
      </c>
      <c r="G10" s="989"/>
      <c r="H10" s="989"/>
      <c r="I10" s="989"/>
      <c r="J10" s="990"/>
      <c r="K10" s="489"/>
      <c r="L10" s="490"/>
      <c r="M10" s="491" t="s">
        <v>279</v>
      </c>
    </row>
    <row r="11" spans="1:13" ht="11.25">
      <c r="A11" s="512" t="s">
        <v>58</v>
      </c>
      <c r="B11" s="494" t="s">
        <v>46</v>
      </c>
      <c r="C11" s="489" t="s">
        <v>280</v>
      </c>
      <c r="D11" s="489" t="s">
        <v>281</v>
      </c>
      <c r="E11" s="492" t="s">
        <v>282</v>
      </c>
      <c r="F11" s="877" t="s">
        <v>283</v>
      </c>
      <c r="G11" s="489" t="s">
        <v>284</v>
      </c>
      <c r="H11" s="493" t="s">
        <v>285</v>
      </c>
      <c r="I11" s="494" t="s">
        <v>283</v>
      </c>
      <c r="J11" s="493" t="s">
        <v>556</v>
      </c>
      <c r="K11" s="489" t="s">
        <v>492</v>
      </c>
      <c r="L11" s="488" t="s">
        <v>559</v>
      </c>
      <c r="M11" s="491" t="s">
        <v>419</v>
      </c>
    </row>
    <row r="12" spans="1:13" ht="12">
      <c r="A12" s="212"/>
      <c r="B12" s="224"/>
      <c r="C12" s="489" t="s">
        <v>286</v>
      </c>
      <c r="D12" s="489" t="s">
        <v>287</v>
      </c>
      <c r="E12" s="492">
        <v>2006</v>
      </c>
      <c r="F12" s="877" t="s">
        <v>288</v>
      </c>
      <c r="G12" s="489" t="s">
        <v>289</v>
      </c>
      <c r="H12" s="489" t="s">
        <v>290</v>
      </c>
      <c r="I12" s="494" t="s">
        <v>560</v>
      </c>
      <c r="J12" s="489" t="s">
        <v>557</v>
      </c>
      <c r="K12" s="489"/>
      <c r="L12" s="488"/>
      <c r="M12" s="491" t="s">
        <v>291</v>
      </c>
    </row>
    <row r="13" spans="1:13" ht="12.75" thickBot="1">
      <c r="A13" s="80"/>
      <c r="B13" s="225"/>
      <c r="C13" s="495"/>
      <c r="D13" s="522"/>
      <c r="E13" s="495" t="s">
        <v>469</v>
      </c>
      <c r="F13" s="878"/>
      <c r="G13" s="495"/>
      <c r="H13" s="495"/>
      <c r="I13" s="496" t="s">
        <v>561</v>
      </c>
      <c r="J13" s="495" t="s">
        <v>558</v>
      </c>
      <c r="K13" s="495"/>
      <c r="L13" s="497"/>
      <c r="M13" s="498" t="s">
        <v>292</v>
      </c>
    </row>
    <row r="14" spans="1:13" ht="10.5" thickBot="1">
      <c r="A14" s="38">
        <v>1</v>
      </c>
      <c r="B14" s="39">
        <v>2</v>
      </c>
      <c r="C14" s="39">
        <v>3</v>
      </c>
      <c r="D14" s="39">
        <v>4</v>
      </c>
      <c r="E14" s="39">
        <v>5</v>
      </c>
      <c r="F14" s="440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172">
        <v>12</v>
      </c>
      <c r="M14" s="172">
        <v>13</v>
      </c>
    </row>
    <row r="15" spans="1:13" ht="12">
      <c r="A15" s="506"/>
      <c r="B15" s="507"/>
      <c r="C15" s="502" t="s">
        <v>540</v>
      </c>
      <c r="D15" s="79"/>
      <c r="E15" s="79"/>
      <c r="F15" s="264"/>
      <c r="G15" s="75"/>
      <c r="H15" s="75"/>
      <c r="I15" s="75"/>
      <c r="J15" s="75"/>
      <c r="K15" s="79"/>
      <c r="L15" s="75"/>
      <c r="M15" s="499" t="s">
        <v>449</v>
      </c>
    </row>
    <row r="16" spans="1:13" ht="12">
      <c r="A16" s="506">
        <v>600</v>
      </c>
      <c r="B16" s="507">
        <v>60014</v>
      </c>
      <c r="C16" s="502" t="s">
        <v>541</v>
      </c>
      <c r="D16" s="182">
        <f>E16+K16+L16</f>
        <v>150000</v>
      </c>
      <c r="E16" s="182">
        <f>SUM(F16+G16+H16+J16+I16)</f>
        <v>150000</v>
      </c>
      <c r="F16" s="879">
        <f>1916000-585453-500000-30000-547-650000</f>
        <v>150000</v>
      </c>
      <c r="G16" s="477">
        <v>0</v>
      </c>
      <c r="H16" s="477">
        <v>0</v>
      </c>
      <c r="I16" s="477">
        <v>0</v>
      </c>
      <c r="J16" s="477">
        <v>0</v>
      </c>
      <c r="K16" s="181">
        <v>0</v>
      </c>
      <c r="L16" s="478">
        <v>0</v>
      </c>
      <c r="M16" s="499" t="s">
        <v>450</v>
      </c>
    </row>
    <row r="17" spans="1:13" ht="12">
      <c r="A17" s="508"/>
      <c r="B17" s="509"/>
      <c r="C17" s="503"/>
      <c r="D17" s="474"/>
      <c r="E17" s="474"/>
      <c r="F17" s="778"/>
      <c r="G17" s="479"/>
      <c r="H17" s="479"/>
      <c r="I17" s="479"/>
      <c r="J17" s="479"/>
      <c r="K17" s="474"/>
      <c r="L17" s="479"/>
      <c r="M17" s="500" t="s">
        <v>449</v>
      </c>
    </row>
    <row r="18" spans="1:13" ht="12">
      <c r="A18" s="510">
        <v>600</v>
      </c>
      <c r="B18" s="511">
        <v>60078</v>
      </c>
      <c r="C18" s="504" t="s">
        <v>542</v>
      </c>
      <c r="D18" s="182">
        <f>E18+K18+L18</f>
        <v>237315</v>
      </c>
      <c r="E18" s="182">
        <f>SUM(F18+G18+H18+J18+I18)</f>
        <v>237315</v>
      </c>
      <c r="F18" s="879">
        <f>254900-36195-150000-1390</f>
        <v>67315</v>
      </c>
      <c r="G18" s="477">
        <v>150000</v>
      </c>
      <c r="H18" s="477">
        <v>0</v>
      </c>
      <c r="I18" s="477">
        <v>20000</v>
      </c>
      <c r="J18" s="477">
        <v>0</v>
      </c>
      <c r="K18" s="182">
        <v>0</v>
      </c>
      <c r="L18" s="477">
        <v>0</v>
      </c>
      <c r="M18" s="501" t="s">
        <v>450</v>
      </c>
    </row>
    <row r="19" spans="1:13" ht="12">
      <c r="A19" s="508"/>
      <c r="B19" s="509"/>
      <c r="C19" s="505" t="s">
        <v>584</v>
      </c>
      <c r="D19" s="474"/>
      <c r="E19" s="474"/>
      <c r="F19" s="778"/>
      <c r="G19" s="479"/>
      <c r="H19" s="479"/>
      <c r="I19" s="479"/>
      <c r="J19" s="479"/>
      <c r="K19" s="474"/>
      <c r="L19" s="479"/>
      <c r="M19" s="500" t="s">
        <v>449</v>
      </c>
    </row>
    <row r="20" spans="1:13" ht="12">
      <c r="A20" s="510">
        <v>600</v>
      </c>
      <c r="B20" s="511">
        <v>60014</v>
      </c>
      <c r="C20" s="504" t="s">
        <v>585</v>
      </c>
      <c r="D20" s="182">
        <f>E20+K20+L20</f>
        <v>16852</v>
      </c>
      <c r="E20" s="182">
        <f>SUM(F20+G20+H20+J20+I20)</f>
        <v>16852</v>
      </c>
      <c r="F20" s="879">
        <f>62000-43955-1193</f>
        <v>16852</v>
      </c>
      <c r="G20" s="477">
        <v>0</v>
      </c>
      <c r="H20" s="477">
        <v>0</v>
      </c>
      <c r="I20" s="477">
        <v>0</v>
      </c>
      <c r="J20" s="477">
        <v>0</v>
      </c>
      <c r="K20" s="182">
        <v>0</v>
      </c>
      <c r="L20" s="477">
        <v>0</v>
      </c>
      <c r="M20" s="501" t="s">
        <v>450</v>
      </c>
    </row>
    <row r="21" spans="1:13" ht="12">
      <c r="A21" s="506"/>
      <c r="B21" s="507"/>
      <c r="C21" s="502" t="s">
        <v>586</v>
      </c>
      <c r="D21" s="474"/>
      <c r="E21" s="474"/>
      <c r="F21" s="778"/>
      <c r="G21" s="479"/>
      <c r="H21" s="479"/>
      <c r="I21" s="479"/>
      <c r="J21" s="479"/>
      <c r="K21" s="474"/>
      <c r="L21" s="479"/>
      <c r="M21" s="500" t="s">
        <v>449</v>
      </c>
    </row>
    <row r="22" spans="1:13" ht="12">
      <c r="A22" s="510">
        <v>600</v>
      </c>
      <c r="B22" s="511">
        <v>60014</v>
      </c>
      <c r="C22" s="504" t="s">
        <v>593</v>
      </c>
      <c r="D22" s="182">
        <f>E22+K22+L22</f>
        <v>31000</v>
      </c>
      <c r="E22" s="182">
        <f>SUM(F22+G22+H22+J22+I22)</f>
        <v>3000</v>
      </c>
      <c r="F22" s="879">
        <v>3000</v>
      </c>
      <c r="G22" s="477">
        <v>0</v>
      </c>
      <c r="H22" s="477">
        <v>0</v>
      </c>
      <c r="I22" s="477">
        <v>0</v>
      </c>
      <c r="J22" s="477">
        <v>0</v>
      </c>
      <c r="K22" s="182">
        <v>28000</v>
      </c>
      <c r="L22" s="477">
        <v>0</v>
      </c>
      <c r="M22" s="501" t="s">
        <v>450</v>
      </c>
    </row>
    <row r="23" spans="1:13" ht="12">
      <c r="A23" s="506"/>
      <c r="B23" s="507"/>
      <c r="C23" s="502" t="s">
        <v>587</v>
      </c>
      <c r="D23" s="474"/>
      <c r="E23" s="474"/>
      <c r="F23" s="778"/>
      <c r="G23" s="479"/>
      <c r="H23" s="479"/>
      <c r="I23" s="479"/>
      <c r="J23" s="479"/>
      <c r="K23" s="474"/>
      <c r="L23" s="479"/>
      <c r="M23" s="500" t="s">
        <v>449</v>
      </c>
    </row>
    <row r="24" spans="1:13" ht="12">
      <c r="A24" s="510">
        <v>600</v>
      </c>
      <c r="B24" s="511">
        <v>60014</v>
      </c>
      <c r="C24" s="504" t="s">
        <v>588</v>
      </c>
      <c r="D24" s="182">
        <f>E24+K24+L24</f>
        <v>8083</v>
      </c>
      <c r="E24" s="182">
        <f>SUM(F24+G24+H24+J24+I24)</f>
        <v>8083</v>
      </c>
      <c r="F24" s="879">
        <f>40000-31917</f>
        <v>8083</v>
      </c>
      <c r="G24" s="477">
        <v>0</v>
      </c>
      <c r="H24" s="477">
        <v>0</v>
      </c>
      <c r="I24" s="477">
        <v>0</v>
      </c>
      <c r="J24" s="477">
        <v>0</v>
      </c>
      <c r="K24" s="182">
        <v>0</v>
      </c>
      <c r="L24" s="477">
        <v>0</v>
      </c>
      <c r="M24" s="501" t="s">
        <v>450</v>
      </c>
    </row>
    <row r="25" spans="1:13" ht="12">
      <c r="A25" s="506"/>
      <c r="B25" s="507"/>
      <c r="C25" s="502"/>
      <c r="D25" s="474"/>
      <c r="E25" s="474"/>
      <c r="F25" s="778"/>
      <c r="G25" s="479"/>
      <c r="H25" s="479"/>
      <c r="I25" s="479"/>
      <c r="J25" s="479"/>
      <c r="K25" s="474"/>
      <c r="L25" s="479"/>
      <c r="M25" s="500" t="s">
        <v>449</v>
      </c>
    </row>
    <row r="26" spans="1:13" ht="12">
      <c r="A26" s="510">
        <v>600</v>
      </c>
      <c r="B26" s="511">
        <v>60014</v>
      </c>
      <c r="C26" s="504" t="s">
        <v>702</v>
      </c>
      <c r="D26" s="182">
        <f>E26+K26+L26</f>
        <v>6000</v>
      </c>
      <c r="E26" s="182">
        <f>SUM(F26+G26+H26+J26+I26)</f>
        <v>6000</v>
      </c>
      <c r="F26" s="879">
        <v>6000</v>
      </c>
      <c r="G26" s="477">
        <v>0</v>
      </c>
      <c r="H26" s="477">
        <v>0</v>
      </c>
      <c r="I26" s="477">
        <v>0</v>
      </c>
      <c r="J26" s="477">
        <v>0</v>
      </c>
      <c r="K26" s="182">
        <v>0</v>
      </c>
      <c r="L26" s="477">
        <v>0</v>
      </c>
      <c r="M26" s="501" t="s">
        <v>450</v>
      </c>
    </row>
    <row r="27" spans="1:13" ht="12">
      <c r="A27" s="506"/>
      <c r="B27" s="507"/>
      <c r="C27" s="502"/>
      <c r="D27" s="474"/>
      <c r="E27" s="474"/>
      <c r="F27" s="778"/>
      <c r="G27" s="479"/>
      <c r="H27" s="479"/>
      <c r="I27" s="479"/>
      <c r="J27" s="479"/>
      <c r="K27" s="474"/>
      <c r="L27" s="479"/>
      <c r="M27" s="500" t="s">
        <v>449</v>
      </c>
    </row>
    <row r="28" spans="1:13" ht="12">
      <c r="A28" s="510">
        <v>600</v>
      </c>
      <c r="B28" s="511">
        <v>60014</v>
      </c>
      <c r="C28" s="504" t="s">
        <v>704</v>
      </c>
      <c r="D28" s="182">
        <f>E28+K28+L28</f>
        <v>22440</v>
      </c>
      <c r="E28" s="182">
        <f>SUM(F28+G28+H28+J28+I28)</f>
        <v>22440</v>
      </c>
      <c r="F28" s="879">
        <f>28000-5560</f>
        <v>22440</v>
      </c>
      <c r="G28" s="477">
        <v>0</v>
      </c>
      <c r="H28" s="477">
        <v>0</v>
      </c>
      <c r="I28" s="477">
        <v>0</v>
      </c>
      <c r="J28" s="477">
        <v>0</v>
      </c>
      <c r="K28" s="182">
        <v>0</v>
      </c>
      <c r="L28" s="477">
        <v>0</v>
      </c>
      <c r="M28" s="501" t="s">
        <v>450</v>
      </c>
    </row>
    <row r="29" spans="1:13" ht="12">
      <c r="A29" s="506"/>
      <c r="B29" s="507"/>
      <c r="C29" s="502"/>
      <c r="D29" s="181"/>
      <c r="E29" s="181"/>
      <c r="F29" s="880"/>
      <c r="G29" s="478"/>
      <c r="H29" s="478"/>
      <c r="I29" s="478"/>
      <c r="J29" s="478"/>
      <c r="K29" s="181"/>
      <c r="L29" s="478"/>
      <c r="M29" s="499" t="s">
        <v>451</v>
      </c>
    </row>
    <row r="30" spans="1:13" ht="12">
      <c r="A30" s="510">
        <v>750</v>
      </c>
      <c r="B30" s="511">
        <v>75020</v>
      </c>
      <c r="C30" s="504" t="s">
        <v>733</v>
      </c>
      <c r="D30" s="182">
        <f>E30+K30+L30</f>
        <v>74465</v>
      </c>
      <c r="E30" s="182">
        <f>SUM(F30+G30+H30+J30+I30)</f>
        <v>74465</v>
      </c>
      <c r="F30" s="879">
        <v>74465</v>
      </c>
      <c r="G30" s="477">
        <v>0</v>
      </c>
      <c r="H30" s="477">
        <v>0</v>
      </c>
      <c r="I30" s="477">
        <v>0</v>
      </c>
      <c r="J30" s="477">
        <v>0</v>
      </c>
      <c r="K30" s="182">
        <v>0</v>
      </c>
      <c r="L30" s="477">
        <v>0</v>
      </c>
      <c r="M30" s="740" t="s">
        <v>452</v>
      </c>
    </row>
    <row r="31" spans="1:13" ht="12">
      <c r="A31" s="506"/>
      <c r="B31" s="507"/>
      <c r="C31" s="502"/>
      <c r="D31" s="181"/>
      <c r="E31" s="181"/>
      <c r="F31" s="880"/>
      <c r="G31" s="478"/>
      <c r="H31" s="478"/>
      <c r="I31" s="478"/>
      <c r="J31" s="478"/>
      <c r="K31" s="181"/>
      <c r="L31" s="478"/>
      <c r="M31" s="499" t="s">
        <v>451</v>
      </c>
    </row>
    <row r="32" spans="1:13" ht="12">
      <c r="A32" s="510">
        <v>801</v>
      </c>
      <c r="B32" s="511">
        <v>80120</v>
      </c>
      <c r="C32" s="504" t="s">
        <v>523</v>
      </c>
      <c r="D32" s="182">
        <f>E32+K32+L32</f>
        <v>2101896</v>
      </c>
      <c r="E32" s="182">
        <f>SUM(F32+G32+H32+J32+I32)</f>
        <v>2101896</v>
      </c>
      <c r="F32" s="879">
        <f>800000+500000+1896</f>
        <v>1301896</v>
      </c>
      <c r="G32" s="477"/>
      <c r="H32" s="477">
        <v>800000</v>
      </c>
      <c r="I32" s="477"/>
      <c r="J32" s="477">
        <v>0</v>
      </c>
      <c r="K32" s="182">
        <v>0</v>
      </c>
      <c r="L32" s="477">
        <v>0</v>
      </c>
      <c r="M32" s="501" t="s">
        <v>452</v>
      </c>
    </row>
    <row r="33" spans="1:13" ht="12">
      <c r="A33" s="506"/>
      <c r="B33" s="507"/>
      <c r="C33" s="502"/>
      <c r="D33" s="478"/>
      <c r="E33" s="181"/>
      <c r="F33" s="880"/>
      <c r="G33" s="478"/>
      <c r="H33" s="478"/>
      <c r="I33" s="478"/>
      <c r="J33" s="478"/>
      <c r="K33" s="181"/>
      <c r="L33" s="478"/>
      <c r="M33" s="499" t="s">
        <v>710</v>
      </c>
    </row>
    <row r="34" spans="1:13" ht="12">
      <c r="A34" s="510">
        <v>801</v>
      </c>
      <c r="B34" s="511">
        <v>80130</v>
      </c>
      <c r="C34" s="504" t="s">
        <v>711</v>
      </c>
      <c r="D34" s="182">
        <f>E34+K34+L34</f>
        <v>9982</v>
      </c>
      <c r="E34" s="182">
        <f>SUM(F34+G34+H34+J34+I34)</f>
        <v>9982</v>
      </c>
      <c r="F34" s="879">
        <v>0</v>
      </c>
      <c r="G34" s="477">
        <f>10000-18</f>
        <v>9982</v>
      </c>
      <c r="H34" s="477">
        <v>0</v>
      </c>
      <c r="I34" s="477">
        <v>0</v>
      </c>
      <c r="J34" s="477">
        <v>0</v>
      </c>
      <c r="K34" s="182">
        <v>0</v>
      </c>
      <c r="L34" s="477">
        <v>0</v>
      </c>
      <c r="M34" s="501" t="s">
        <v>450</v>
      </c>
    </row>
    <row r="35" spans="1:13" ht="12">
      <c r="A35" s="506"/>
      <c r="B35" s="507"/>
      <c r="C35" s="502"/>
      <c r="D35" s="478"/>
      <c r="E35" s="181"/>
      <c r="F35" s="880"/>
      <c r="G35" s="478"/>
      <c r="H35" s="478"/>
      <c r="I35" s="478"/>
      <c r="J35" s="478"/>
      <c r="K35" s="181"/>
      <c r="L35" s="478"/>
      <c r="M35" s="499" t="s">
        <v>710</v>
      </c>
    </row>
    <row r="36" spans="1:13" ht="12">
      <c r="A36" s="510">
        <v>801</v>
      </c>
      <c r="B36" s="511">
        <v>80130</v>
      </c>
      <c r="C36" s="504" t="s">
        <v>777</v>
      </c>
      <c r="D36" s="182">
        <f>E36+K36+L36</f>
        <v>28000</v>
      </c>
      <c r="E36" s="182">
        <f>SUM(F36+G36+H36+J36+I36)</f>
        <v>28000</v>
      </c>
      <c r="F36" s="879">
        <f>28000</f>
        <v>28000</v>
      </c>
      <c r="G36" s="477">
        <v>0</v>
      </c>
      <c r="H36" s="477">
        <v>0</v>
      </c>
      <c r="I36" s="477">
        <v>0</v>
      </c>
      <c r="J36" s="477">
        <v>0</v>
      </c>
      <c r="K36" s="182">
        <v>0</v>
      </c>
      <c r="L36" s="477">
        <v>0</v>
      </c>
      <c r="M36" s="501" t="s">
        <v>450</v>
      </c>
    </row>
    <row r="37" spans="1:13" ht="12">
      <c r="A37" s="506"/>
      <c r="B37" s="507"/>
      <c r="C37" s="502"/>
      <c r="D37" s="478"/>
      <c r="E37" s="181"/>
      <c r="F37" s="880"/>
      <c r="G37" s="478"/>
      <c r="H37" s="478"/>
      <c r="I37" s="478"/>
      <c r="J37" s="478"/>
      <c r="K37" s="181"/>
      <c r="L37" s="478"/>
      <c r="M37" s="499" t="s">
        <v>827</v>
      </c>
    </row>
    <row r="38" spans="1:13" ht="12">
      <c r="A38" s="510">
        <v>801</v>
      </c>
      <c r="B38" s="511">
        <v>80130</v>
      </c>
      <c r="C38" s="504" t="s">
        <v>826</v>
      </c>
      <c r="D38" s="182">
        <f>E38+K38+L38</f>
        <v>37245</v>
      </c>
      <c r="E38" s="182">
        <f>SUM(F38+G38+H38+J38+I38)</f>
        <v>37245</v>
      </c>
      <c r="F38" s="879">
        <v>37245</v>
      </c>
      <c r="G38" s="477">
        <v>0</v>
      </c>
      <c r="H38" s="477">
        <v>0</v>
      </c>
      <c r="I38" s="477">
        <v>0</v>
      </c>
      <c r="J38" s="477">
        <v>0</v>
      </c>
      <c r="K38" s="182">
        <v>0</v>
      </c>
      <c r="L38" s="477">
        <v>0</v>
      </c>
      <c r="M38" s="740" t="s">
        <v>828</v>
      </c>
    </row>
    <row r="39" spans="1:13" ht="12">
      <c r="A39" s="506"/>
      <c r="B39" s="507"/>
      <c r="C39" s="502"/>
      <c r="D39" s="478"/>
      <c r="E39" s="181"/>
      <c r="F39" s="880"/>
      <c r="G39" s="478"/>
      <c r="H39" s="478"/>
      <c r="I39" s="478"/>
      <c r="J39" s="478"/>
      <c r="K39" s="181"/>
      <c r="L39" s="478"/>
      <c r="M39" s="499" t="s">
        <v>721</v>
      </c>
    </row>
    <row r="40" spans="1:13" ht="12">
      <c r="A40" s="510">
        <v>852</v>
      </c>
      <c r="B40" s="741">
        <v>85201</v>
      </c>
      <c r="C40" s="504" t="s">
        <v>720</v>
      </c>
      <c r="D40" s="182">
        <f>E40+K40+L40</f>
        <v>49000</v>
      </c>
      <c r="E40" s="182">
        <f>SUM(F40+G40+H40+J40+I40)</f>
        <v>49000</v>
      </c>
      <c r="F40" s="879">
        <f>30000+12000+7000</f>
        <v>49000</v>
      </c>
      <c r="G40" s="477">
        <v>0</v>
      </c>
      <c r="H40" s="477">
        <v>0</v>
      </c>
      <c r="I40" s="477">
        <v>0</v>
      </c>
      <c r="J40" s="477">
        <v>0</v>
      </c>
      <c r="K40" s="182">
        <v>0</v>
      </c>
      <c r="L40" s="477">
        <v>0</v>
      </c>
      <c r="M40" s="740" t="s">
        <v>722</v>
      </c>
    </row>
    <row r="41" spans="1:13" ht="12">
      <c r="A41" s="506"/>
      <c r="B41" s="507"/>
      <c r="C41" s="502"/>
      <c r="D41" s="478"/>
      <c r="E41" s="181"/>
      <c r="F41" s="880"/>
      <c r="G41" s="478"/>
      <c r="H41" s="478"/>
      <c r="I41" s="478"/>
      <c r="J41" s="478"/>
      <c r="K41" s="181"/>
      <c r="L41" s="478"/>
      <c r="M41" s="499" t="s">
        <v>721</v>
      </c>
    </row>
    <row r="42" spans="1:13" ht="12">
      <c r="A42" s="510">
        <v>852</v>
      </c>
      <c r="B42" s="511">
        <v>85201</v>
      </c>
      <c r="C42" s="504" t="s">
        <v>825</v>
      </c>
      <c r="D42" s="182">
        <f>E42+K42+L42</f>
        <v>20000</v>
      </c>
      <c r="E42" s="182">
        <f>SUM(F42+G42+H42+J42+I42)</f>
        <v>20000</v>
      </c>
      <c r="F42" s="879">
        <v>0</v>
      </c>
      <c r="G42" s="477">
        <v>20000</v>
      </c>
      <c r="H42" s="477">
        <v>0</v>
      </c>
      <c r="I42" s="477">
        <v>0</v>
      </c>
      <c r="J42" s="477">
        <v>0</v>
      </c>
      <c r="K42" s="182">
        <v>0</v>
      </c>
      <c r="L42" s="182">
        <v>0</v>
      </c>
      <c r="M42" s="740" t="s">
        <v>722</v>
      </c>
    </row>
    <row r="43" spans="1:13" ht="12">
      <c r="A43" s="506"/>
      <c r="B43" s="507"/>
      <c r="C43" s="502"/>
      <c r="D43" s="478"/>
      <c r="E43" s="181"/>
      <c r="F43" s="880"/>
      <c r="G43" s="478"/>
      <c r="H43" s="478"/>
      <c r="I43" s="478"/>
      <c r="J43" s="478"/>
      <c r="K43" s="181"/>
      <c r="L43" s="478"/>
      <c r="M43" s="499" t="s">
        <v>546</v>
      </c>
    </row>
    <row r="44" spans="1:13" ht="12">
      <c r="A44" s="510">
        <v>852</v>
      </c>
      <c r="B44" s="511">
        <v>85202</v>
      </c>
      <c r="C44" s="504" t="s">
        <v>545</v>
      </c>
      <c r="D44" s="182">
        <f>E44+K44+L44</f>
        <v>6599</v>
      </c>
      <c r="E44" s="182">
        <f>SUM(F44+G44+H44+J44+I44)</f>
        <v>6599</v>
      </c>
      <c r="F44" s="879">
        <f>4390+2260-51</f>
        <v>6599</v>
      </c>
      <c r="G44" s="477">
        <v>0</v>
      </c>
      <c r="H44" s="477">
        <v>0</v>
      </c>
      <c r="I44" s="477">
        <v>0</v>
      </c>
      <c r="J44" s="477">
        <v>0</v>
      </c>
      <c r="K44" s="182">
        <v>0</v>
      </c>
      <c r="L44" s="182">
        <v>0</v>
      </c>
      <c r="M44" s="501" t="s">
        <v>547</v>
      </c>
    </row>
    <row r="45" spans="1:13" ht="12">
      <c r="A45" s="506"/>
      <c r="B45" s="769"/>
      <c r="C45" s="768"/>
      <c r="D45" s="478"/>
      <c r="E45" s="181"/>
      <c r="F45" s="880"/>
      <c r="G45" s="478"/>
      <c r="H45" s="478"/>
      <c r="I45" s="478"/>
      <c r="J45" s="478"/>
      <c r="K45" s="181"/>
      <c r="L45" s="478"/>
      <c r="M45" s="499" t="s">
        <v>546</v>
      </c>
    </row>
    <row r="46" spans="1:13" ht="12">
      <c r="A46" s="510">
        <v>852</v>
      </c>
      <c r="B46" s="776">
        <v>85202</v>
      </c>
      <c r="C46" s="775" t="s">
        <v>829</v>
      </c>
      <c r="D46" s="182">
        <f>E46+K46+L46</f>
        <v>9516</v>
      </c>
      <c r="E46" s="182">
        <f>SUM(F46+G46+H46+J46+I46)</f>
        <v>9516</v>
      </c>
      <c r="F46" s="879">
        <v>9516</v>
      </c>
      <c r="G46" s="477"/>
      <c r="H46" s="477">
        <v>0</v>
      </c>
      <c r="I46" s="477">
        <v>0</v>
      </c>
      <c r="J46" s="477">
        <v>0</v>
      </c>
      <c r="K46" s="182">
        <v>0</v>
      </c>
      <c r="L46" s="182">
        <v>0</v>
      </c>
      <c r="M46" s="740" t="s">
        <v>830</v>
      </c>
    </row>
    <row r="47" spans="1:13" ht="12">
      <c r="A47" s="506"/>
      <c r="B47" s="769"/>
      <c r="C47" s="768"/>
      <c r="D47" s="478"/>
      <c r="E47" s="181"/>
      <c r="F47" s="880"/>
      <c r="G47" s="478"/>
      <c r="H47" s="478"/>
      <c r="I47" s="478"/>
      <c r="J47" s="478"/>
      <c r="K47" s="181"/>
      <c r="L47" s="478"/>
      <c r="M47" s="499" t="s">
        <v>546</v>
      </c>
    </row>
    <row r="48" spans="1:13" ht="12">
      <c r="A48" s="510">
        <v>852</v>
      </c>
      <c r="B48" s="776">
        <v>85202</v>
      </c>
      <c r="C48" s="775" t="s">
        <v>832</v>
      </c>
      <c r="D48" s="182">
        <f>E48+K48+L48</f>
        <v>9299</v>
      </c>
      <c r="E48" s="182">
        <f>SUM(F48+G48+H48+J48+I48)</f>
        <v>9299</v>
      </c>
      <c r="F48" s="879">
        <f>9299</f>
        <v>9299</v>
      </c>
      <c r="G48" s="477">
        <v>0</v>
      </c>
      <c r="H48" s="477">
        <v>0</v>
      </c>
      <c r="I48" s="477">
        <v>0</v>
      </c>
      <c r="J48" s="477">
        <v>0</v>
      </c>
      <c r="K48" s="182">
        <v>0</v>
      </c>
      <c r="L48" s="182">
        <v>0</v>
      </c>
      <c r="M48" s="501" t="s">
        <v>830</v>
      </c>
    </row>
    <row r="49" spans="1:13" ht="12">
      <c r="A49" s="506"/>
      <c r="B49" s="769"/>
      <c r="C49" s="768"/>
      <c r="D49" s="478"/>
      <c r="E49" s="181"/>
      <c r="F49" s="880"/>
      <c r="G49" s="478"/>
      <c r="H49" s="478"/>
      <c r="I49" s="478"/>
      <c r="J49" s="478"/>
      <c r="K49" s="181"/>
      <c r="L49" s="478"/>
      <c r="M49" s="499" t="s">
        <v>546</v>
      </c>
    </row>
    <row r="50" spans="1:13" ht="12">
      <c r="A50" s="510">
        <v>852</v>
      </c>
      <c r="B50" s="776">
        <v>85202</v>
      </c>
      <c r="C50" s="775" t="s">
        <v>789</v>
      </c>
      <c r="D50" s="182">
        <f>E50+K50+L50</f>
        <v>31000</v>
      </c>
      <c r="E50" s="182">
        <f>SUM(F50+G50+H50+J50+I50)</f>
        <v>31000</v>
      </c>
      <c r="F50" s="879">
        <f>20000+11000</f>
        <v>31000</v>
      </c>
      <c r="G50" s="477"/>
      <c r="H50" s="477">
        <v>0</v>
      </c>
      <c r="I50" s="477">
        <v>0</v>
      </c>
      <c r="J50" s="477">
        <v>0</v>
      </c>
      <c r="K50" s="182">
        <v>0</v>
      </c>
      <c r="L50" s="182">
        <v>0</v>
      </c>
      <c r="M50" s="501" t="s">
        <v>790</v>
      </c>
    </row>
    <row r="51" spans="1:13" ht="12">
      <c r="A51" s="506"/>
      <c r="B51" s="769"/>
      <c r="C51" s="768" t="s">
        <v>771</v>
      </c>
      <c r="D51" s="478"/>
      <c r="E51" s="181"/>
      <c r="F51" s="880"/>
      <c r="G51" s="478"/>
      <c r="H51" s="478"/>
      <c r="I51" s="478"/>
      <c r="J51" s="478"/>
      <c r="K51" s="181"/>
      <c r="L51" s="478"/>
      <c r="M51" s="499" t="s">
        <v>546</v>
      </c>
    </row>
    <row r="52" spans="1:13" ht="12.75" thickBot="1">
      <c r="A52" s="506">
        <v>852</v>
      </c>
      <c r="B52" s="769">
        <v>85202</v>
      </c>
      <c r="C52" s="768" t="s">
        <v>772</v>
      </c>
      <c r="D52" s="182">
        <f>E52+K52+L52</f>
        <v>26445</v>
      </c>
      <c r="E52" s="182">
        <f>SUM(F52+G52+H52+J52+I52)</f>
        <v>26445</v>
      </c>
      <c r="F52" s="879">
        <f>32500-6200+145</f>
        <v>26445</v>
      </c>
      <c r="G52" s="477">
        <v>0</v>
      </c>
      <c r="H52" s="477">
        <v>0</v>
      </c>
      <c r="I52" s="477">
        <v>0</v>
      </c>
      <c r="J52" s="477">
        <v>0</v>
      </c>
      <c r="K52" s="481">
        <v>0</v>
      </c>
      <c r="L52" s="478">
        <v>0</v>
      </c>
      <c r="M52" s="499" t="s">
        <v>547</v>
      </c>
    </row>
    <row r="53" spans="1:13" ht="13.5" thickBot="1">
      <c r="A53" s="994" t="s">
        <v>293</v>
      </c>
      <c r="B53" s="995"/>
      <c r="C53" s="996"/>
      <c r="D53" s="482">
        <f aca="true" t="shared" si="0" ref="D53:L53">SUM(D16:D52)</f>
        <v>2875137</v>
      </c>
      <c r="E53" s="483">
        <f t="shared" si="0"/>
        <v>2847137</v>
      </c>
      <c r="F53" s="881">
        <f t="shared" si="0"/>
        <v>1847155</v>
      </c>
      <c r="G53" s="482">
        <f t="shared" si="0"/>
        <v>179982</v>
      </c>
      <c r="H53" s="482">
        <f t="shared" si="0"/>
        <v>800000</v>
      </c>
      <c r="I53" s="482">
        <f t="shared" si="0"/>
        <v>20000</v>
      </c>
      <c r="J53" s="482">
        <f t="shared" si="0"/>
        <v>0</v>
      </c>
      <c r="K53" s="482">
        <f t="shared" si="0"/>
        <v>28000</v>
      </c>
      <c r="L53" s="482">
        <f t="shared" si="0"/>
        <v>0</v>
      </c>
      <c r="M53" s="205"/>
    </row>
    <row r="54" spans="1:13" ht="12.75">
      <c r="A54" s="34"/>
      <c r="B54" s="34"/>
      <c r="C54" s="34"/>
      <c r="D54" s="34"/>
      <c r="E54" s="34"/>
      <c r="F54" s="429"/>
      <c r="G54" s="34"/>
      <c r="H54" s="34"/>
      <c r="I54" s="34"/>
      <c r="J54" s="34"/>
      <c r="K54" s="34"/>
      <c r="L54" s="34"/>
      <c r="M54" s="34"/>
    </row>
    <row r="55" spans="1:13" ht="12.75">
      <c r="A55" s="34"/>
      <c r="B55" s="34"/>
      <c r="C55" s="34"/>
      <c r="D55" s="34"/>
      <c r="E55" s="34"/>
      <c r="F55" s="429"/>
      <c r="G55" s="34"/>
      <c r="H55" s="34"/>
      <c r="I55" s="34"/>
      <c r="J55" s="34"/>
      <c r="K55" s="34"/>
      <c r="L55" s="34"/>
      <c r="M55" s="34"/>
    </row>
    <row r="56" spans="1:13" ht="12.75">
      <c r="A56" s="34"/>
      <c r="B56" s="34"/>
      <c r="C56" s="34"/>
      <c r="D56" s="34"/>
      <c r="E56" s="34"/>
      <c r="F56" s="429"/>
      <c r="G56" s="34"/>
      <c r="H56" s="34"/>
      <c r="I56" s="34"/>
      <c r="J56" s="34"/>
      <c r="K56" s="34"/>
      <c r="L56" s="34"/>
      <c r="M56" s="34"/>
    </row>
    <row r="57" spans="1:13" ht="12.75">
      <c r="A57" s="6"/>
      <c r="B57" s="6"/>
      <c r="C57" s="6"/>
      <c r="D57" s="6"/>
      <c r="E57" s="6"/>
      <c r="F57" s="50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50"/>
      <c r="G58" s="159"/>
      <c r="H58" s="6"/>
      <c r="I58" s="6"/>
      <c r="J58" s="159"/>
      <c r="K58" s="159"/>
      <c r="L58" s="159"/>
      <c r="M58" s="6"/>
    </row>
    <row r="59" spans="1:13" ht="12.75">
      <c r="A59" s="6"/>
      <c r="B59" s="6"/>
      <c r="C59" s="6"/>
      <c r="D59" s="6"/>
      <c r="E59" s="6"/>
      <c r="F59" s="50"/>
      <c r="G59" s="6"/>
      <c r="H59" s="159"/>
      <c r="I59" s="159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50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50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50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50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50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50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53"/>
      <c r="D66" s="6"/>
      <c r="E66" s="6"/>
      <c r="F66" s="50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53"/>
      <c r="D67" s="6"/>
      <c r="E67" s="6"/>
      <c r="F67" s="50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53"/>
      <c r="D68" s="6"/>
      <c r="E68" s="6"/>
      <c r="F68" s="50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53"/>
      <c r="D69" s="6"/>
      <c r="E69" s="6"/>
      <c r="F69" s="50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53"/>
      <c r="D70" s="6"/>
      <c r="E70" s="6"/>
      <c r="F70" s="50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53"/>
      <c r="D71" s="6"/>
      <c r="E71" s="6"/>
      <c r="F71" s="50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50"/>
      <c r="G72" s="6"/>
      <c r="H72" s="6"/>
      <c r="I72" s="6"/>
      <c r="J72" s="6"/>
      <c r="K72" s="6"/>
      <c r="L72" s="6"/>
      <c r="M72" s="196"/>
    </row>
    <row r="73" spans="1:13" ht="12.75">
      <c r="A73" s="53"/>
      <c r="B73" s="53"/>
      <c r="C73" s="53"/>
      <c r="D73" s="31"/>
      <c r="E73" s="6"/>
      <c r="F73" s="50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31"/>
      <c r="E74" s="31"/>
      <c r="F74" s="50"/>
      <c r="G74" s="6"/>
      <c r="H74" s="6"/>
      <c r="I74" s="6"/>
      <c r="J74" s="6"/>
      <c r="K74" s="6"/>
      <c r="L74" s="6"/>
      <c r="M74" s="31"/>
    </row>
    <row r="75" spans="1:13" ht="12.75">
      <c r="A75" s="31"/>
      <c r="B75" s="31"/>
      <c r="C75" s="31"/>
      <c r="D75" s="31"/>
      <c r="E75" s="31"/>
      <c r="F75" s="208"/>
      <c r="G75" s="31"/>
      <c r="H75" s="31"/>
      <c r="I75" s="31"/>
      <c r="J75" s="31"/>
      <c r="K75" s="31"/>
      <c r="L75" s="31"/>
      <c r="M75" s="31"/>
    </row>
    <row r="76" spans="1:13" ht="12.75">
      <c r="A76" s="31"/>
      <c r="B76" s="31"/>
      <c r="C76" s="31"/>
      <c r="D76" s="31"/>
      <c r="E76" s="31"/>
      <c r="F76" s="208"/>
      <c r="G76" s="31"/>
      <c r="H76" s="31"/>
      <c r="I76" s="31"/>
      <c r="J76" s="31"/>
      <c r="K76" s="31"/>
      <c r="L76" s="31"/>
      <c r="M76" s="31"/>
    </row>
    <row r="77" spans="1:13" ht="12.75">
      <c r="A77" s="31"/>
      <c r="B77" s="31"/>
      <c r="C77" s="31"/>
      <c r="D77" s="31"/>
      <c r="E77" s="1"/>
      <c r="F77" s="208"/>
      <c r="G77" s="31"/>
      <c r="H77" s="31"/>
      <c r="I77" s="31"/>
      <c r="J77" s="31"/>
      <c r="K77" s="31"/>
      <c r="L77" s="31"/>
      <c r="M77" s="31"/>
    </row>
    <row r="78" spans="1:13" ht="12.75">
      <c r="A78" s="31"/>
      <c r="B78" s="31"/>
      <c r="C78" s="31"/>
      <c r="D78" s="31"/>
      <c r="E78" s="31"/>
      <c r="F78" s="208"/>
      <c r="G78" s="31"/>
      <c r="H78" s="31"/>
      <c r="I78" s="31"/>
      <c r="J78" s="31"/>
      <c r="K78" s="31"/>
      <c r="L78" s="31"/>
      <c r="M78" s="31"/>
    </row>
    <row r="79" spans="1:13" ht="12.75">
      <c r="A79" s="31"/>
      <c r="B79" s="31"/>
      <c r="C79" s="6"/>
      <c r="D79" s="159"/>
      <c r="E79" s="159"/>
      <c r="F79" s="882"/>
      <c r="G79" s="159"/>
      <c r="H79" s="159"/>
      <c r="I79" s="159"/>
      <c r="J79" s="159"/>
      <c r="K79" s="159"/>
      <c r="L79" s="159"/>
      <c r="M79" s="31"/>
    </row>
    <row r="80" spans="1:13" ht="12.75">
      <c r="A80" s="31"/>
      <c r="B80" s="31"/>
      <c r="C80" s="6"/>
      <c r="D80" s="159"/>
      <c r="E80" s="159"/>
      <c r="F80" s="882"/>
      <c r="G80" s="159"/>
      <c r="H80" s="159"/>
      <c r="I80" s="159"/>
      <c r="J80" s="159"/>
      <c r="K80" s="159"/>
      <c r="L80" s="159"/>
      <c r="M80" s="31"/>
    </row>
    <row r="81" spans="1:13" ht="12.75">
      <c r="A81" s="31"/>
      <c r="B81" s="31"/>
      <c r="C81" s="6"/>
      <c r="D81" s="159"/>
      <c r="E81" s="159"/>
      <c r="F81" s="882"/>
      <c r="G81" s="159"/>
      <c r="H81" s="159"/>
      <c r="I81" s="159"/>
      <c r="J81" s="159"/>
      <c r="K81" s="159"/>
      <c r="L81" s="159"/>
      <c r="M81" s="31"/>
    </row>
    <row r="82" spans="1:13" ht="12.75">
      <c r="A82" s="31"/>
      <c r="B82" s="31"/>
      <c r="C82" s="6"/>
      <c r="D82" s="159"/>
      <c r="E82" s="159"/>
      <c r="F82" s="882"/>
      <c r="G82" s="159"/>
      <c r="H82" s="159"/>
      <c r="I82" s="159"/>
      <c r="J82" s="159"/>
      <c r="K82" s="159"/>
      <c r="L82" s="159"/>
      <c r="M82" s="31"/>
    </row>
    <row r="83" spans="1:13" ht="12.75">
      <c r="A83" s="31"/>
      <c r="B83" s="31"/>
      <c r="C83" s="50"/>
      <c r="D83" s="159"/>
      <c r="E83" s="159"/>
      <c r="F83" s="882"/>
      <c r="G83" s="159"/>
      <c r="H83" s="159"/>
      <c r="I83" s="159"/>
      <c r="J83" s="159"/>
      <c r="K83" s="159"/>
      <c r="L83" s="159"/>
      <c r="M83" s="31"/>
    </row>
    <row r="84" spans="1:13" ht="12.75">
      <c r="A84" s="31"/>
      <c r="B84" s="31"/>
      <c r="C84" s="50"/>
      <c r="D84" s="159"/>
      <c r="E84" s="159"/>
      <c r="F84" s="882"/>
      <c r="G84" s="159"/>
      <c r="H84" s="159"/>
      <c r="I84" s="159"/>
      <c r="J84" s="159"/>
      <c r="K84" s="159"/>
      <c r="L84" s="159"/>
      <c r="M84" s="31"/>
    </row>
    <row r="85" spans="1:13" ht="12.75">
      <c r="A85" s="31"/>
      <c r="B85" s="31"/>
      <c r="C85" s="6"/>
      <c r="D85" s="159"/>
      <c r="E85" s="159"/>
      <c r="F85" s="882"/>
      <c r="G85" s="159"/>
      <c r="H85" s="159"/>
      <c r="I85" s="159"/>
      <c r="J85" s="159"/>
      <c r="K85" s="159"/>
      <c r="L85" s="159"/>
      <c r="M85" s="31"/>
    </row>
    <row r="86" spans="1:13" ht="12.75">
      <c r="A86" s="31"/>
      <c r="B86" s="31"/>
      <c r="C86" s="6"/>
      <c r="D86" s="159"/>
      <c r="E86" s="159"/>
      <c r="F86" s="882"/>
      <c r="G86" s="159"/>
      <c r="H86" s="159"/>
      <c r="I86" s="159"/>
      <c r="J86" s="159"/>
      <c r="K86" s="159"/>
      <c r="L86" s="159"/>
      <c r="M86" s="31"/>
    </row>
    <row r="87" spans="1:13" ht="12.75">
      <c r="A87" s="31"/>
      <c r="B87" s="31"/>
      <c r="C87" s="6"/>
      <c r="D87" s="159"/>
      <c r="E87" s="159"/>
      <c r="F87" s="882"/>
      <c r="G87" s="159"/>
      <c r="H87" s="159"/>
      <c r="I87" s="159"/>
      <c r="J87" s="159"/>
      <c r="K87" s="159"/>
      <c r="L87" s="159"/>
      <c r="M87" s="31"/>
    </row>
    <row r="88" spans="1:13" ht="12.75">
      <c r="A88" s="31"/>
      <c r="B88" s="31"/>
      <c r="C88" s="6"/>
      <c r="D88" s="159"/>
      <c r="E88" s="159"/>
      <c r="F88" s="882"/>
      <c r="G88" s="159"/>
      <c r="H88" s="159"/>
      <c r="I88" s="159"/>
      <c r="J88" s="159"/>
      <c r="K88" s="159"/>
      <c r="L88" s="159"/>
      <c r="M88" s="31"/>
    </row>
    <row r="89" spans="1:13" ht="12.75">
      <c r="A89" s="31"/>
      <c r="B89" s="31"/>
      <c r="C89" s="50"/>
      <c r="D89" s="159"/>
      <c r="E89" s="159"/>
      <c r="F89" s="882"/>
      <c r="G89" s="159"/>
      <c r="H89" s="159"/>
      <c r="I89" s="159"/>
      <c r="J89" s="159"/>
      <c r="K89" s="159"/>
      <c r="L89" s="159"/>
      <c r="M89" s="31"/>
    </row>
    <row r="90" spans="1:13" ht="12.75">
      <c r="A90" s="31"/>
      <c r="B90" s="31"/>
      <c r="C90" s="6"/>
      <c r="D90" s="159"/>
      <c r="E90" s="159"/>
      <c r="F90" s="882"/>
      <c r="G90" s="159"/>
      <c r="H90" s="159"/>
      <c r="I90" s="159"/>
      <c r="J90" s="159"/>
      <c r="K90" s="159"/>
      <c r="L90" s="159"/>
      <c r="M90" s="31"/>
    </row>
    <row r="91" spans="1:13" ht="12.75">
      <c r="A91" s="31"/>
      <c r="B91" s="6"/>
      <c r="C91" s="57"/>
      <c r="D91" s="189"/>
      <c r="E91" s="189"/>
      <c r="F91" s="883"/>
      <c r="G91" s="189"/>
      <c r="H91" s="189"/>
      <c r="I91" s="189"/>
      <c r="J91" s="189"/>
      <c r="K91" s="189"/>
      <c r="L91" s="189"/>
      <c r="M91" s="189"/>
    </row>
    <row r="92" spans="1:13" ht="12.75">
      <c r="A92" s="6"/>
      <c r="B92" s="6"/>
      <c r="C92" s="6"/>
      <c r="D92" s="6"/>
      <c r="E92" s="6"/>
      <c r="F92" s="50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50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50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50"/>
      <c r="G95" s="6"/>
      <c r="H95" s="6"/>
      <c r="I95" s="6"/>
      <c r="J95" s="6"/>
      <c r="K95" s="6"/>
      <c r="L95" s="6"/>
      <c r="M95" s="6"/>
    </row>
    <row r="96" spans="1:13" ht="12.75">
      <c r="A96" s="34"/>
      <c r="B96" s="34"/>
      <c r="C96" s="34"/>
      <c r="D96" s="34"/>
      <c r="E96" s="34"/>
      <c r="F96" s="429"/>
      <c r="G96" s="34"/>
      <c r="H96" s="34"/>
      <c r="I96" s="34"/>
      <c r="J96" s="34"/>
      <c r="K96" s="34"/>
      <c r="L96" s="34"/>
      <c r="M96" s="34"/>
    </row>
    <row r="97" spans="1:13" ht="12.75">
      <c r="A97" s="34"/>
      <c r="B97" s="34"/>
      <c r="C97" s="34"/>
      <c r="D97" s="34"/>
      <c r="E97" s="34"/>
      <c r="F97" s="429"/>
      <c r="G97" s="34"/>
      <c r="H97" s="34"/>
      <c r="I97" s="34"/>
      <c r="J97" s="34"/>
      <c r="K97" s="34"/>
      <c r="L97" s="34"/>
      <c r="M97" s="34"/>
    </row>
    <row r="98" spans="1:13" ht="12.75">
      <c r="A98" s="34"/>
      <c r="B98" s="34"/>
      <c r="C98" s="34"/>
      <c r="D98" s="34"/>
      <c r="E98" s="34"/>
      <c r="F98" s="429"/>
      <c r="G98" s="34"/>
      <c r="H98" s="34"/>
      <c r="I98" s="34"/>
      <c r="J98" s="34"/>
      <c r="K98" s="34"/>
      <c r="L98" s="34"/>
      <c r="M98" s="34"/>
    </row>
    <row r="99" spans="1:13" ht="12.75">
      <c r="A99" s="34"/>
      <c r="B99" s="34"/>
      <c r="C99" s="34"/>
      <c r="D99" s="34"/>
      <c r="E99" s="34"/>
      <c r="F99" s="429"/>
      <c r="G99" s="34"/>
      <c r="H99" s="34"/>
      <c r="I99" s="34"/>
      <c r="J99" s="34"/>
      <c r="K99" s="34"/>
      <c r="L99" s="34"/>
      <c r="M99" s="34"/>
    </row>
    <row r="100" spans="1:13" ht="12.75">
      <c r="A100" s="34"/>
      <c r="B100" s="34"/>
      <c r="C100" s="34"/>
      <c r="D100" s="34"/>
      <c r="E100" s="34"/>
      <c r="F100" s="429"/>
      <c r="G100" s="34"/>
      <c r="H100" s="34"/>
      <c r="I100" s="34"/>
      <c r="J100" s="34"/>
      <c r="K100" s="34"/>
      <c r="L100" s="34"/>
      <c r="M100" s="34"/>
    </row>
    <row r="101" spans="1:13" ht="12.75">
      <c r="A101" s="34"/>
      <c r="B101" s="34"/>
      <c r="C101" s="34"/>
      <c r="D101" s="34"/>
      <c r="E101" s="34"/>
      <c r="F101" s="429"/>
      <c r="G101" s="34"/>
      <c r="H101" s="34"/>
      <c r="I101" s="34"/>
      <c r="J101" s="34"/>
      <c r="K101" s="34"/>
      <c r="L101" s="34"/>
      <c r="M101" s="34"/>
    </row>
    <row r="102" spans="1:13" ht="12.75">
      <c r="A102" s="34"/>
      <c r="B102" s="34"/>
      <c r="C102" s="34"/>
      <c r="D102" s="34"/>
      <c r="E102" s="34"/>
      <c r="F102" s="429"/>
      <c r="G102" s="34"/>
      <c r="H102" s="34"/>
      <c r="I102" s="34"/>
      <c r="J102" s="34"/>
      <c r="K102" s="34"/>
      <c r="L102" s="34"/>
      <c r="M102" s="34"/>
    </row>
    <row r="103" spans="1:13" ht="12.75">
      <c r="A103" s="34"/>
      <c r="B103" s="34"/>
      <c r="C103" s="34"/>
      <c r="D103" s="34"/>
      <c r="E103" s="34"/>
      <c r="F103" s="429"/>
      <c r="G103" s="34"/>
      <c r="H103" s="34"/>
      <c r="I103" s="34"/>
      <c r="J103" s="34"/>
      <c r="K103" s="34"/>
      <c r="L103" s="34"/>
      <c r="M103" s="34"/>
    </row>
    <row r="104" spans="1:13" ht="12.75">
      <c r="A104" s="34"/>
      <c r="B104" s="34"/>
      <c r="C104" s="34"/>
      <c r="D104" s="34"/>
      <c r="E104" s="34"/>
      <c r="F104" s="429"/>
      <c r="G104" s="34"/>
      <c r="H104" s="34"/>
      <c r="I104" s="34"/>
      <c r="J104" s="34"/>
      <c r="K104" s="34"/>
      <c r="L104" s="34"/>
      <c r="M104" s="34"/>
    </row>
    <row r="105" spans="1:13" ht="12.75">
      <c r="A105" s="34"/>
      <c r="B105" s="34"/>
      <c r="C105" s="34"/>
      <c r="D105" s="34"/>
      <c r="E105" s="34"/>
      <c r="F105" s="429"/>
      <c r="G105" s="34"/>
      <c r="H105" s="34"/>
      <c r="I105" s="34"/>
      <c r="J105" s="34"/>
      <c r="K105" s="34"/>
      <c r="L105" s="34"/>
      <c r="M105" s="34"/>
    </row>
    <row r="106" spans="1:13" ht="12.75">
      <c r="A106" s="34"/>
      <c r="B106" s="34"/>
      <c r="C106" s="34"/>
      <c r="D106" s="34"/>
      <c r="E106" s="34"/>
      <c r="F106" s="429"/>
      <c r="G106" s="34"/>
      <c r="H106" s="34"/>
      <c r="I106" s="34"/>
      <c r="J106" s="34"/>
      <c r="K106" s="34"/>
      <c r="L106" s="34"/>
      <c r="M106" s="34"/>
    </row>
    <row r="107" spans="1:13" ht="12.75">
      <c r="A107" s="34"/>
      <c r="B107" s="34"/>
      <c r="C107" s="34"/>
      <c r="D107" s="34"/>
      <c r="E107" s="34"/>
      <c r="F107" s="429"/>
      <c r="G107" s="34"/>
      <c r="H107" s="34"/>
      <c r="I107" s="34"/>
      <c r="J107" s="34"/>
      <c r="K107" s="34"/>
      <c r="L107" s="34"/>
      <c r="M107" s="34"/>
    </row>
    <row r="108" spans="1:13" ht="12.75">
      <c r="A108" s="34"/>
      <c r="B108" s="34"/>
      <c r="C108" s="34"/>
      <c r="D108" s="34"/>
      <c r="E108" s="34"/>
      <c r="F108" s="429"/>
      <c r="G108" s="34"/>
      <c r="H108" s="34"/>
      <c r="I108" s="34"/>
      <c r="J108" s="34"/>
      <c r="K108" s="34"/>
      <c r="L108" s="34"/>
      <c r="M108" s="34"/>
    </row>
    <row r="109" spans="1:13" ht="12.75">
      <c r="A109" s="34"/>
      <c r="B109" s="34"/>
      <c r="C109" s="34"/>
      <c r="D109" s="34"/>
      <c r="E109" s="34"/>
      <c r="F109" s="429"/>
      <c r="G109" s="34"/>
      <c r="H109" s="34"/>
      <c r="I109" s="34"/>
      <c r="J109" s="34"/>
      <c r="K109" s="34"/>
      <c r="L109" s="34"/>
      <c r="M109" s="34"/>
    </row>
    <row r="110" spans="1:13" ht="12.75">
      <c r="A110" s="34"/>
      <c r="B110" s="34"/>
      <c r="C110" s="34"/>
      <c r="D110" s="34"/>
      <c r="E110" s="34"/>
      <c r="F110" s="429"/>
      <c r="G110" s="34"/>
      <c r="H110" s="34"/>
      <c r="I110" s="34"/>
      <c r="J110" s="34"/>
      <c r="K110" s="34"/>
      <c r="L110" s="34"/>
      <c r="M110" s="34"/>
    </row>
    <row r="111" spans="1:13" ht="12.75">
      <c r="A111" s="34"/>
      <c r="B111" s="34"/>
      <c r="C111" s="34"/>
      <c r="D111" s="34"/>
      <c r="E111" s="34"/>
      <c r="F111" s="429"/>
      <c r="G111" s="34"/>
      <c r="H111" s="34"/>
      <c r="I111" s="34"/>
      <c r="J111" s="34"/>
      <c r="K111" s="34"/>
      <c r="L111" s="34"/>
      <c r="M111" s="34"/>
    </row>
    <row r="112" spans="1:13" ht="12.75">
      <c r="A112" s="34"/>
      <c r="B112" s="34"/>
      <c r="C112" s="34"/>
      <c r="D112" s="34"/>
      <c r="E112" s="34"/>
      <c r="F112" s="429"/>
      <c r="G112" s="34"/>
      <c r="H112" s="34"/>
      <c r="I112" s="34"/>
      <c r="J112" s="34"/>
      <c r="K112" s="34"/>
      <c r="L112" s="34"/>
      <c r="M112" s="34"/>
    </row>
    <row r="113" spans="1:13" ht="12.75">
      <c r="A113" s="34"/>
      <c r="B113" s="34"/>
      <c r="C113" s="34"/>
      <c r="D113" s="34"/>
      <c r="E113" s="34"/>
      <c r="F113" s="429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C114" s="34"/>
      <c r="D114" s="34"/>
      <c r="E114" s="34"/>
      <c r="F114" s="429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429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429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429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429"/>
      <c r="G118" s="34"/>
      <c r="H118" s="34"/>
      <c r="I118" s="34"/>
      <c r="J118" s="34"/>
      <c r="K118" s="34"/>
      <c r="L118" s="34"/>
      <c r="M118" s="34"/>
    </row>
    <row r="119" spans="1:13" ht="12.75">
      <c r="A119" s="34"/>
      <c r="B119" s="34"/>
      <c r="C119" s="34"/>
      <c r="D119" s="34"/>
      <c r="E119" s="34"/>
      <c r="F119" s="429"/>
      <c r="G119" s="34"/>
      <c r="H119" s="34"/>
      <c r="I119" s="34"/>
      <c r="J119" s="34"/>
      <c r="K119" s="34"/>
      <c r="L119" s="34"/>
      <c r="M119" s="34"/>
    </row>
    <row r="120" spans="1:13" ht="12.75">
      <c r="A120" s="34"/>
      <c r="B120" s="34"/>
      <c r="C120" s="34"/>
      <c r="D120" s="34"/>
      <c r="E120" s="34"/>
      <c r="F120" s="429"/>
      <c r="G120" s="34"/>
      <c r="H120" s="34"/>
      <c r="I120" s="34"/>
      <c r="J120" s="34"/>
      <c r="K120" s="34"/>
      <c r="L120" s="34"/>
      <c r="M120" s="34"/>
    </row>
    <row r="121" spans="1:13" ht="12.75">
      <c r="A121" s="34"/>
      <c r="B121" s="34"/>
      <c r="C121" s="34"/>
      <c r="D121" s="34"/>
      <c r="E121" s="34"/>
      <c r="F121" s="429"/>
      <c r="G121" s="34"/>
      <c r="H121" s="34"/>
      <c r="I121" s="34"/>
      <c r="J121" s="34"/>
      <c r="K121" s="34"/>
      <c r="L121" s="34"/>
      <c r="M121" s="34"/>
    </row>
    <row r="122" spans="1:13" ht="12.75">
      <c r="A122" s="34"/>
      <c r="B122" s="34"/>
      <c r="C122" s="34"/>
      <c r="D122" s="34"/>
      <c r="E122" s="34"/>
      <c r="F122" s="429"/>
      <c r="G122" s="34"/>
      <c r="H122" s="34"/>
      <c r="I122" s="34"/>
      <c r="J122" s="34"/>
      <c r="K122" s="34"/>
      <c r="L122" s="34"/>
      <c r="M122" s="34"/>
    </row>
    <row r="123" spans="1:13" ht="12.75">
      <c r="A123" s="34"/>
      <c r="B123" s="34"/>
      <c r="C123" s="34"/>
      <c r="D123" s="34"/>
      <c r="E123" s="34"/>
      <c r="F123" s="429"/>
      <c r="G123" s="34"/>
      <c r="H123" s="34"/>
      <c r="I123" s="34"/>
      <c r="J123" s="34"/>
      <c r="K123" s="34"/>
      <c r="L123" s="34"/>
      <c r="M123" s="34"/>
    </row>
    <row r="124" spans="1:13" ht="12.75">
      <c r="A124" s="34"/>
      <c r="B124" s="34"/>
      <c r="C124" s="34"/>
      <c r="D124" s="34"/>
      <c r="E124" s="34"/>
      <c r="F124" s="429"/>
      <c r="G124" s="34"/>
      <c r="H124" s="34"/>
      <c r="I124" s="34"/>
      <c r="J124" s="34"/>
      <c r="K124" s="34"/>
      <c r="L124" s="34"/>
      <c r="M124" s="34"/>
    </row>
    <row r="125" spans="1:13" ht="12.75">
      <c r="A125" s="34"/>
      <c r="B125" s="34"/>
      <c r="C125" s="34"/>
      <c r="D125" s="34"/>
      <c r="E125" s="34"/>
      <c r="F125" s="429"/>
      <c r="G125" s="34"/>
      <c r="H125" s="34"/>
      <c r="I125" s="34"/>
      <c r="J125" s="34"/>
      <c r="K125" s="34"/>
      <c r="L125" s="34"/>
      <c r="M125" s="34"/>
    </row>
    <row r="126" spans="1:13" ht="12.75">
      <c r="A126" s="34"/>
      <c r="B126" s="34"/>
      <c r="C126" s="34"/>
      <c r="D126" s="34"/>
      <c r="E126" s="34"/>
      <c r="F126" s="429"/>
      <c r="G126" s="34"/>
      <c r="H126" s="34"/>
      <c r="I126" s="34"/>
      <c r="J126" s="34"/>
      <c r="K126" s="34"/>
      <c r="L126" s="34"/>
      <c r="M126" s="34"/>
    </row>
    <row r="127" spans="1:13" ht="12.75">
      <c r="A127" s="34"/>
      <c r="B127" s="34"/>
      <c r="C127" s="34"/>
      <c r="D127" s="34"/>
      <c r="E127" s="34"/>
      <c r="F127" s="429"/>
      <c r="G127" s="34"/>
      <c r="H127" s="34"/>
      <c r="I127" s="34"/>
      <c r="J127" s="34"/>
      <c r="K127" s="34"/>
      <c r="L127" s="34"/>
      <c r="M127" s="34"/>
    </row>
    <row r="128" spans="1:13" ht="12.75">
      <c r="A128" s="34"/>
      <c r="B128" s="34"/>
      <c r="C128" s="34"/>
      <c r="D128" s="34"/>
      <c r="E128" s="34"/>
      <c r="F128" s="429"/>
      <c r="G128" s="34"/>
      <c r="H128" s="34"/>
      <c r="I128" s="34"/>
      <c r="J128" s="34"/>
      <c r="K128" s="34"/>
      <c r="L128" s="34"/>
      <c r="M128" s="34"/>
    </row>
    <row r="129" spans="1:13" ht="12.75">
      <c r="A129" s="34"/>
      <c r="B129" s="34"/>
      <c r="C129" s="34"/>
      <c r="D129" s="34"/>
      <c r="E129" s="34"/>
      <c r="F129" s="429"/>
      <c r="G129" s="34"/>
      <c r="H129" s="34"/>
      <c r="I129" s="34"/>
      <c r="J129" s="34"/>
      <c r="K129" s="34"/>
      <c r="L129" s="34"/>
      <c r="M129" s="34"/>
    </row>
    <row r="130" spans="1:13" ht="12.75">
      <c r="A130" s="34"/>
      <c r="B130" s="34"/>
      <c r="C130" s="34"/>
      <c r="D130" s="34"/>
      <c r="E130" s="34"/>
      <c r="F130" s="429"/>
      <c r="G130" s="34"/>
      <c r="H130" s="34"/>
      <c r="I130" s="34"/>
      <c r="J130" s="34"/>
      <c r="K130" s="34"/>
      <c r="L130" s="34"/>
      <c r="M130" s="34"/>
    </row>
    <row r="131" spans="1:13" ht="12.75">
      <c r="A131" s="34"/>
      <c r="B131" s="34"/>
      <c r="C131" s="34"/>
      <c r="D131" s="34"/>
      <c r="E131" s="34"/>
      <c r="F131" s="429"/>
      <c r="G131" s="34"/>
      <c r="H131" s="34"/>
      <c r="I131" s="34"/>
      <c r="J131" s="34"/>
      <c r="K131" s="34"/>
      <c r="L131" s="34"/>
      <c r="M131" s="34"/>
    </row>
    <row r="132" spans="1:13" ht="12.75">
      <c r="A132" s="34"/>
      <c r="B132" s="34"/>
      <c r="C132" s="34"/>
      <c r="D132" s="34"/>
      <c r="E132" s="34"/>
      <c r="F132" s="429"/>
      <c r="G132" s="34"/>
      <c r="H132" s="34"/>
      <c r="I132" s="34"/>
      <c r="J132" s="34"/>
      <c r="K132" s="34"/>
      <c r="L132" s="34"/>
      <c r="M132" s="34"/>
    </row>
    <row r="133" spans="1:13" ht="12.75">
      <c r="A133" s="34"/>
      <c r="B133" s="34"/>
      <c r="C133" s="34"/>
      <c r="D133" s="34"/>
      <c r="E133" s="34"/>
      <c r="F133" s="429"/>
      <c r="G133" s="34"/>
      <c r="H133" s="34"/>
      <c r="I133" s="34"/>
      <c r="J133" s="34"/>
      <c r="K133" s="34"/>
      <c r="L133" s="34"/>
      <c r="M133" s="34"/>
    </row>
    <row r="134" spans="1:13" ht="12.75">
      <c r="A134" s="34"/>
      <c r="B134" s="34"/>
      <c r="C134" s="34"/>
      <c r="D134" s="34"/>
      <c r="E134" s="34"/>
      <c r="F134" s="429"/>
      <c r="G134" s="34"/>
      <c r="H134" s="34"/>
      <c r="I134" s="34"/>
      <c r="J134" s="34"/>
      <c r="K134" s="34"/>
      <c r="L134" s="34"/>
      <c r="M134" s="34"/>
    </row>
    <row r="135" spans="1:13" ht="12.75">
      <c r="A135" s="34"/>
      <c r="B135" s="34"/>
      <c r="C135" s="34"/>
      <c r="D135" s="34"/>
      <c r="E135" s="34"/>
      <c r="F135" s="429"/>
      <c r="G135" s="34"/>
      <c r="H135" s="34"/>
      <c r="I135" s="34"/>
      <c r="J135" s="34"/>
      <c r="K135" s="34"/>
      <c r="L135" s="34"/>
      <c r="M135" s="34"/>
    </row>
    <row r="136" spans="1:13" ht="12.75">
      <c r="A136" s="34"/>
      <c r="B136" s="34"/>
      <c r="C136" s="34"/>
      <c r="D136" s="34"/>
      <c r="E136" s="34"/>
      <c r="F136" s="429"/>
      <c r="G136" s="34"/>
      <c r="H136" s="34"/>
      <c r="I136" s="34"/>
      <c r="J136" s="34"/>
      <c r="K136" s="34"/>
      <c r="L136" s="34"/>
      <c r="M136" s="34"/>
    </row>
    <row r="137" spans="1:13" ht="12.75">
      <c r="A137" s="34"/>
      <c r="B137" s="34"/>
      <c r="C137" s="34"/>
      <c r="D137" s="34"/>
      <c r="E137" s="34"/>
      <c r="F137" s="429"/>
      <c r="G137" s="34"/>
      <c r="H137" s="34"/>
      <c r="I137" s="34"/>
      <c r="J137" s="34"/>
      <c r="K137" s="34"/>
      <c r="L137" s="34"/>
      <c r="M137" s="34"/>
    </row>
    <row r="138" spans="1:13" ht="12.75">
      <c r="A138" s="34"/>
      <c r="B138" s="34"/>
      <c r="C138" s="34"/>
      <c r="D138" s="34"/>
      <c r="E138" s="34"/>
      <c r="F138" s="429"/>
      <c r="G138" s="34"/>
      <c r="H138" s="34"/>
      <c r="I138" s="34"/>
      <c r="J138" s="34"/>
      <c r="K138" s="34"/>
      <c r="L138" s="34"/>
      <c r="M138" s="34"/>
    </row>
    <row r="139" spans="1:13" ht="12.75">
      <c r="A139" s="34"/>
      <c r="B139" s="34"/>
      <c r="C139" s="34"/>
      <c r="D139" s="34"/>
      <c r="E139" s="34"/>
      <c r="F139" s="429"/>
      <c r="G139" s="34"/>
      <c r="H139" s="34"/>
      <c r="I139" s="34"/>
      <c r="J139" s="34"/>
      <c r="K139" s="34"/>
      <c r="L139" s="34"/>
      <c r="M139" s="34"/>
    </row>
    <row r="140" spans="1:13" ht="12.75">
      <c r="A140" s="34"/>
      <c r="B140" s="34"/>
      <c r="C140" s="34"/>
      <c r="D140" s="34"/>
      <c r="E140" s="34"/>
      <c r="F140" s="429"/>
      <c r="G140" s="34"/>
      <c r="H140" s="34"/>
      <c r="I140" s="34"/>
      <c r="J140" s="34"/>
      <c r="K140" s="34"/>
      <c r="L140" s="34"/>
      <c r="M140" s="34"/>
    </row>
    <row r="141" spans="1:13" ht="12.75">
      <c r="A141" s="34"/>
      <c r="B141" s="34"/>
      <c r="C141" s="34"/>
      <c r="D141" s="34"/>
      <c r="E141" s="34"/>
      <c r="F141" s="429"/>
      <c r="G141" s="34"/>
      <c r="H141" s="34"/>
      <c r="I141" s="34"/>
      <c r="J141" s="34"/>
      <c r="K141" s="34"/>
      <c r="L141" s="34"/>
      <c r="M141" s="34"/>
    </row>
    <row r="142" spans="1:13" ht="12.75">
      <c r="A142" s="34"/>
      <c r="B142" s="34"/>
      <c r="C142" s="34"/>
      <c r="D142" s="34"/>
      <c r="E142" s="34"/>
      <c r="F142" s="429"/>
      <c r="G142" s="34"/>
      <c r="H142" s="34"/>
      <c r="I142" s="34"/>
      <c r="J142" s="34"/>
      <c r="K142" s="34"/>
      <c r="L142" s="34"/>
      <c r="M142" s="34"/>
    </row>
    <row r="143" spans="1:13" ht="12.75">
      <c r="A143" s="34"/>
      <c r="B143" s="34"/>
      <c r="C143" s="34"/>
      <c r="D143" s="34"/>
      <c r="E143" s="34"/>
      <c r="F143" s="429"/>
      <c r="G143" s="34"/>
      <c r="H143" s="34"/>
      <c r="I143" s="34"/>
      <c r="J143" s="34"/>
      <c r="K143" s="34"/>
      <c r="L143" s="34"/>
      <c r="M143" s="34"/>
    </row>
    <row r="144" spans="1:13" ht="12.75">
      <c r="A144" s="34"/>
      <c r="B144" s="34"/>
      <c r="C144" s="34"/>
      <c r="D144" s="34"/>
      <c r="E144" s="34"/>
      <c r="F144" s="429"/>
      <c r="G144" s="34"/>
      <c r="H144" s="34"/>
      <c r="I144" s="34"/>
      <c r="J144" s="34"/>
      <c r="K144" s="34"/>
      <c r="L144" s="34"/>
      <c r="M144" s="34"/>
    </row>
    <row r="145" spans="1:13" ht="12.75">
      <c r="A145" s="34"/>
      <c r="B145" s="34"/>
      <c r="C145" s="34"/>
      <c r="D145" s="34"/>
      <c r="E145" s="34"/>
      <c r="F145" s="429"/>
      <c r="G145" s="34"/>
      <c r="H145" s="34"/>
      <c r="I145" s="34"/>
      <c r="J145" s="34"/>
      <c r="K145" s="34"/>
      <c r="L145" s="34"/>
      <c r="M145" s="34"/>
    </row>
    <row r="146" spans="1:13" ht="12.75">
      <c r="A146" s="34"/>
      <c r="B146" s="34"/>
      <c r="C146" s="34"/>
      <c r="D146" s="34"/>
      <c r="E146" s="34"/>
      <c r="F146" s="429"/>
      <c r="G146" s="34"/>
      <c r="H146" s="34"/>
      <c r="I146" s="34"/>
      <c r="J146" s="34"/>
      <c r="K146" s="34"/>
      <c r="L146" s="34"/>
      <c r="M146" s="34"/>
    </row>
    <row r="147" spans="1:13" ht="12.75">
      <c r="A147" s="34"/>
      <c r="B147" s="34"/>
      <c r="C147" s="34"/>
      <c r="D147" s="34"/>
      <c r="E147" s="34"/>
      <c r="F147" s="429"/>
      <c r="G147" s="34"/>
      <c r="H147" s="34"/>
      <c r="I147" s="34"/>
      <c r="J147" s="34"/>
      <c r="K147" s="34"/>
      <c r="L147" s="34"/>
      <c r="M147" s="34"/>
    </row>
    <row r="148" spans="1:13" ht="12.75">
      <c r="A148" s="34"/>
      <c r="B148" s="34"/>
      <c r="C148" s="34"/>
      <c r="D148" s="34"/>
      <c r="E148" s="34"/>
      <c r="F148" s="429"/>
      <c r="G148" s="34"/>
      <c r="H148" s="34"/>
      <c r="I148" s="34"/>
      <c r="J148" s="34"/>
      <c r="K148" s="34"/>
      <c r="L148" s="34"/>
      <c r="M148" s="34"/>
    </row>
    <row r="149" spans="1:13" ht="12.75">
      <c r="A149" s="34"/>
      <c r="B149" s="34"/>
      <c r="C149" s="34"/>
      <c r="D149" s="34"/>
      <c r="E149" s="34"/>
      <c r="F149" s="429"/>
      <c r="G149" s="34"/>
      <c r="H149" s="34"/>
      <c r="I149" s="34"/>
      <c r="J149" s="34"/>
      <c r="K149" s="34"/>
      <c r="L149" s="34"/>
      <c r="M149" s="34"/>
    </row>
    <row r="150" spans="1:13" ht="12.75">
      <c r="A150" s="34"/>
      <c r="B150" s="34"/>
      <c r="C150" s="34"/>
      <c r="D150" s="34"/>
      <c r="E150" s="34"/>
      <c r="F150" s="429"/>
      <c r="G150" s="34"/>
      <c r="H150" s="34"/>
      <c r="I150" s="34"/>
      <c r="J150" s="34"/>
      <c r="K150" s="34"/>
      <c r="L150" s="34"/>
      <c r="M150" s="34"/>
    </row>
    <row r="151" spans="1:13" ht="12.75">
      <c r="A151" s="34"/>
      <c r="B151" s="34"/>
      <c r="C151" s="34"/>
      <c r="D151" s="34"/>
      <c r="E151" s="34"/>
      <c r="F151" s="429"/>
      <c r="G151" s="34"/>
      <c r="H151" s="34"/>
      <c r="I151" s="34"/>
      <c r="J151" s="34"/>
      <c r="K151" s="34"/>
      <c r="L151" s="34"/>
      <c r="M151" s="34"/>
    </row>
    <row r="152" spans="1:13" ht="12.75">
      <c r="A152" s="34"/>
      <c r="B152" s="34"/>
      <c r="C152" s="34"/>
      <c r="D152" s="34"/>
      <c r="E152" s="34"/>
      <c r="F152" s="429"/>
      <c r="G152" s="34"/>
      <c r="H152" s="34"/>
      <c r="I152" s="34"/>
      <c r="J152" s="34"/>
      <c r="K152" s="34"/>
      <c r="L152" s="34"/>
      <c r="M152" s="34"/>
    </row>
    <row r="153" spans="1:13" ht="12.75">
      <c r="A153" s="34"/>
      <c r="B153" s="34"/>
      <c r="C153" s="34"/>
      <c r="D153" s="34"/>
      <c r="E153" s="34"/>
      <c r="F153" s="429"/>
      <c r="G153" s="34"/>
      <c r="H153" s="34"/>
      <c r="I153" s="34"/>
      <c r="J153" s="34"/>
      <c r="K153" s="34"/>
      <c r="L153" s="34"/>
      <c r="M153" s="34"/>
    </row>
    <row r="154" spans="1:13" ht="12.75">
      <c r="A154" s="34"/>
      <c r="B154" s="34"/>
      <c r="C154" s="34"/>
      <c r="D154" s="34"/>
      <c r="E154" s="34"/>
      <c r="F154" s="429"/>
      <c r="G154" s="34"/>
      <c r="H154" s="34"/>
      <c r="I154" s="34"/>
      <c r="J154" s="34"/>
      <c r="K154" s="34"/>
      <c r="L154" s="34"/>
      <c r="M154" s="34"/>
    </row>
    <row r="155" spans="1:13" ht="12.75">
      <c r="A155" s="34"/>
      <c r="B155" s="34"/>
      <c r="C155" s="34"/>
      <c r="D155" s="34"/>
      <c r="E155" s="34"/>
      <c r="F155" s="429"/>
      <c r="G155" s="34"/>
      <c r="H155" s="34"/>
      <c r="I155" s="34"/>
      <c r="J155" s="34"/>
      <c r="K155" s="34"/>
      <c r="L155" s="34"/>
      <c r="M155" s="34"/>
    </row>
    <row r="156" spans="1:13" ht="12.75">
      <c r="A156" s="34"/>
      <c r="B156" s="34"/>
      <c r="C156" s="34"/>
      <c r="D156" s="34"/>
      <c r="E156" s="34"/>
      <c r="F156" s="429"/>
      <c r="G156" s="34"/>
      <c r="H156" s="34"/>
      <c r="I156" s="34"/>
      <c r="J156" s="34"/>
      <c r="K156" s="34"/>
      <c r="L156" s="34"/>
      <c r="M156" s="34"/>
    </row>
    <row r="157" spans="1:13" ht="12.75">
      <c r="A157" s="34"/>
      <c r="B157" s="34"/>
      <c r="C157" s="34"/>
      <c r="D157" s="34"/>
      <c r="E157" s="34"/>
      <c r="F157" s="429"/>
      <c r="G157" s="34"/>
      <c r="H157" s="34"/>
      <c r="I157" s="34"/>
      <c r="J157" s="34"/>
      <c r="K157" s="34"/>
      <c r="L157" s="34"/>
      <c r="M157" s="34"/>
    </row>
    <row r="158" spans="1:13" ht="12.75">
      <c r="A158" s="34"/>
      <c r="B158" s="34"/>
      <c r="C158" s="34"/>
      <c r="D158" s="34"/>
      <c r="E158" s="34"/>
      <c r="F158" s="429"/>
      <c r="G158" s="34"/>
      <c r="H158" s="34"/>
      <c r="I158" s="34"/>
      <c r="J158" s="34"/>
      <c r="K158" s="34"/>
      <c r="L158" s="34"/>
      <c r="M158" s="34"/>
    </row>
    <row r="159" spans="1:13" ht="12.75">
      <c r="A159" s="34"/>
      <c r="B159" s="34"/>
      <c r="C159" s="34"/>
      <c r="D159" s="34"/>
      <c r="E159" s="34"/>
      <c r="F159" s="429"/>
      <c r="G159" s="34"/>
      <c r="H159" s="34"/>
      <c r="I159" s="34"/>
      <c r="J159" s="34"/>
      <c r="K159" s="34"/>
      <c r="L159" s="34"/>
      <c r="M159" s="34"/>
    </row>
    <row r="160" spans="1:13" ht="12.75">
      <c r="A160" s="34"/>
      <c r="B160" s="34"/>
      <c r="C160" s="34"/>
      <c r="D160" s="34"/>
      <c r="E160" s="34"/>
      <c r="F160" s="429"/>
      <c r="G160" s="34"/>
      <c r="H160" s="34"/>
      <c r="I160" s="34"/>
      <c r="J160" s="34"/>
      <c r="K160" s="34"/>
      <c r="L160" s="34"/>
      <c r="M160" s="34"/>
    </row>
    <row r="161" spans="1:13" ht="12.75">
      <c r="A161" s="34"/>
      <c r="B161" s="34"/>
      <c r="C161" s="34"/>
      <c r="D161" s="34"/>
      <c r="E161" s="34"/>
      <c r="F161" s="429"/>
      <c r="G161" s="34"/>
      <c r="H161" s="34"/>
      <c r="I161" s="34"/>
      <c r="J161" s="34"/>
      <c r="K161" s="34"/>
      <c r="L161" s="34"/>
      <c r="M161" s="34"/>
    </row>
    <row r="162" spans="1:13" ht="12.75">
      <c r="A162" s="34"/>
      <c r="B162" s="34"/>
      <c r="C162" s="34"/>
      <c r="D162" s="34"/>
      <c r="E162" s="34"/>
      <c r="F162" s="429"/>
      <c r="G162" s="34"/>
      <c r="H162" s="34"/>
      <c r="I162" s="34"/>
      <c r="J162" s="34"/>
      <c r="K162" s="34"/>
      <c r="L162" s="34"/>
      <c r="M162" s="34"/>
    </row>
    <row r="163" spans="1:13" ht="12.75">
      <c r="A163" s="34"/>
      <c r="B163" s="34"/>
      <c r="C163" s="34"/>
      <c r="D163" s="34"/>
      <c r="E163" s="34"/>
      <c r="F163" s="429"/>
      <c r="G163" s="34"/>
      <c r="H163" s="34"/>
      <c r="I163" s="34"/>
      <c r="J163" s="34"/>
      <c r="K163" s="34"/>
      <c r="L163" s="34"/>
      <c r="M163" s="34"/>
    </row>
    <row r="164" spans="1:13" ht="12.75">
      <c r="A164" s="34"/>
      <c r="B164" s="34"/>
      <c r="C164" s="34"/>
      <c r="D164" s="34"/>
      <c r="E164" s="34"/>
      <c r="F164" s="429"/>
      <c r="G164" s="34"/>
      <c r="H164" s="34"/>
      <c r="I164" s="34"/>
      <c r="J164" s="34"/>
      <c r="K164" s="34"/>
      <c r="L164" s="34"/>
      <c r="M164" s="34"/>
    </row>
    <row r="165" spans="1:13" ht="12.75">
      <c r="A165" s="34"/>
      <c r="B165" s="34"/>
      <c r="C165" s="34"/>
      <c r="D165" s="34"/>
      <c r="E165" s="34"/>
      <c r="F165" s="429"/>
      <c r="G165" s="34"/>
      <c r="H165" s="34"/>
      <c r="I165" s="34"/>
      <c r="J165" s="34"/>
      <c r="K165" s="34"/>
      <c r="L165" s="34"/>
      <c r="M165" s="34"/>
    </row>
    <row r="166" spans="1:13" ht="12.75">
      <c r="A166" s="34"/>
      <c r="B166" s="34"/>
      <c r="C166" s="34"/>
      <c r="D166" s="34"/>
      <c r="E166" s="34"/>
      <c r="F166" s="429"/>
      <c r="G166" s="34"/>
      <c r="H166" s="34"/>
      <c r="I166" s="34"/>
      <c r="J166" s="34"/>
      <c r="K166" s="34"/>
      <c r="L166" s="34"/>
      <c r="M166" s="34"/>
    </row>
    <row r="167" spans="1:13" ht="12.75">
      <c r="A167" s="34"/>
      <c r="B167" s="34"/>
      <c r="C167" s="34"/>
      <c r="D167" s="34"/>
      <c r="E167" s="34"/>
      <c r="F167" s="429"/>
      <c r="G167" s="34"/>
      <c r="H167" s="34"/>
      <c r="I167" s="34"/>
      <c r="J167" s="34"/>
      <c r="K167" s="34"/>
      <c r="L167" s="34"/>
      <c r="M167" s="34"/>
    </row>
    <row r="168" spans="1:13" ht="12.75">
      <c r="A168" s="34"/>
      <c r="B168" s="34"/>
      <c r="C168" s="34"/>
      <c r="D168" s="34"/>
      <c r="E168" s="34"/>
      <c r="F168" s="429"/>
      <c r="G168" s="34"/>
      <c r="H168" s="34"/>
      <c r="I168" s="34"/>
      <c r="J168" s="34"/>
      <c r="K168" s="34"/>
      <c r="L168" s="34"/>
      <c r="M168" s="34"/>
    </row>
    <row r="169" spans="1:13" ht="12.75">
      <c r="A169" s="34"/>
      <c r="B169" s="34"/>
      <c r="C169" s="34"/>
      <c r="D169" s="34"/>
      <c r="E169" s="34"/>
      <c r="F169" s="429"/>
      <c r="G169" s="34"/>
      <c r="H169" s="34"/>
      <c r="I169" s="34"/>
      <c r="J169" s="34"/>
      <c r="K169" s="34"/>
      <c r="L169" s="34"/>
      <c r="M169" s="34"/>
    </row>
    <row r="170" spans="1:13" ht="12.75">
      <c r="A170" s="34"/>
      <c r="B170" s="34"/>
      <c r="C170" s="34"/>
      <c r="D170" s="34"/>
      <c r="E170" s="34"/>
      <c r="F170" s="429"/>
      <c r="G170" s="34"/>
      <c r="H170" s="34"/>
      <c r="I170" s="34"/>
      <c r="J170" s="34"/>
      <c r="K170" s="34"/>
      <c r="L170" s="34"/>
      <c r="M170" s="34"/>
    </row>
    <row r="171" spans="1:13" ht="12.75">
      <c r="A171" s="34"/>
      <c r="B171" s="34"/>
      <c r="C171" s="34"/>
      <c r="D171" s="34"/>
      <c r="E171" s="34"/>
      <c r="F171" s="429"/>
      <c r="G171" s="34"/>
      <c r="H171" s="34"/>
      <c r="I171" s="34"/>
      <c r="J171" s="34"/>
      <c r="K171" s="34"/>
      <c r="L171" s="34"/>
      <c r="M171" s="34"/>
    </row>
    <row r="172" spans="1:13" ht="12.75">
      <c r="A172" s="34"/>
      <c r="B172" s="34"/>
      <c r="C172" s="34"/>
      <c r="D172" s="34"/>
      <c r="E172" s="34"/>
      <c r="F172" s="429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429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429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429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429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429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429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429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429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429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429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429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429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429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429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429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429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429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429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429"/>
      <c r="G191" s="34"/>
      <c r="H191" s="34"/>
      <c r="I191" s="34"/>
      <c r="J191" s="34"/>
      <c r="K191" s="34"/>
      <c r="L191" s="34"/>
      <c r="M191" s="34"/>
    </row>
    <row r="192" spans="1:13" ht="12.75">
      <c r="A192" s="34"/>
      <c r="B192" s="34"/>
      <c r="C192" s="34"/>
      <c r="D192" s="34"/>
      <c r="E192" s="34"/>
      <c r="F192" s="429"/>
      <c r="G192" s="34"/>
      <c r="H192" s="34"/>
      <c r="I192" s="34"/>
      <c r="J192" s="34"/>
      <c r="K192" s="34"/>
      <c r="L192" s="34"/>
      <c r="M192" s="34"/>
    </row>
    <row r="193" spans="1:13" ht="12.75">
      <c r="A193" s="34"/>
      <c r="B193" s="34"/>
      <c r="C193" s="34"/>
      <c r="D193" s="34"/>
      <c r="E193" s="34"/>
      <c r="F193" s="429"/>
      <c r="G193" s="34"/>
      <c r="H193" s="34"/>
      <c r="I193" s="34"/>
      <c r="J193" s="34"/>
      <c r="K193" s="34"/>
      <c r="L193" s="34"/>
      <c r="M193" s="34"/>
    </row>
    <row r="194" spans="1:13" ht="12.75">
      <c r="A194" s="34"/>
      <c r="B194" s="34"/>
      <c r="C194" s="34"/>
      <c r="D194" s="34"/>
      <c r="E194" s="34"/>
      <c r="F194" s="429"/>
      <c r="G194" s="34"/>
      <c r="H194" s="34"/>
      <c r="I194" s="34"/>
      <c r="J194" s="34"/>
      <c r="K194" s="34"/>
      <c r="L194" s="34"/>
      <c r="M194" s="34"/>
    </row>
    <row r="195" spans="1:13" ht="12.75">
      <c r="A195" s="34"/>
      <c r="B195" s="34"/>
      <c r="C195" s="34"/>
      <c r="D195" s="34"/>
      <c r="E195" s="34"/>
      <c r="F195" s="429"/>
      <c r="G195" s="34"/>
      <c r="H195" s="34"/>
      <c r="I195" s="34"/>
      <c r="J195" s="34"/>
      <c r="K195" s="34"/>
      <c r="L195" s="34"/>
      <c r="M195" s="34"/>
    </row>
    <row r="196" spans="1:13" ht="12.75">
      <c r="A196" s="34"/>
      <c r="B196" s="34"/>
      <c r="C196" s="34"/>
      <c r="D196" s="34"/>
      <c r="E196" s="34"/>
      <c r="F196" s="429"/>
      <c r="G196" s="34"/>
      <c r="H196" s="34"/>
      <c r="I196" s="34"/>
      <c r="J196" s="34"/>
      <c r="K196" s="34"/>
      <c r="L196" s="34"/>
      <c r="M196" s="34"/>
    </row>
    <row r="197" spans="1:13" ht="12.75">
      <c r="A197" s="34"/>
      <c r="B197" s="34"/>
      <c r="C197" s="34"/>
      <c r="D197" s="34"/>
      <c r="E197" s="34"/>
      <c r="F197" s="429"/>
      <c r="G197" s="34"/>
      <c r="H197" s="34"/>
      <c r="I197" s="34"/>
      <c r="J197" s="34"/>
      <c r="K197" s="34"/>
      <c r="L197" s="34"/>
      <c r="M197" s="34"/>
    </row>
    <row r="198" spans="1:13" ht="12.75">
      <c r="A198" s="34"/>
      <c r="B198" s="34"/>
      <c r="C198" s="34"/>
      <c r="D198" s="34"/>
      <c r="E198" s="34"/>
      <c r="F198" s="429"/>
      <c r="G198" s="34"/>
      <c r="H198" s="34"/>
      <c r="I198" s="34"/>
      <c r="J198" s="34"/>
      <c r="K198" s="34"/>
      <c r="L198" s="34"/>
      <c r="M198" s="34"/>
    </row>
    <row r="199" spans="1:13" ht="12.75">
      <c r="A199" s="34"/>
      <c r="B199" s="34"/>
      <c r="C199" s="34"/>
      <c r="D199" s="34"/>
      <c r="E199" s="34"/>
      <c r="F199" s="429"/>
      <c r="G199" s="34"/>
      <c r="H199" s="34"/>
      <c r="I199" s="34"/>
      <c r="J199" s="34"/>
      <c r="K199" s="34"/>
      <c r="L199" s="34"/>
      <c r="M199" s="34"/>
    </row>
    <row r="200" spans="1:13" ht="12.75">
      <c r="A200" s="34"/>
      <c r="B200" s="34"/>
      <c r="C200" s="34"/>
      <c r="D200" s="34"/>
      <c r="E200" s="34"/>
      <c r="F200" s="429"/>
      <c r="G200" s="34"/>
      <c r="H200" s="34"/>
      <c r="I200" s="34"/>
      <c r="J200" s="34"/>
      <c r="K200" s="34"/>
      <c r="L200" s="34"/>
      <c r="M200" s="34"/>
    </row>
    <row r="201" spans="1:13" ht="12.75">
      <c r="A201" s="34"/>
      <c r="B201" s="34"/>
      <c r="C201" s="34"/>
      <c r="D201" s="34"/>
      <c r="E201" s="34"/>
      <c r="F201" s="429"/>
      <c r="G201" s="34"/>
      <c r="H201" s="34"/>
      <c r="I201" s="34"/>
      <c r="J201" s="34"/>
      <c r="K201" s="34"/>
      <c r="L201" s="34"/>
      <c r="M201" s="34"/>
    </row>
    <row r="202" spans="1:13" ht="12.75">
      <c r="A202" s="34"/>
      <c r="B202" s="34"/>
      <c r="C202" s="34"/>
      <c r="D202" s="34"/>
      <c r="E202" s="34"/>
      <c r="F202" s="429"/>
      <c r="G202" s="34"/>
      <c r="H202" s="34"/>
      <c r="I202" s="34"/>
      <c r="J202" s="34"/>
      <c r="K202" s="34"/>
      <c r="L202" s="34"/>
      <c r="M202" s="34"/>
    </row>
    <row r="203" spans="1:13" ht="12.75">
      <c r="A203" s="34"/>
      <c r="B203" s="34"/>
      <c r="C203" s="34"/>
      <c r="D203" s="34"/>
      <c r="E203" s="34"/>
      <c r="F203" s="429"/>
      <c r="G203" s="34"/>
      <c r="H203" s="34"/>
      <c r="I203" s="34"/>
      <c r="J203" s="34"/>
      <c r="K203" s="34"/>
      <c r="L203" s="34"/>
      <c r="M203" s="34"/>
    </row>
    <row r="204" spans="1:13" ht="12.75">
      <c r="A204" s="34"/>
      <c r="B204" s="34"/>
      <c r="C204" s="34"/>
      <c r="D204" s="34"/>
      <c r="E204" s="34"/>
      <c r="F204" s="429"/>
      <c r="G204" s="34"/>
      <c r="H204" s="34"/>
      <c r="I204" s="34"/>
      <c r="J204" s="34"/>
      <c r="K204" s="34"/>
      <c r="L204" s="34"/>
      <c r="M204" s="34"/>
    </row>
    <row r="205" spans="1:13" ht="12.75">
      <c r="A205" s="34"/>
      <c r="B205" s="34"/>
      <c r="C205" s="34"/>
      <c r="D205" s="34"/>
      <c r="E205" s="34"/>
      <c r="F205" s="429"/>
      <c r="G205" s="34"/>
      <c r="H205" s="34"/>
      <c r="I205" s="34"/>
      <c r="J205" s="34"/>
      <c r="K205" s="34"/>
      <c r="L205" s="34"/>
      <c r="M205" s="34"/>
    </row>
    <row r="206" spans="1:13" ht="12">
      <c r="A206" s="69"/>
      <c r="B206" s="69"/>
      <c r="C206" s="69"/>
      <c r="D206" s="69"/>
      <c r="E206" s="69"/>
      <c r="F206" s="326"/>
      <c r="G206" s="69"/>
      <c r="H206" s="69"/>
      <c r="I206" s="69"/>
      <c r="J206" s="69"/>
      <c r="K206" s="69"/>
      <c r="L206" s="69"/>
      <c r="M206" s="69"/>
    </row>
    <row r="207" spans="1:13" ht="12">
      <c r="A207" s="69"/>
      <c r="B207" s="69"/>
      <c r="C207" s="69"/>
      <c r="D207" s="69"/>
      <c r="E207" s="69"/>
      <c r="F207" s="326"/>
      <c r="G207" s="69"/>
      <c r="H207" s="69"/>
      <c r="I207" s="69"/>
      <c r="J207" s="69"/>
      <c r="K207" s="69"/>
      <c r="L207" s="69"/>
      <c r="M207" s="69"/>
    </row>
    <row r="208" spans="1:13" ht="12">
      <c r="A208" s="69"/>
      <c r="B208" s="69"/>
      <c r="C208" s="69"/>
      <c r="D208" s="69"/>
      <c r="E208" s="69"/>
      <c r="F208" s="326"/>
      <c r="G208" s="69"/>
      <c r="H208" s="69"/>
      <c r="I208" s="69"/>
      <c r="J208" s="69"/>
      <c r="K208" s="69"/>
      <c r="L208" s="69"/>
      <c r="M208" s="69"/>
    </row>
  </sheetData>
  <mergeCells count="5">
    <mergeCell ref="F10:J10"/>
    <mergeCell ref="E9:L9"/>
    <mergeCell ref="A53:C53"/>
    <mergeCell ref="A5:M5"/>
    <mergeCell ref="A6:M6"/>
  </mergeCells>
  <printOptions horizontalCentered="1"/>
  <pageMargins left="0.2" right="0.21" top="0.17" bottom="0.61" header="0.17" footer="0.6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cp:lastPrinted>2006-12-28T13:31:27Z</cp:lastPrinted>
  <dcterms:created xsi:type="dcterms:W3CDTF">2003-01-16T13:32:33Z</dcterms:created>
  <dcterms:modified xsi:type="dcterms:W3CDTF">2006-12-28T13:47:33Z</dcterms:modified>
  <cp:category/>
  <cp:version/>
  <cp:contentType/>
  <cp:contentStatus/>
</cp:coreProperties>
</file>