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Sytuacja finans." sheetId="1" r:id="rId1"/>
    <sheet name="Prognoza dł. 8" sheetId="2" r:id="rId2"/>
    <sheet name="Wspolne 6" sheetId="3" r:id="rId3"/>
    <sheet name="Doch.i wyd..zlec.zał.5" sheetId="4" r:id="rId4"/>
    <sheet name="Żródła finans." sheetId="5" r:id="rId5"/>
    <sheet name="Inwestycje 2007 3a" sheetId="6" r:id="rId6"/>
    <sheet name="Wieloletnie programy 3" sheetId="7" r:id="rId7"/>
    <sheet name="Arkusz1" sheetId="8" r:id="rId8"/>
    <sheet name="Arkusz2" sheetId="9" r:id="rId9"/>
    <sheet name="Arkusz3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3">'Doch.i wyd..zlec.zał.5'!$A$1:$G$173</definedName>
    <definedName name="_xlnm.Print_Area" localSheetId="5">'Inwestycje 2007 3a'!$A$1:$L$22</definedName>
    <definedName name="_xlnm.Print_Area" localSheetId="1">'Prognoza dł. 8'!$A$1:$AA$34</definedName>
    <definedName name="_xlnm.Print_Area" localSheetId="2">'Wspolne 6'!$A$1:$F$118</definedName>
    <definedName name="_xlnm.Print_Area_4">'Doch.i wyd..zlec.zał.5'!$A$1:$G$173</definedName>
    <definedName name="_xlnm.Print_Area_6">'Inwestycje 2007 3a'!$A$1:$L$22</definedName>
    <definedName name="_xlnm.Print_Area_2">'Prognoza dł. 8'!$A$1:$AA$34</definedName>
    <definedName name="_xlnm.Print_Area_3">'Wspolne 6'!$A$1:$F$118</definedName>
    <definedName name="_xlnm.Print_Titles_4">"'doch.i wyd..zlec.zał.5'!$18":18</definedName>
    <definedName name="_xlnm.Print_Titles_2">"'prognoza dł. 8'!$a":"$a"</definedName>
    <definedName name="_xlnm.Print_Titles_1">"'sytuacja finans.'!$a":"$a"</definedName>
    <definedName name="_xlnm.Print_Titles_3">"'wspolne 6'!$13":13</definedName>
  </definedNames>
  <calcPr fullCalcOnLoad="1"/>
</workbook>
</file>

<file path=xl/sharedStrings.xml><?xml version="1.0" encoding="utf-8"?>
<sst xmlns="http://schemas.openxmlformats.org/spreadsheetml/2006/main" count="611" uniqueCount="348">
  <si>
    <t>Załącznik nr 15</t>
  </si>
  <si>
    <t>do uchwały Nr...........</t>
  </si>
  <si>
    <t>Rady Powiatu w Elblągu</t>
  </si>
  <si>
    <t>z dnia..............2009 r.</t>
  </si>
  <si>
    <t>Prognozowana sytuacja finansowa powiatu w latach spłaty długu</t>
  </si>
  <si>
    <t>w złotych</t>
  </si>
  <si>
    <t>L.p.</t>
  </si>
  <si>
    <t>Wyszczególnienie</t>
  </si>
  <si>
    <t>Wykonanie w 2007 r.</t>
  </si>
  <si>
    <t>PW na 2008 r.</t>
  </si>
  <si>
    <t>Lata spłaty kredytu/pożyczki</t>
  </si>
  <si>
    <t>2008 r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</si>
  <si>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</si>
  <si>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</si>
  <si>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</si>
  <si>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</si>
  <si>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</si>
  <si>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</si>
  <si>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</si>
  <si>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</si>
  <si>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</si>
  <si>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</si>
  <si>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</si>
  <si>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</si>
  <si>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</si>
  <si>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</si>
  <si>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</si>
  <si>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</si>
  <si>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</si>
  <si>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</si>
  <si>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</si>
  <si>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</si>
  <si>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</si>
  <si>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</si>
  <si>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</si>
  <si>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</si>
  <si>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</si>
  <si>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</si>
  <si>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</si>
  <si>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</si>
  <si>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</si>
  <si>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</si>
  <si>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</si>
  <si>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</si>
  <si>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</si>
  <si>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</si>
  <si>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</si>
  <si>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</si>
  <si>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</si>
  <si>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</si>
  <si>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</si>
  <si>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</si>
  <si>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</si>
  <si>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</si>
  <si>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</si>
  <si>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</si>
  <si>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</si>
  <si>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</si>
  <si>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</si>
  <si>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E.</t>
  </si>
  <si>
    <t>Wartość udzielonych pożyczek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</si>
  <si>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</si>
  <si>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</si>
  <si>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</si>
  <si>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</si>
  <si>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</si>
  <si>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</si>
  <si>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</si>
  <si>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</si>
  <si>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</si>
  <si>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</si>
  <si>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</si>
  <si>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</si>
  <si>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</si>
  <si>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Załącznik nr 14</t>
  </si>
  <si>
    <t>do Uchwały Nr ...............</t>
  </si>
  <si>
    <t xml:space="preserve">z dnia ...................... 2009 r. </t>
  </si>
  <si>
    <t>Prognoza kwoty długu powiatu elbląskiego</t>
  </si>
  <si>
    <t xml:space="preserve"> w złotych</t>
  </si>
  <si>
    <t>Przewidywany stan na koniec roku</t>
  </si>
  <si>
    <t>Rodzaj</t>
  </si>
  <si>
    <t>Wykonanie</t>
  </si>
  <si>
    <t>Wykonanie w 2007</t>
  </si>
  <si>
    <t>PW</t>
  </si>
  <si>
    <t>zadłużenia</t>
  </si>
  <si>
    <t>na koniec</t>
  </si>
  <si>
    <t>31.12.2005 r.</t>
  </si>
  <si>
    <t>w 2006 r.</t>
  </si>
  <si>
    <t>Wyemitowane papiery wartościowe</t>
  </si>
  <si>
    <t>Kredyty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</si>
  <si>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</si>
  <si>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</si>
  <si>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</si>
  <si>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</si>
  <si>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</si>
  <si>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</si>
  <si>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</si>
  <si>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</si>
  <si>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</si>
  <si>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</si>
  <si>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</si>
  <si>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</si>
  <si>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Łączna kwota długu na koniec roku budż.</t>
  </si>
  <si>
    <t>7.</t>
  </si>
  <si>
    <t>Dochody ogółem</t>
  </si>
  <si>
    <t>8.</t>
  </si>
  <si>
    <t>Procentowy (%) udział długu w dochodach</t>
  </si>
  <si>
    <t>Załącznik nr 7</t>
  </si>
  <si>
    <t>do uchwały Nr .............</t>
  </si>
  <si>
    <t>z dnia ..................... 2009 r.</t>
  </si>
  <si>
    <t>Dochody i wydatki związane z realizacją zadań</t>
  </si>
  <si>
    <t>realizowanych na podstawie porozumień (umów) między</t>
  </si>
  <si>
    <t>jednostkami samorządu terytorialnego  w 2009 r.</t>
  </si>
  <si>
    <t xml:space="preserve">  w złotych</t>
  </si>
  <si>
    <t>Klasyfikacja</t>
  </si>
  <si>
    <t>N a z w a</t>
  </si>
  <si>
    <t>Dotacje</t>
  </si>
  <si>
    <t>Wydatki</t>
  </si>
  <si>
    <t>Dz.</t>
  </si>
  <si>
    <t>Rozdz.</t>
  </si>
  <si>
    <t>§</t>
  </si>
  <si>
    <t>Transport i łączność</t>
  </si>
  <si>
    <t>Drogi publiczne powiatowe</t>
  </si>
  <si>
    <t>Dotacje celowe otrzymane gminie na zadania bieżące real.</t>
  </si>
  <si>
    <t>na podst. porozumień między jednostkami samorządu ter.</t>
  </si>
  <si>
    <t>Dotacje celowe przekazane gminie na zadania bieżące real.</t>
  </si>
  <si>
    <t>Zakup usług remontowych</t>
  </si>
  <si>
    <t>Turystyka</t>
  </si>
  <si>
    <t>Zadania w zakresie upowszechniania turystyki</t>
  </si>
  <si>
    <t>Dotacje celowe przekazane do samorządu województwa na</t>
  </si>
  <si>
    <t>zadania bieżące real. na pods. poroz. (umów) między j.s.t.</t>
  </si>
  <si>
    <t>6639</t>
  </si>
  <si>
    <t xml:space="preserve">Dotacje celowe przekazane do samorządu województwa na </t>
  </si>
  <si>
    <t>inwestycje i zakupy inwestycyjne realizowane na podstawie</t>
  </si>
  <si>
    <t>umów/porozumień między j.s.t.</t>
  </si>
  <si>
    <t>Administracja publiczna</t>
  </si>
  <si>
    <t>Starostwa powiatowe</t>
  </si>
  <si>
    <t>Pomoc społeczna</t>
  </si>
  <si>
    <t>Placówki opiekuńczo-wychowawcze</t>
  </si>
  <si>
    <t xml:space="preserve">Dotacje celowe otrzymane z gminy na zadania bieżące </t>
  </si>
  <si>
    <t>realizowane na podstawie porozumień między j.s.t.</t>
  </si>
  <si>
    <t>Wynagrodzenia osobowe pracowników</t>
  </si>
  <si>
    <t>Składki na ubepieczenie społeczne</t>
  </si>
  <si>
    <t>Składki na Fundusz Pracy</t>
  </si>
  <si>
    <t>Zakup materiałów i wyposażenia</t>
  </si>
  <si>
    <t>Zakup pomocy naukowych dydaktycznych i książek</t>
  </si>
  <si>
    <t>Zakup energii</t>
  </si>
  <si>
    <t>Zakup usług zdrowotnych</t>
  </si>
  <si>
    <t>Zakup usług pozostałych</t>
  </si>
  <si>
    <t>Zakup usług dostępu do sieci Internet</t>
  </si>
  <si>
    <t>Opłaty z tytułu zakupu usług telekom. tel. stacjonarnej</t>
  </si>
  <si>
    <t>Zakup materiałów papier. do sprz. druk. i urządzeń ksero.</t>
  </si>
  <si>
    <t>Zakup akcesoriów komputerowych, w tym programów i licencji</t>
  </si>
  <si>
    <t>Rodziny zastępcze</t>
  </si>
  <si>
    <t>Świadczenia społeczne</t>
  </si>
  <si>
    <t>Pozostałe zadania w zakresie polityki społecznej</t>
  </si>
  <si>
    <t>Powiatowe urzędy pracy</t>
  </si>
  <si>
    <t>Pozostała działalność</t>
  </si>
  <si>
    <t>2008</t>
  </si>
  <si>
    <t>Dotacje rozwojowe oraz środki na finansowanie Wspólnej Polityki</t>
  </si>
  <si>
    <t>Rolnej</t>
  </si>
  <si>
    <t>2009</t>
  </si>
  <si>
    <t>Składki na ubezpieczenia społeczne</t>
  </si>
  <si>
    <t>Wynagrodzenia bezosobowe</t>
  </si>
  <si>
    <t>Zakup środków żywności</t>
  </si>
  <si>
    <t>Zakup pomocy naukowych, dydaktycznych i książek</t>
  </si>
  <si>
    <t>Różne opłaty i składki</t>
  </si>
  <si>
    <t>Zakup materiałów papier. do sprzętu drukar. i urządzeń ksero.</t>
  </si>
  <si>
    <t>Edukacyjna opieka wychowawcza</t>
  </si>
  <si>
    <t>Poradnie psychol.-pedagog.oraz in.porad.spec.</t>
  </si>
  <si>
    <t>Kultura i ochrona dziedzictwa narodowego</t>
  </si>
  <si>
    <t>Biblioteki</t>
  </si>
  <si>
    <t>Dochody i wydatki ogółem, z tego:</t>
  </si>
  <si>
    <t>a) Wydatki bieżące, w tym:</t>
  </si>
  <si>
    <t>- wynagrodzenia i pochodne od wynagrodzeń</t>
  </si>
  <si>
    <t xml:space="preserve"> - dotacje</t>
  </si>
  <si>
    <t>b) Wydatki majątkowe § 6....</t>
  </si>
  <si>
    <t xml:space="preserve">W dz. 853 - Pozostałe zadania w zakresie opieki zdrowotnej, rozdz. 85395 - Pozostała dzialalność wydatki są większe </t>
  </si>
  <si>
    <t>od dochodów o kwotę 53.087 zł, co stanowi udział Powiatu w realizacji projektów.</t>
  </si>
  <si>
    <t>Załącznik nr 6</t>
  </si>
  <si>
    <t>do uchwały Nr ................</t>
  </si>
  <si>
    <t>z dnia ................. 2008 r.</t>
  </si>
  <si>
    <t xml:space="preserve">Dochody i wydatki związane z realizacją zadań z zakresu administracji </t>
  </si>
  <si>
    <t xml:space="preserve">rządowej i innych zadań zleconych odrębnymi ustawami </t>
  </si>
  <si>
    <t>w 2009 roku</t>
  </si>
  <si>
    <t>Dochody</t>
  </si>
  <si>
    <t>W y s z c z e g ó l n i e n i e</t>
  </si>
  <si>
    <t>do przekaz.</t>
  </si>
  <si>
    <t>do budżetu</t>
  </si>
  <si>
    <t>państwa</t>
  </si>
  <si>
    <t>010</t>
  </si>
  <si>
    <t>Rolnictwo i łowiectwo</t>
  </si>
  <si>
    <t>01005</t>
  </si>
  <si>
    <t>Prace geodez.-urządzeniowe na potrzeby rolnictwa</t>
  </si>
  <si>
    <t>2110</t>
  </si>
  <si>
    <t>Dot.cel.otrz.z budż.pań.na zad.bież.z zakr.adm.rząd.</t>
  </si>
  <si>
    <t>4300</t>
  </si>
  <si>
    <t>01008</t>
  </si>
  <si>
    <t>Melioracje wodne</t>
  </si>
  <si>
    <t>2350</t>
  </si>
  <si>
    <t>Doch. budżetu pańs. związ. z realiz. zadań zlec j.s.t.</t>
  </si>
  <si>
    <t>Gospodarka mieszkaniowa</t>
  </si>
  <si>
    <t>Gospodarka gruntami i nieruchomościami</t>
  </si>
  <si>
    <t>4270</t>
  </si>
  <si>
    <t>4480</t>
  </si>
  <si>
    <t>Podatek od nieruchomości</t>
  </si>
  <si>
    <t>4700</t>
  </si>
  <si>
    <t>Szkolenia pracowników niebęd. człon. korp. sł. cyw.</t>
  </si>
  <si>
    <t>Działalność usługowa</t>
  </si>
  <si>
    <t>Prace geodezyjne i kartograficzne /nieinwestycyjne/</t>
  </si>
  <si>
    <t>Szkolenia pracowników niebęd. człon. korpusu sł. cyw.</t>
  </si>
  <si>
    <t>Opracowania geodezyjne i kartograficzne</t>
  </si>
  <si>
    <t>Nadzór budowlany</t>
  </si>
  <si>
    <t>Wynagrodzenia osobowe członków korpusu służby cyw.</t>
  </si>
  <si>
    <t>Dodatkowe wynagrodzenia roczne</t>
  </si>
  <si>
    <t>Skladki na Fundusz Pracy</t>
  </si>
  <si>
    <t>Opłaty z tytułu zakupu usług telekom. tel. komórkowej</t>
  </si>
  <si>
    <t>Opłaty z tytułu zakupu usług telekom. tel. stacjonarn.</t>
  </si>
  <si>
    <t>Opłaty czynszowe za pomieszczenia biurowe</t>
  </si>
  <si>
    <t>Podróże służbowe krajowe</t>
  </si>
  <si>
    <t>4430</t>
  </si>
  <si>
    <t>4440</t>
  </si>
  <si>
    <t>Odpisy na zakładowy fund.świadczeń socjalnych</t>
  </si>
  <si>
    <t>4550</t>
  </si>
  <si>
    <t>Szkolenia pracowników korpusu służby cywilnej</t>
  </si>
  <si>
    <t>4610</t>
  </si>
  <si>
    <t>Koszty postepowania sądowego i prokuratorskiego</t>
  </si>
  <si>
    <t>4740</t>
  </si>
  <si>
    <t>Zakup mater. papier. do sprzętu druk. i urządz. kser.</t>
  </si>
  <si>
    <t>4750</t>
  </si>
  <si>
    <t>Urzędy wojewódzkie</t>
  </si>
  <si>
    <t>Nagrody i wydatki osobowe nie zaliczone do wynagr.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</si>
  <si>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</si>
  <si>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</si>
  <si>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</si>
  <si>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</si>
  <si>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</si>
  <si>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Zakup akcesoriów komput., w tym programów i licen.</t>
  </si>
  <si>
    <t>Komisje poborowe</t>
  </si>
  <si>
    <t>3030</t>
  </si>
  <si>
    <t>Różne wydatki na rzecz osób fizycznych</t>
  </si>
  <si>
    <t>Opłaty z tytułu zakupu usług telekom. tel. Stacjon.</t>
  </si>
  <si>
    <t>Opłaty za admin. i czynsze za budynki, lokale i pomie.</t>
  </si>
  <si>
    <t>Zakup materiałów pap. do sprz. drukar. i urządz kser.</t>
  </si>
  <si>
    <t>Ochrona zdrowia</t>
  </si>
  <si>
    <t>Składki na ubezp.zdr.oraz świad.dla os.nie obj.ubezp.zdr.</t>
  </si>
  <si>
    <t>Składki na ubezpieczenia zdrowotne</t>
  </si>
  <si>
    <t>Ośrodki wsparcia</t>
  </si>
  <si>
    <t>Dodatkowe wynagrodzenie roczne</t>
  </si>
  <si>
    <t>Zakup leków</t>
  </si>
  <si>
    <t>Opłaty z tytułu zakupu usług telekom. tel. stacjonar.</t>
  </si>
  <si>
    <t>Odpisy na zakładowy fundusz świadczeń socjalnych</t>
  </si>
  <si>
    <t>Zakup materiałów pap. do sprz. drukar. i urządz. kser.</t>
  </si>
  <si>
    <t>Zespoły d/s orzekania o niepełnosprawności</t>
  </si>
  <si>
    <t>Zakup leków i materiałów medycznych</t>
  </si>
  <si>
    <t>4510</t>
  </si>
  <si>
    <t>Opłaty na rzecz budżetu państwa</t>
  </si>
  <si>
    <t>- świadczenia społeczne § 3110</t>
  </si>
  <si>
    <t>Załącznik nr 5</t>
  </si>
  <si>
    <t>do uchwały nr.........</t>
  </si>
  <si>
    <t>z dnia...........2009 r.</t>
  </si>
  <si>
    <t>Przychody i rozchody budżetu w 2009 r.</t>
  </si>
  <si>
    <t>Lp.</t>
  </si>
  <si>
    <t>Treść</t>
  </si>
  <si>
    <t>Klasyfikacja
§</t>
  </si>
  <si>
    <t>PW w 2008 r.</t>
  </si>
  <si>
    <t>Kwota
2009 r.</t>
  </si>
  <si>
    <t>Planowane dochody</t>
  </si>
  <si>
    <t>Planowane wydatki</t>
  </si>
  <si>
    <t>Nadwyżka / Deficyt   I - II</t>
  </si>
  <si>
    <t>Finansowanie   III -  IV</t>
  </si>
  <si>
    <t>Przychody ogółem:</t>
  </si>
  <si>
    <t>§ 952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</si>
  <si>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</si>
  <si>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</si>
  <si>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</si>
  <si>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</si>
  <si>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</si>
  <si>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</si>
  <si>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</si>
  <si>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</si>
  <si>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</si>
  <si>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</si>
  <si>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</si>
  <si>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</si>
  <si>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</si>
  <si>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</si>
  <si>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</si>
  <si>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</si>
  <si>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</si>
  <si>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</si>
  <si>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</si>
  <si>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</si>
  <si>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</si>
  <si>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</si>
  <si>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</si>
  <si>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</si>
  <si>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</si>
  <si>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</si>
  <si>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3a</t>
  </si>
  <si>
    <t>do uchwały Nr.............</t>
  </si>
  <si>
    <t>z dnia................2009 r.</t>
  </si>
  <si>
    <t>Zadania inwestycyjne w 2009 r.</t>
  </si>
  <si>
    <t>Dział</t>
  </si>
  <si>
    <t>Nazwa zadania inwestycyjnego</t>
  </si>
  <si>
    <t>Łączne koszty finansowe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</si>
  <si>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</si>
  <si>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</si>
  <si>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</si>
  <si>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</si>
  <si>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</si>
  <si>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</si>
  <si>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</si>
  <si>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Zakup komputerów i sprzętu informatycznego</t>
  </si>
  <si>
    <t>Starostwo Powiatowe</t>
  </si>
  <si>
    <t>Budowa szatni szkolnej przy sali gimnastycznej</t>
  </si>
  <si>
    <t>Zespół Szkół Ekonomicznych i Technicznych w Pasłęku</t>
  </si>
  <si>
    <t>Uregulowanie gospodarki wodno-ściekowej : budowa oczyszczalni ścieków i remont stacji uzdatniania wody</t>
  </si>
  <si>
    <t>Dom Pomocy Społecznej Rangóry</t>
  </si>
  <si>
    <t>Zakup schodołaza gąsienicowego przeznaczonego do transportowania niepełnosprawnych</t>
  </si>
  <si>
    <t>Dom Pomocy Społecznej w Tolkmicku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</si>
  <si>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</si>
  <si>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</si>
  <si>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</si>
  <si>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</si>
  <si>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</si>
  <si>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</si>
  <si>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</si>
  <si>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Załącznik nr 3</t>
  </si>
  <si>
    <t xml:space="preserve">do uchwały Nr </t>
  </si>
  <si>
    <t>Rady Powiatu w Elbląg</t>
  </si>
  <si>
    <t>z dnia .............2009 r.</t>
  </si>
  <si>
    <t>Limity wydatków na wieloletnie programy inwestycyjne w latach 2009 - 2013</t>
  </si>
  <si>
    <t>§**</t>
  </si>
  <si>
    <t>Nazwa zadania inwestycyjnego
i okres realizacji
(w latach)</t>
  </si>
  <si>
    <t>środki pochodzące
 z innych  źródeł*</t>
  </si>
  <si>
    <t>Budowa bazy rekreacyjno-biwakowej przy pochylni Buczyniec, gm. Pasłęk</t>
  </si>
  <si>
    <t>Zarząd Dróg Powiatowych</t>
  </si>
  <si>
    <t>Przebudowa drogi powiatowej Nr 1185N Jelonki-Sliwice-Rychliki-Gołutowo na odc. Jelonki-Sliwice o dł. 4,545 km, Gm. Rychliki</t>
  </si>
  <si>
    <t>Przebudowa dr.pow.nr.1103N Bielnik Drugi - Jegłownik Gronowo Elbląskie - Stare Dolno - Powodowo -Wysoka od km. 21+048 do km 23+248 o dł 2,2 km</t>
  </si>
  <si>
    <t>6058, 6059</t>
  </si>
  <si>
    <t>Przebudowa drogi powiatowej nr 1103N Kazimierzowo-Wikrowo od km 3+643 do km 5+543 i remont (odnowa nawierzchni) na odcinku Gronowo Elbląskie-Stare Dolno od km 17+000 do km 28+781</t>
  </si>
  <si>
    <t>Przebudowa drogi powiatowej nr 1145 Milejewo-Nowe Monostarzysko- Młynary na odc Milejewo-Majewo od km 0+000 do km 2+650,80</t>
  </si>
  <si>
    <t>Przebudowa drogi powiatowej nr 1101N Nowakowo-Kępa Rybacka-Bielnik Drugi od km 4+331 do km 9+623</t>
  </si>
  <si>
    <t>Przebudowa drogi powiatowej nr 1145N Milejewo-Nowe Monestarzysko 552-Młynary od km 4+986 do km 11+418 o długości 6,432 km</t>
  </si>
  <si>
    <t>9.</t>
  </si>
  <si>
    <t>Adaptacja budynku gospodarczego na pomieszczenia dydaktyczne do przedmiotów artystycznych w Liceum Plastycznym</t>
  </si>
  <si>
    <t>Zespół Szkół w Gronowie Górnym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</si>
</sst>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0.0"/>
    <numFmt numFmtId="168" formatCode="@"/>
    <numFmt numFmtId="169" formatCode="0.0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i/>
      <sz val="10"/>
      <name val="Arial CE"/>
      <family val="2"/>
    </font>
    <font>
      <b/>
      <sz val="10.5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438">
    <xf numFmtId="164" fontId="0" fillId="0" borderId="0" xfId="0" applyAlignment="1">
      <alignment/>
    </xf>
    <xf numFmtId="164" fontId="2" fillId="0" borderId="0" xfId="21" applyAlignment="1">
      <alignment vertical="center"/>
      <protection/>
    </xf>
    <xf numFmtId="164" fontId="3" fillId="0" borderId="0" xfId="21" applyFont="1" applyBorder="1" applyAlignment="1">
      <alignment horizontal="center" vertical="center" wrapText="1"/>
      <protection/>
    </xf>
    <xf numFmtId="164" fontId="4" fillId="0" borderId="0" xfId="21" applyFont="1" applyAlignment="1">
      <alignment horizontal="right" vertical="center"/>
      <protection/>
    </xf>
    <xf numFmtId="164" fontId="2" fillId="0" borderId="0" xfId="21" applyFont="1" applyAlignment="1">
      <alignment horizontal="right" vertical="center"/>
      <protection/>
    </xf>
    <xf numFmtId="164" fontId="5" fillId="2" borderId="1" xfId="21" applyFont="1" applyFill="1" applyBorder="1" applyAlignment="1">
      <alignment horizontal="center" vertical="center"/>
      <protection/>
    </xf>
    <xf numFmtId="164" fontId="5" fillId="2" borderId="1" xfId="21" applyFont="1" applyFill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center" vertical="center"/>
      <protection/>
    </xf>
    <xf numFmtId="164" fontId="5" fillId="0" borderId="2" xfId="21" applyFont="1" applyBorder="1" applyAlignment="1">
      <alignment horizontal="center" vertical="top"/>
      <protection/>
    </xf>
    <xf numFmtId="164" fontId="7" fillId="0" borderId="3" xfId="21" applyFont="1" applyBorder="1" applyAlignment="1">
      <alignment vertical="center"/>
      <protection/>
    </xf>
    <xf numFmtId="166" fontId="5" fillId="0" borderId="3" xfId="21" applyNumberFormat="1" applyFont="1" applyBorder="1" applyAlignment="1">
      <alignment vertical="center"/>
      <protection/>
    </xf>
    <xf numFmtId="164" fontId="5" fillId="0" borderId="4" xfId="21" applyFont="1" applyBorder="1" applyAlignment="1">
      <alignment horizontal="center" vertical="top"/>
      <protection/>
    </xf>
    <xf numFmtId="164" fontId="2" fillId="0" borderId="4" xfId="21" applyFont="1" applyBorder="1" applyAlignment="1">
      <alignment vertical="center"/>
      <protection/>
    </xf>
    <xf numFmtId="166" fontId="2" fillId="0" borderId="4" xfId="21" applyNumberFormat="1" applyBorder="1" applyAlignment="1">
      <alignment vertical="center"/>
      <protection/>
    </xf>
    <xf numFmtId="166" fontId="2" fillId="0" borderId="4" xfId="21" applyNumberFormat="1" applyFill="1" applyBorder="1" applyAlignment="1">
      <alignment vertical="center"/>
      <protection/>
    </xf>
    <xf numFmtId="164" fontId="2" fillId="0" borderId="0" xfId="21">
      <alignment/>
      <protection/>
    </xf>
    <xf numFmtId="164" fontId="2" fillId="0" borderId="3" xfId="21" applyFont="1" applyBorder="1" applyAlignment="1">
      <alignment vertical="center"/>
      <protection/>
    </xf>
    <xf numFmtId="166" fontId="2" fillId="0" borderId="3" xfId="21" applyNumberFormat="1" applyBorder="1" applyAlignment="1">
      <alignment vertical="center"/>
      <protection/>
    </xf>
    <xf numFmtId="164" fontId="7" fillId="0" borderId="4" xfId="21" applyFont="1" applyBorder="1" applyAlignment="1">
      <alignment vertical="center"/>
      <protection/>
    </xf>
    <xf numFmtId="166" fontId="5" fillId="0" borderId="4" xfId="21" applyNumberFormat="1" applyFont="1" applyBorder="1" applyAlignment="1">
      <alignment vertical="center"/>
      <protection/>
    </xf>
    <xf numFmtId="164" fontId="2" fillId="0" borderId="4" xfId="21" applyFont="1" applyBorder="1" applyAlignment="1">
      <alignment vertical="center" wrapText="1"/>
      <protection/>
    </xf>
    <xf numFmtId="167" fontId="5" fillId="0" borderId="4" xfId="21" applyNumberFormat="1" applyFont="1" applyBorder="1" applyAlignment="1">
      <alignment vertical="center"/>
      <protection/>
    </xf>
    <xf numFmtId="164" fontId="7" fillId="0" borderId="4" xfId="21" applyFont="1" applyBorder="1" applyAlignment="1">
      <alignment vertical="center" wrapText="1"/>
      <protection/>
    </xf>
    <xf numFmtId="164" fontId="5" fillId="0" borderId="5" xfId="21" applyFont="1" applyBorder="1" applyAlignment="1">
      <alignment horizontal="center" vertical="top"/>
      <protection/>
    </xf>
    <xf numFmtId="164" fontId="7" fillId="0" borderId="6" xfId="21" applyFont="1" applyBorder="1" applyAlignment="1">
      <alignment vertical="center" wrapText="1"/>
      <protection/>
    </xf>
    <xf numFmtId="164" fontId="9" fillId="0" borderId="0" xfId="21" applyFont="1">
      <alignment/>
      <protection/>
    </xf>
    <xf numFmtId="164" fontId="9" fillId="0" borderId="0" xfId="21" applyFont="1" applyBorder="1">
      <alignment/>
      <protection/>
    </xf>
    <xf numFmtId="164" fontId="10" fillId="0" borderId="0" xfId="21" applyFont="1">
      <alignment/>
      <protection/>
    </xf>
    <xf numFmtId="164" fontId="10" fillId="0" borderId="0" xfId="21" applyFont="1" applyBorder="1">
      <alignment/>
      <protection/>
    </xf>
    <xf numFmtId="164" fontId="9" fillId="0" borderId="0" xfId="21" applyFont="1" applyAlignment="1">
      <alignment horizontal="center"/>
      <protection/>
    </xf>
    <xf numFmtId="164" fontId="11" fillId="0" borderId="0" xfId="21" applyFont="1" applyAlignment="1">
      <alignment horizontal="center"/>
      <protection/>
    </xf>
    <xf numFmtId="164" fontId="9" fillId="0" borderId="0" xfId="21" applyFont="1" applyAlignment="1">
      <alignment horizontal="left"/>
      <protection/>
    </xf>
    <xf numFmtId="164" fontId="5" fillId="0" borderId="0" xfId="21" applyFont="1" applyFill="1" applyBorder="1" applyAlignment="1">
      <alignment horizontal="center"/>
      <protection/>
    </xf>
    <xf numFmtId="164" fontId="11" fillId="0" borderId="0" xfId="21" applyFont="1" applyAlignment="1">
      <alignment horizontal="left"/>
      <protection/>
    </xf>
    <xf numFmtId="164" fontId="9" fillId="0" borderId="0" xfId="21" applyFont="1" applyBorder="1" applyAlignment="1">
      <alignment horizontal="right"/>
      <protection/>
    </xf>
    <xf numFmtId="164" fontId="10" fillId="2" borderId="7" xfId="21" applyFont="1" applyFill="1" applyBorder="1">
      <alignment/>
      <protection/>
    </xf>
    <xf numFmtId="164" fontId="10" fillId="2" borderId="8" xfId="21" applyFont="1" applyFill="1" applyBorder="1">
      <alignment/>
      <protection/>
    </xf>
    <xf numFmtId="164" fontId="10" fillId="2" borderId="9" xfId="21" applyFont="1" applyFill="1" applyBorder="1">
      <alignment/>
      <protection/>
    </xf>
    <xf numFmtId="164" fontId="10" fillId="2" borderId="10" xfId="21" applyFont="1" applyFill="1" applyBorder="1" applyAlignment="1">
      <alignment horizontal="center"/>
      <protection/>
    </xf>
    <xf numFmtId="164" fontId="10" fillId="2" borderId="11" xfId="21" applyFont="1" applyFill="1" applyBorder="1" applyAlignment="1">
      <alignment horizontal="center"/>
      <protection/>
    </xf>
    <xf numFmtId="164" fontId="10" fillId="2" borderId="12" xfId="21" applyFont="1" applyFill="1" applyBorder="1" applyAlignment="1">
      <alignment horizontal="center"/>
      <protection/>
    </xf>
    <xf numFmtId="164" fontId="10" fillId="2" borderId="13" xfId="21" applyFont="1" applyFill="1" applyBorder="1">
      <alignment/>
      <protection/>
    </xf>
    <xf numFmtId="164" fontId="10" fillId="2" borderId="14" xfId="21" applyFont="1" applyFill="1" applyBorder="1" applyAlignment="1">
      <alignment horizontal="center"/>
      <protection/>
    </xf>
    <xf numFmtId="164" fontId="10" fillId="2" borderId="15" xfId="21" applyFont="1" applyFill="1" applyBorder="1" applyAlignment="1">
      <alignment horizontal="center"/>
      <protection/>
    </xf>
    <xf numFmtId="164" fontId="10" fillId="2" borderId="15" xfId="21" applyFont="1" applyFill="1" applyBorder="1">
      <alignment/>
      <protection/>
    </xf>
    <xf numFmtId="164" fontId="10" fillId="2" borderId="16" xfId="21" applyFont="1" applyFill="1" applyBorder="1" applyAlignment="1">
      <alignment horizontal="center" vertical="center" wrapText="1"/>
      <protection/>
    </xf>
    <xf numFmtId="164" fontId="10" fillId="2" borderId="17" xfId="21" applyFont="1" applyFill="1" applyBorder="1" applyAlignment="1">
      <alignment horizontal="center"/>
      <protection/>
    </xf>
    <xf numFmtId="164" fontId="10" fillId="2" borderId="18" xfId="21" applyFont="1" applyFill="1" applyBorder="1">
      <alignment/>
      <protection/>
    </xf>
    <xf numFmtId="164" fontId="10" fillId="2" borderId="17" xfId="21" applyFont="1" applyFill="1" applyBorder="1">
      <alignment/>
      <protection/>
    </xf>
    <xf numFmtId="164" fontId="10" fillId="2" borderId="19" xfId="21" applyFont="1" applyFill="1" applyBorder="1">
      <alignment/>
      <protection/>
    </xf>
    <xf numFmtId="164" fontId="10" fillId="2" borderId="13" xfId="21" applyFont="1" applyFill="1" applyBorder="1" applyAlignment="1">
      <alignment horizontal="center"/>
      <protection/>
    </xf>
    <xf numFmtId="164" fontId="10" fillId="2" borderId="0" xfId="21" applyFont="1" applyFill="1" applyBorder="1" applyAlignment="1">
      <alignment horizontal="center"/>
      <protection/>
    </xf>
    <xf numFmtId="164" fontId="10" fillId="2" borderId="20" xfId="21" applyFont="1" applyFill="1" applyBorder="1" applyAlignment="1">
      <alignment horizontal="center"/>
      <protection/>
    </xf>
    <xf numFmtId="164" fontId="10" fillId="2" borderId="14" xfId="21" applyFont="1" applyFill="1" applyBorder="1">
      <alignment/>
      <protection/>
    </xf>
    <xf numFmtId="164" fontId="10" fillId="2" borderId="0" xfId="21" applyFont="1" applyFill="1" applyBorder="1">
      <alignment/>
      <protection/>
    </xf>
    <xf numFmtId="164" fontId="10" fillId="2" borderId="20" xfId="21" applyFont="1" applyFill="1" applyBorder="1">
      <alignment/>
      <protection/>
    </xf>
    <xf numFmtId="164" fontId="10" fillId="2" borderId="21" xfId="21" applyFont="1" applyFill="1" applyBorder="1">
      <alignment/>
      <protection/>
    </xf>
    <xf numFmtId="164" fontId="10" fillId="2" borderId="22" xfId="21" applyFont="1" applyFill="1" applyBorder="1">
      <alignment/>
      <protection/>
    </xf>
    <xf numFmtId="164" fontId="10" fillId="2" borderId="22" xfId="21" applyFont="1" applyFill="1" applyBorder="1" applyAlignment="1">
      <alignment horizontal="center"/>
      <protection/>
    </xf>
    <xf numFmtId="164" fontId="10" fillId="2" borderId="23" xfId="21" applyFont="1" applyFill="1" applyBorder="1">
      <alignment/>
      <protection/>
    </xf>
    <xf numFmtId="164" fontId="10" fillId="2" borderId="24" xfId="21" applyFont="1" applyFill="1" applyBorder="1">
      <alignment/>
      <protection/>
    </xf>
    <xf numFmtId="164" fontId="10" fillId="2" borderId="25" xfId="21" applyFont="1" applyFill="1" applyBorder="1">
      <alignment/>
      <protection/>
    </xf>
    <xf numFmtId="164" fontId="4" fillId="0" borderId="26" xfId="21" applyFont="1" applyBorder="1" applyAlignment="1">
      <alignment horizontal="center"/>
      <protection/>
    </xf>
    <xf numFmtId="164" fontId="4" fillId="0" borderId="27" xfId="21" applyFont="1" applyBorder="1" applyAlignment="1">
      <alignment horizontal="center"/>
      <protection/>
    </xf>
    <xf numFmtId="164" fontId="4" fillId="0" borderId="28" xfId="21" applyFont="1" applyBorder="1" applyAlignment="1">
      <alignment horizontal="center"/>
      <protection/>
    </xf>
    <xf numFmtId="164" fontId="4" fillId="0" borderId="29" xfId="21" applyFont="1" applyBorder="1" applyAlignment="1">
      <alignment horizontal="center"/>
      <protection/>
    </xf>
    <xf numFmtId="164" fontId="4" fillId="0" borderId="0" xfId="21" applyFont="1">
      <alignment/>
      <protection/>
    </xf>
    <xf numFmtId="164" fontId="2" fillId="0" borderId="7" xfId="21" applyFont="1" applyBorder="1" applyAlignment="1">
      <alignment horizontal="center"/>
      <protection/>
    </xf>
    <xf numFmtId="164" fontId="10" fillId="0" borderId="15" xfId="21" applyFont="1" applyBorder="1">
      <alignment/>
      <protection/>
    </xf>
    <xf numFmtId="166" fontId="10" fillId="0" borderId="15" xfId="21" applyNumberFormat="1" applyFont="1" applyFill="1" applyBorder="1">
      <alignment/>
      <protection/>
    </xf>
    <xf numFmtId="166" fontId="10" fillId="0" borderId="14" xfId="21" applyNumberFormat="1" applyFont="1" applyBorder="1">
      <alignment/>
      <protection/>
    </xf>
    <xf numFmtId="166" fontId="10" fillId="0" borderId="15" xfId="21" applyNumberFormat="1" applyFont="1" applyBorder="1">
      <alignment/>
      <protection/>
    </xf>
    <xf numFmtId="166" fontId="10" fillId="0" borderId="0" xfId="21" applyNumberFormat="1" applyFont="1" applyBorder="1">
      <alignment/>
      <protection/>
    </xf>
    <xf numFmtId="166" fontId="10" fillId="0" borderId="10" xfId="21" applyNumberFormat="1" applyFont="1" applyBorder="1">
      <alignment/>
      <protection/>
    </xf>
    <xf numFmtId="166" fontId="10" fillId="0" borderId="30" xfId="21" applyNumberFormat="1" applyFont="1" applyBorder="1">
      <alignment/>
      <protection/>
    </xf>
    <xf numFmtId="164" fontId="2" fillId="0" borderId="31" xfId="21" applyFont="1" applyBorder="1" applyAlignment="1">
      <alignment horizontal="center"/>
      <protection/>
    </xf>
    <xf numFmtId="164" fontId="10" fillId="0" borderId="32" xfId="21" applyFont="1" applyBorder="1">
      <alignment/>
      <protection/>
    </xf>
    <xf numFmtId="166" fontId="10" fillId="0" borderId="32" xfId="21" applyNumberFormat="1" applyFont="1" applyFill="1" applyBorder="1">
      <alignment/>
      <protection/>
    </xf>
    <xf numFmtId="166" fontId="10" fillId="0" borderId="33" xfId="21" applyNumberFormat="1" applyFont="1" applyBorder="1">
      <alignment/>
      <protection/>
    </xf>
    <xf numFmtId="166" fontId="10" fillId="0" borderId="32" xfId="21" applyNumberFormat="1" applyFont="1" applyBorder="1">
      <alignment/>
      <protection/>
    </xf>
    <xf numFmtId="164" fontId="2" fillId="0" borderId="13" xfId="21" applyFont="1" applyBorder="1" applyAlignment="1">
      <alignment horizontal="center"/>
      <protection/>
    </xf>
    <xf numFmtId="166" fontId="10" fillId="0" borderId="33" xfId="21" applyNumberFormat="1" applyFont="1" applyFill="1" applyBorder="1">
      <alignment/>
      <protection/>
    </xf>
    <xf numFmtId="166" fontId="10" fillId="0" borderId="14" xfId="21" applyNumberFormat="1" applyFont="1" applyFill="1" applyBorder="1">
      <alignment/>
      <protection/>
    </xf>
    <xf numFmtId="166" fontId="10" fillId="0" borderId="0" xfId="21" applyNumberFormat="1" applyFont="1" applyFill="1" applyBorder="1">
      <alignment/>
      <protection/>
    </xf>
    <xf numFmtId="166" fontId="10" fillId="0" borderId="30" xfId="21" applyNumberFormat="1" applyFont="1" applyFill="1" applyBorder="1">
      <alignment/>
      <protection/>
    </xf>
    <xf numFmtId="166" fontId="10" fillId="0" borderId="34" xfId="21" applyNumberFormat="1" applyFont="1" applyFill="1" applyBorder="1">
      <alignment/>
      <protection/>
    </xf>
    <xf numFmtId="166" fontId="10" fillId="0" borderId="35" xfId="21" applyNumberFormat="1" applyFont="1" applyFill="1" applyBorder="1">
      <alignment/>
      <protection/>
    </xf>
    <xf numFmtId="166" fontId="10" fillId="0" borderId="32" xfId="21" applyNumberFormat="1" applyFont="1" applyFill="1" applyBorder="1" applyAlignment="1">
      <alignment horizontal="right"/>
      <protection/>
    </xf>
    <xf numFmtId="164" fontId="10" fillId="0" borderId="36" xfId="21" applyFont="1" applyBorder="1">
      <alignment/>
      <protection/>
    </xf>
    <xf numFmtId="166" fontId="10" fillId="0" borderId="36" xfId="21" applyNumberFormat="1" applyFont="1" applyFill="1" applyBorder="1">
      <alignment/>
      <protection/>
    </xf>
    <xf numFmtId="166" fontId="10" fillId="0" borderId="37" xfId="21" applyNumberFormat="1" applyFont="1" applyBorder="1">
      <alignment/>
      <protection/>
    </xf>
    <xf numFmtId="166" fontId="10" fillId="0" borderId="36" xfId="21" applyNumberFormat="1" applyFont="1" applyBorder="1">
      <alignment/>
      <protection/>
    </xf>
    <xf numFmtId="166" fontId="10" fillId="0" borderId="38" xfId="21" applyNumberFormat="1" applyFont="1" applyFill="1" applyBorder="1">
      <alignment/>
      <protection/>
    </xf>
    <xf numFmtId="166" fontId="10" fillId="0" borderId="37" xfId="21" applyNumberFormat="1" applyFont="1" applyFill="1" applyBorder="1">
      <alignment/>
      <protection/>
    </xf>
    <xf numFmtId="166" fontId="10" fillId="0" borderId="39" xfId="21" applyNumberFormat="1" applyFont="1" applyFill="1" applyBorder="1">
      <alignment/>
      <protection/>
    </xf>
    <xf numFmtId="166" fontId="10" fillId="0" borderId="36" xfId="21" applyNumberFormat="1" applyFont="1" applyFill="1" applyBorder="1" applyAlignment="1">
      <alignment horizontal="right"/>
      <protection/>
    </xf>
    <xf numFmtId="166" fontId="10" fillId="0" borderId="37" xfId="21" applyNumberFormat="1" applyFont="1" applyBorder="1" applyAlignment="1">
      <alignment horizontal="right"/>
      <protection/>
    </xf>
    <xf numFmtId="166" fontId="10" fillId="0" borderId="36" xfId="21" applyNumberFormat="1" applyFont="1" applyBorder="1" applyAlignment="1">
      <alignment horizontal="right"/>
      <protection/>
    </xf>
    <xf numFmtId="166" fontId="10" fillId="0" borderId="38" xfId="21" applyNumberFormat="1" applyFont="1" applyFill="1" applyBorder="1" applyAlignment="1">
      <alignment horizontal="right"/>
      <protection/>
    </xf>
    <xf numFmtId="166" fontId="10" fillId="0" borderId="37" xfId="21" applyNumberFormat="1" applyFont="1" applyFill="1" applyBorder="1" applyAlignment="1">
      <alignment horizontal="right"/>
      <protection/>
    </xf>
    <xf numFmtId="166" fontId="10" fillId="0" borderId="39" xfId="21" applyNumberFormat="1" applyFont="1" applyFill="1" applyBorder="1" applyAlignment="1">
      <alignment horizontal="right"/>
      <protection/>
    </xf>
    <xf numFmtId="164" fontId="2" fillId="0" borderId="40" xfId="21" applyFont="1" applyBorder="1" applyAlignment="1">
      <alignment horizontal="center"/>
      <protection/>
    </xf>
    <xf numFmtId="164" fontId="10" fillId="0" borderId="41" xfId="21" applyFont="1" applyBorder="1">
      <alignment/>
      <protection/>
    </xf>
    <xf numFmtId="166" fontId="10" fillId="0" borderId="41" xfId="21" applyNumberFormat="1" applyFont="1" applyFill="1" applyBorder="1">
      <alignment/>
      <protection/>
    </xf>
    <xf numFmtId="166" fontId="10" fillId="0" borderId="41" xfId="21" applyNumberFormat="1" applyFont="1" applyFill="1" applyBorder="1" applyAlignment="1">
      <alignment horizontal="right"/>
      <protection/>
    </xf>
    <xf numFmtId="166" fontId="10" fillId="0" borderId="41" xfId="21" applyNumberFormat="1" applyFont="1" applyBorder="1" applyAlignment="1">
      <alignment horizontal="right"/>
      <protection/>
    </xf>
    <xf numFmtId="166" fontId="10" fillId="0" borderId="17" xfId="21" applyNumberFormat="1" applyFont="1" applyFill="1" applyBorder="1" applyAlignment="1">
      <alignment horizontal="right"/>
      <protection/>
    </xf>
    <xf numFmtId="166" fontId="10" fillId="0" borderId="42" xfId="21" applyNumberFormat="1" applyFont="1" applyFill="1" applyBorder="1" applyAlignment="1">
      <alignment horizontal="right"/>
      <protection/>
    </xf>
    <xf numFmtId="164" fontId="2" fillId="0" borderId="26" xfId="21" applyFont="1" applyBorder="1" applyAlignment="1">
      <alignment horizontal="center"/>
      <protection/>
    </xf>
    <xf numFmtId="164" fontId="10" fillId="0" borderId="27" xfId="21" applyFont="1" applyBorder="1">
      <alignment/>
      <protection/>
    </xf>
    <xf numFmtId="167" fontId="10" fillId="0" borderId="27" xfId="21" applyNumberFormat="1" applyFont="1" applyFill="1" applyBorder="1" applyAlignment="1">
      <alignment horizontal="center"/>
      <protection/>
    </xf>
    <xf numFmtId="167" fontId="10" fillId="0" borderId="27" xfId="21" applyNumberFormat="1" applyFont="1" applyBorder="1" applyAlignment="1">
      <alignment horizontal="center"/>
      <protection/>
    </xf>
    <xf numFmtId="167" fontId="10" fillId="0" borderId="43" xfId="21" applyNumberFormat="1" applyFont="1" applyBorder="1" applyAlignment="1">
      <alignment horizontal="center"/>
      <protection/>
    </xf>
    <xf numFmtId="167" fontId="10" fillId="0" borderId="28" xfId="21" applyNumberFormat="1" applyFont="1" applyBorder="1" applyAlignment="1">
      <alignment horizontal="center"/>
      <protection/>
    </xf>
    <xf numFmtId="167" fontId="10" fillId="0" borderId="29" xfId="21" applyNumberFormat="1" applyFont="1" applyBorder="1" applyAlignment="1">
      <alignment horizontal="center"/>
      <protection/>
    </xf>
    <xf numFmtId="164" fontId="9" fillId="0" borderId="0" xfId="21" applyFont="1" applyFill="1">
      <alignment/>
      <protection/>
    </xf>
    <xf numFmtId="164" fontId="12" fillId="0" borderId="0" xfId="21" applyFont="1" applyFill="1" applyBorder="1" applyAlignment="1">
      <alignment horizontal="center"/>
      <protection/>
    </xf>
    <xf numFmtId="164" fontId="10" fillId="2" borderId="44" xfId="21" applyFont="1" applyFill="1" applyBorder="1" applyAlignment="1">
      <alignment horizontal="center"/>
      <protection/>
    </xf>
    <xf numFmtId="164" fontId="10" fillId="2" borderId="27" xfId="21" applyFont="1" applyFill="1" applyBorder="1" applyAlignment="1">
      <alignment horizontal="center" vertical="center"/>
      <protection/>
    </xf>
    <xf numFmtId="164" fontId="10" fillId="2" borderId="29" xfId="21" applyFont="1" applyFill="1" applyBorder="1" applyAlignment="1">
      <alignment horizontal="center" vertical="center"/>
      <protection/>
    </xf>
    <xf numFmtId="164" fontId="10" fillId="2" borderId="45" xfId="21" applyFont="1" applyFill="1" applyBorder="1" applyAlignment="1">
      <alignment horizontal="center" vertical="center"/>
      <protection/>
    </xf>
    <xf numFmtId="164" fontId="10" fillId="2" borderId="16" xfId="21" applyFont="1" applyFill="1" applyBorder="1" applyAlignment="1">
      <alignment horizontal="center" vertical="center"/>
      <protection/>
    </xf>
    <xf numFmtId="164" fontId="9" fillId="0" borderId="26" xfId="21" applyFont="1" applyBorder="1" applyAlignment="1">
      <alignment horizontal="center"/>
      <protection/>
    </xf>
    <xf numFmtId="164" fontId="9" fillId="0" borderId="27" xfId="21" applyFont="1" applyBorder="1" applyAlignment="1">
      <alignment horizontal="center"/>
      <protection/>
    </xf>
    <xf numFmtId="164" fontId="9" fillId="0" borderId="46" xfId="21" applyFont="1" applyBorder="1" applyAlignment="1">
      <alignment horizontal="center"/>
      <protection/>
    </xf>
    <xf numFmtId="164" fontId="9" fillId="0" borderId="47" xfId="21" applyFont="1" applyBorder="1" applyAlignment="1">
      <alignment horizontal="center"/>
      <protection/>
    </xf>
    <xf numFmtId="164" fontId="13" fillId="0" borderId="26" xfId="21" applyFont="1" applyBorder="1" applyAlignment="1">
      <alignment horizontal="center" vertical="center"/>
      <protection/>
    </xf>
    <xf numFmtId="164" fontId="13" fillId="0" borderId="27" xfId="21" applyFont="1" applyBorder="1" applyAlignment="1">
      <alignment horizontal="center" vertical="center"/>
      <protection/>
    </xf>
    <xf numFmtId="164" fontId="13" fillId="0" borderId="27" xfId="21" applyFont="1" applyBorder="1" applyAlignment="1">
      <alignment horizontal="left" vertical="center"/>
      <protection/>
    </xf>
    <xf numFmtId="166" fontId="13" fillId="0" borderId="27" xfId="21" applyNumberFormat="1" applyFont="1" applyBorder="1" applyAlignment="1">
      <alignment horizontal="right" vertical="center"/>
      <protection/>
    </xf>
    <xf numFmtId="166" fontId="13" fillId="0" borderId="29" xfId="21" applyNumberFormat="1" applyFont="1" applyBorder="1" applyAlignment="1">
      <alignment horizontal="right" vertical="center"/>
      <protection/>
    </xf>
    <xf numFmtId="164" fontId="10" fillId="0" borderId="13" xfId="21" applyFont="1" applyBorder="1" applyAlignment="1">
      <alignment horizontal="center" vertical="center"/>
      <protection/>
    </xf>
    <xf numFmtId="164" fontId="10" fillId="0" borderId="10" xfId="21" applyFont="1" applyBorder="1" applyAlignment="1">
      <alignment horizontal="center" vertical="center"/>
      <protection/>
    </xf>
    <xf numFmtId="164" fontId="10" fillId="0" borderId="10" xfId="21" applyFont="1" applyBorder="1" applyAlignment="1">
      <alignment horizontal="left" vertical="center"/>
      <protection/>
    </xf>
    <xf numFmtId="166" fontId="10" fillId="0" borderId="10" xfId="21" applyNumberFormat="1" applyFont="1" applyBorder="1" applyAlignment="1">
      <alignment horizontal="right" vertical="center"/>
      <protection/>
    </xf>
    <xf numFmtId="166" fontId="10" fillId="0" borderId="48" xfId="21" applyNumberFormat="1" applyFont="1" applyBorder="1" applyAlignment="1">
      <alignment horizontal="right" vertical="center"/>
      <protection/>
    </xf>
    <xf numFmtId="164" fontId="10" fillId="0" borderId="14" xfId="21" applyFont="1" applyBorder="1" applyAlignment="1">
      <alignment horizontal="center" vertical="center"/>
      <protection/>
    </xf>
    <xf numFmtId="164" fontId="10" fillId="0" borderId="14" xfId="21" applyFont="1" applyFill="1" applyBorder="1">
      <alignment/>
      <protection/>
    </xf>
    <xf numFmtId="166" fontId="10" fillId="0" borderId="14" xfId="21" applyNumberFormat="1" applyFont="1" applyBorder="1" applyAlignment="1">
      <alignment horizontal="right" vertical="center"/>
      <protection/>
    </xf>
    <xf numFmtId="166" fontId="10" fillId="0" borderId="30" xfId="21" applyNumberFormat="1" applyFont="1" applyBorder="1" applyAlignment="1">
      <alignment horizontal="right" vertical="center"/>
      <protection/>
    </xf>
    <xf numFmtId="166" fontId="10" fillId="0" borderId="14" xfId="21" applyNumberFormat="1" applyFont="1" applyBorder="1" applyAlignment="1">
      <alignment horizontal="center" vertical="center"/>
      <protection/>
    </xf>
    <xf numFmtId="166" fontId="10" fillId="0" borderId="14" xfId="21" applyNumberFormat="1" applyFont="1" applyFill="1" applyBorder="1" applyAlignment="1">
      <alignment horizontal="center" vertical="center"/>
      <protection/>
    </xf>
    <xf numFmtId="166" fontId="10" fillId="0" borderId="30" xfId="21" applyNumberFormat="1" applyFont="1" applyFill="1" applyBorder="1" applyAlignment="1">
      <alignment horizontal="right" vertical="center"/>
      <protection/>
    </xf>
    <xf numFmtId="164" fontId="10" fillId="0" borderId="30" xfId="21" applyFont="1" applyFill="1" applyBorder="1" applyAlignment="1">
      <alignment horizontal="center" vertical="center"/>
      <protection/>
    </xf>
    <xf numFmtId="164" fontId="10" fillId="0" borderId="49" xfId="21" applyFont="1" applyBorder="1" applyAlignment="1">
      <alignment horizontal="center" vertical="center"/>
      <protection/>
    </xf>
    <xf numFmtId="166" fontId="10" fillId="0" borderId="49" xfId="21" applyNumberFormat="1" applyFont="1" applyFill="1" applyBorder="1" applyAlignment="1">
      <alignment horizontal="center" vertical="center"/>
      <protection/>
    </xf>
    <xf numFmtId="166" fontId="10" fillId="0" borderId="20" xfId="21" applyNumberFormat="1" applyFont="1" applyFill="1" applyBorder="1" applyAlignment="1">
      <alignment horizontal="right" vertical="center"/>
      <protection/>
    </xf>
    <xf numFmtId="164" fontId="10" fillId="0" borderId="49" xfId="21" applyFont="1" applyFill="1" applyBorder="1" applyAlignment="1">
      <alignment horizontal="center" vertical="center"/>
      <protection/>
    </xf>
    <xf numFmtId="164" fontId="10" fillId="0" borderId="20" xfId="21" applyFont="1" applyFill="1" applyBorder="1" applyAlignment="1">
      <alignment horizontal="center" vertical="center"/>
      <protection/>
    </xf>
    <xf numFmtId="164" fontId="13" fillId="0" borderId="21" xfId="21" applyFont="1" applyBorder="1" applyAlignment="1">
      <alignment horizontal="center" vertical="center"/>
      <protection/>
    </xf>
    <xf numFmtId="164" fontId="13" fillId="0" borderId="50" xfId="21" applyFont="1" applyBorder="1" applyAlignment="1">
      <alignment horizontal="center" vertical="center"/>
      <protection/>
    </xf>
    <xf numFmtId="164" fontId="13" fillId="0" borderId="23" xfId="21" applyFont="1" applyBorder="1" applyAlignment="1">
      <alignment horizontal="center" vertical="center"/>
      <protection/>
    </xf>
    <xf numFmtId="164" fontId="13" fillId="0" borderId="23" xfId="21" applyFont="1" applyFill="1" applyBorder="1">
      <alignment/>
      <protection/>
    </xf>
    <xf numFmtId="164" fontId="13" fillId="0" borderId="50" xfId="21" applyFont="1" applyFill="1" applyBorder="1" applyAlignment="1">
      <alignment horizontal="right" vertical="center"/>
      <protection/>
    </xf>
    <xf numFmtId="166" fontId="13" fillId="0" borderId="25" xfId="21" applyNumberFormat="1" applyFont="1" applyFill="1" applyBorder="1" applyAlignment="1">
      <alignment horizontal="right" vertical="center"/>
      <protection/>
    </xf>
    <xf numFmtId="164" fontId="10" fillId="0" borderId="37" xfId="21" applyFont="1" applyBorder="1" applyAlignment="1">
      <alignment horizontal="center" vertical="center"/>
      <protection/>
    </xf>
    <xf numFmtId="164" fontId="10" fillId="0" borderId="51" xfId="21" applyFont="1" applyBorder="1" applyAlignment="1">
      <alignment horizontal="center" vertical="center"/>
      <protection/>
    </xf>
    <xf numFmtId="164" fontId="10" fillId="0" borderId="37" xfId="21" applyFont="1" applyFill="1" applyBorder="1">
      <alignment/>
      <protection/>
    </xf>
    <xf numFmtId="164" fontId="10" fillId="0" borderId="51" xfId="21" applyFont="1" applyFill="1" applyBorder="1" applyAlignment="1">
      <alignment horizontal="right" vertical="center"/>
      <protection/>
    </xf>
    <xf numFmtId="166" fontId="10" fillId="0" borderId="52" xfId="21" applyNumberFormat="1" applyFont="1" applyFill="1" applyBorder="1" applyAlignment="1">
      <alignment horizontal="right" vertical="center"/>
      <protection/>
    </xf>
    <xf numFmtId="164" fontId="10" fillId="0" borderId="49" xfId="21" applyFont="1" applyFill="1" applyBorder="1">
      <alignment/>
      <protection/>
    </xf>
    <xf numFmtId="164" fontId="10" fillId="0" borderId="49" xfId="21" applyFont="1" applyFill="1" applyBorder="1" applyAlignment="1">
      <alignment horizontal="right" vertical="center"/>
      <protection/>
    </xf>
    <xf numFmtId="168" fontId="10" fillId="0" borderId="14" xfId="21" applyNumberFormat="1" applyFont="1" applyFill="1" applyBorder="1" applyAlignment="1">
      <alignment horizontal="center"/>
      <protection/>
    </xf>
    <xf numFmtId="164" fontId="10" fillId="0" borderId="20" xfId="21" applyFont="1" applyFill="1" applyBorder="1" applyAlignment="1">
      <alignment horizontal="right" vertical="center"/>
      <protection/>
    </xf>
    <xf numFmtId="168" fontId="10" fillId="0" borderId="49" xfId="21" applyNumberFormat="1" applyFont="1" applyFill="1" applyBorder="1" applyAlignment="1">
      <alignment horizontal="center"/>
      <protection/>
    </xf>
    <xf numFmtId="168" fontId="13" fillId="0" borderId="50" xfId="21" applyNumberFormat="1" applyFont="1" applyFill="1" applyBorder="1" applyAlignment="1">
      <alignment horizontal="center"/>
      <protection/>
    </xf>
    <xf numFmtId="164" fontId="13" fillId="0" borderId="50" xfId="21" applyFont="1" applyFill="1" applyBorder="1" applyAlignment="1">
      <alignment horizontal="center" vertical="center"/>
      <protection/>
    </xf>
    <xf numFmtId="168" fontId="10" fillId="0" borderId="53" xfId="21" applyNumberFormat="1" applyFont="1" applyFill="1" applyBorder="1" applyAlignment="1">
      <alignment horizontal="center"/>
      <protection/>
    </xf>
    <xf numFmtId="164" fontId="10" fillId="0" borderId="10" xfId="21" applyFont="1" applyFill="1" applyBorder="1">
      <alignment/>
      <protection/>
    </xf>
    <xf numFmtId="164" fontId="10" fillId="0" borderId="53" xfId="21" applyFont="1" applyFill="1" applyBorder="1" applyAlignment="1">
      <alignment horizontal="center" vertical="center"/>
      <protection/>
    </xf>
    <xf numFmtId="166" fontId="10" fillId="0" borderId="12" xfId="21" applyNumberFormat="1" applyFont="1" applyFill="1" applyBorder="1" applyAlignment="1">
      <alignment horizontal="right" vertical="center"/>
      <protection/>
    </xf>
    <xf numFmtId="164" fontId="13" fillId="0" borderId="26" xfId="21" applyFont="1" applyBorder="1" applyAlignment="1">
      <alignment horizontal="center"/>
      <protection/>
    </xf>
    <xf numFmtId="164" fontId="13" fillId="0" borderId="46" xfId="21" applyFont="1" applyBorder="1" applyAlignment="1">
      <alignment horizontal="center"/>
      <protection/>
    </xf>
    <xf numFmtId="164" fontId="13" fillId="0" borderId="46" xfId="21" applyFont="1" applyBorder="1">
      <alignment/>
      <protection/>
    </xf>
    <xf numFmtId="164" fontId="13" fillId="0" borderId="27" xfId="21" applyFont="1" applyFill="1" applyBorder="1">
      <alignment/>
      <protection/>
    </xf>
    <xf numFmtId="166" fontId="13" fillId="0" borderId="46" xfId="21" applyNumberFormat="1" applyFont="1" applyFill="1" applyBorder="1">
      <alignment/>
      <protection/>
    </xf>
    <xf numFmtId="166" fontId="13" fillId="0" borderId="47" xfId="21" applyNumberFormat="1" applyFont="1" applyFill="1" applyBorder="1">
      <alignment/>
      <protection/>
    </xf>
    <xf numFmtId="166" fontId="9" fillId="0" borderId="0" xfId="21" applyNumberFormat="1" applyFont="1">
      <alignment/>
      <protection/>
    </xf>
    <xf numFmtId="164" fontId="13" fillId="0" borderId="13" xfId="21" applyFont="1" applyBorder="1" applyAlignment="1">
      <alignment horizontal="center"/>
      <protection/>
    </xf>
    <xf numFmtId="164" fontId="10" fillId="0" borderId="10" xfId="21" applyFont="1" applyBorder="1" applyAlignment="1">
      <alignment horizontal="center"/>
      <protection/>
    </xf>
    <xf numFmtId="164" fontId="10" fillId="0" borderId="53" xfId="21" applyFont="1" applyBorder="1">
      <alignment/>
      <protection/>
    </xf>
    <xf numFmtId="164" fontId="10" fillId="0" borderId="53" xfId="21" applyFont="1" applyFill="1" applyBorder="1">
      <alignment/>
      <protection/>
    </xf>
    <xf numFmtId="166" fontId="10" fillId="0" borderId="10" xfId="21" applyNumberFormat="1" applyFont="1" applyFill="1" applyBorder="1">
      <alignment/>
      <protection/>
    </xf>
    <xf numFmtId="166" fontId="10" fillId="0" borderId="12" xfId="21" applyNumberFormat="1" applyFont="1" applyFill="1" applyBorder="1">
      <alignment/>
      <protection/>
    </xf>
    <xf numFmtId="164" fontId="13" fillId="0" borderId="14" xfId="21" applyFont="1" applyBorder="1" applyAlignment="1">
      <alignment horizontal="center"/>
      <protection/>
    </xf>
    <xf numFmtId="164" fontId="10" fillId="0" borderId="49" xfId="21" applyFont="1" applyBorder="1" applyAlignment="1">
      <alignment horizontal="center"/>
      <protection/>
    </xf>
    <xf numFmtId="166" fontId="13" fillId="0" borderId="20" xfId="21" applyNumberFormat="1" applyFont="1" applyFill="1" applyBorder="1">
      <alignment/>
      <protection/>
    </xf>
    <xf numFmtId="166" fontId="10" fillId="0" borderId="20" xfId="21" applyNumberFormat="1" applyFont="1" applyFill="1" applyBorder="1">
      <alignment/>
      <protection/>
    </xf>
    <xf numFmtId="164" fontId="2" fillId="0" borderId="14" xfId="21" applyFont="1" applyFill="1" applyBorder="1" applyAlignment="1">
      <alignment horizontal="center"/>
      <protection/>
    </xf>
    <xf numFmtId="164" fontId="2" fillId="0" borderId="14" xfId="21" applyFont="1" applyFill="1" applyBorder="1">
      <alignment/>
      <protection/>
    </xf>
    <xf numFmtId="164" fontId="2" fillId="0" borderId="0" xfId="21" applyFont="1" applyFill="1" applyBorder="1">
      <alignment/>
      <protection/>
    </xf>
    <xf numFmtId="164" fontId="13" fillId="0" borderId="49" xfId="21" applyFont="1" applyBorder="1">
      <alignment/>
      <protection/>
    </xf>
    <xf numFmtId="164" fontId="13" fillId="0" borderId="49" xfId="21" applyFont="1" applyFill="1" applyBorder="1">
      <alignment/>
      <protection/>
    </xf>
    <xf numFmtId="166" fontId="13" fillId="0" borderId="14" xfId="21" applyNumberFormat="1" applyFont="1" applyFill="1" applyBorder="1">
      <alignment/>
      <protection/>
    </xf>
    <xf numFmtId="164" fontId="10" fillId="0" borderId="13" xfId="21" applyFont="1" applyBorder="1" applyAlignment="1">
      <alignment horizontal="center"/>
      <protection/>
    </xf>
    <xf numFmtId="164" fontId="10" fillId="0" borderId="37" xfId="21" applyFont="1" applyBorder="1" applyAlignment="1">
      <alignment horizontal="center"/>
      <protection/>
    </xf>
    <xf numFmtId="164" fontId="10" fillId="0" borderId="51" xfId="21" applyFont="1" applyBorder="1">
      <alignment/>
      <protection/>
    </xf>
    <xf numFmtId="164" fontId="10" fillId="0" borderId="51" xfId="21" applyFont="1" applyFill="1" applyBorder="1">
      <alignment/>
      <protection/>
    </xf>
    <xf numFmtId="166" fontId="10" fillId="0" borderId="52" xfId="21" applyNumberFormat="1" applyFont="1" applyFill="1" applyBorder="1">
      <alignment/>
      <protection/>
    </xf>
    <xf numFmtId="164" fontId="10" fillId="0" borderId="13" xfId="21" applyFont="1" applyBorder="1">
      <alignment/>
      <protection/>
    </xf>
    <xf numFmtId="164" fontId="10" fillId="0" borderId="14" xfId="21" applyFont="1" applyBorder="1">
      <alignment/>
      <protection/>
    </xf>
    <xf numFmtId="164" fontId="13" fillId="0" borderId="26" xfId="21" applyFont="1" applyBorder="1">
      <alignment/>
      <protection/>
    </xf>
    <xf numFmtId="164" fontId="13" fillId="0" borderId="27" xfId="21" applyFont="1" applyBorder="1">
      <alignment/>
      <protection/>
    </xf>
    <xf numFmtId="164" fontId="5" fillId="0" borderId="43" xfId="21" applyFont="1" applyFill="1" applyBorder="1">
      <alignment/>
      <protection/>
    </xf>
    <xf numFmtId="166" fontId="13" fillId="0" borderId="27" xfId="21" applyNumberFormat="1" applyFont="1" applyFill="1" applyBorder="1">
      <alignment/>
      <protection/>
    </xf>
    <xf numFmtId="164" fontId="10" fillId="0" borderId="10" xfId="21" applyFont="1" applyBorder="1">
      <alignment/>
      <protection/>
    </xf>
    <xf numFmtId="164" fontId="10" fillId="0" borderId="53" xfId="21" applyFont="1" applyBorder="1" applyAlignment="1">
      <alignment horizontal="center"/>
      <protection/>
    </xf>
    <xf numFmtId="164" fontId="10" fillId="0" borderId="11" xfId="21" applyFont="1" applyFill="1" applyBorder="1">
      <alignment/>
      <protection/>
    </xf>
    <xf numFmtId="164" fontId="10" fillId="0" borderId="0" xfId="21" applyFont="1" applyFill="1" applyBorder="1">
      <alignment/>
      <protection/>
    </xf>
    <xf numFmtId="164" fontId="10" fillId="0" borderId="37" xfId="21" applyFont="1" applyFill="1" applyBorder="1" applyAlignment="1">
      <alignment horizontal="center"/>
      <protection/>
    </xf>
    <xf numFmtId="168" fontId="10" fillId="0" borderId="51" xfId="21" applyNumberFormat="1" applyFont="1" applyFill="1" applyBorder="1" applyAlignment="1">
      <alignment horizontal="center"/>
      <protection/>
    </xf>
    <xf numFmtId="164" fontId="10" fillId="0" borderId="49" xfId="21" applyFont="1" applyFill="1" applyBorder="1" applyAlignment="1">
      <alignment horizontal="center"/>
      <protection/>
    </xf>
    <xf numFmtId="164" fontId="2" fillId="0" borderId="38" xfId="21" applyFont="1" applyFill="1" applyBorder="1">
      <alignment/>
      <protection/>
    </xf>
    <xf numFmtId="164" fontId="5" fillId="0" borderId="27" xfId="21" applyFont="1" applyFill="1" applyBorder="1">
      <alignment/>
      <protection/>
    </xf>
    <xf numFmtId="164" fontId="2" fillId="0" borderId="36" xfId="21" applyFont="1" applyFill="1" applyBorder="1">
      <alignment/>
      <protection/>
    </xf>
    <xf numFmtId="164" fontId="10" fillId="0" borderId="14" xfId="21" applyFont="1" applyBorder="1" applyAlignment="1">
      <alignment horizontal="center"/>
      <protection/>
    </xf>
    <xf numFmtId="164" fontId="10" fillId="0" borderId="21" xfId="21" applyFont="1" applyBorder="1">
      <alignment/>
      <protection/>
    </xf>
    <xf numFmtId="164" fontId="10" fillId="0" borderId="23" xfId="21" applyFont="1" applyBorder="1">
      <alignment/>
      <protection/>
    </xf>
    <xf numFmtId="164" fontId="10" fillId="0" borderId="23" xfId="21" applyFont="1" applyBorder="1" applyAlignment="1">
      <alignment horizontal="center"/>
      <protection/>
    </xf>
    <xf numFmtId="164" fontId="10" fillId="0" borderId="50" xfId="21" applyFont="1" applyFill="1" applyBorder="1">
      <alignment/>
      <protection/>
    </xf>
    <xf numFmtId="166" fontId="10" fillId="0" borderId="23" xfId="21" applyNumberFormat="1" applyFont="1" applyBorder="1">
      <alignment/>
      <protection/>
    </xf>
    <xf numFmtId="166" fontId="10" fillId="0" borderId="25" xfId="21" applyNumberFormat="1" applyFont="1" applyFill="1" applyBorder="1">
      <alignment/>
      <protection/>
    </xf>
    <xf numFmtId="164" fontId="5" fillId="2" borderId="21" xfId="21" applyFont="1" applyFill="1" applyBorder="1">
      <alignment/>
      <protection/>
    </xf>
    <xf numFmtId="166" fontId="5" fillId="2" borderId="23" xfId="21" applyNumberFormat="1" applyFont="1" applyFill="1" applyBorder="1">
      <alignment/>
      <protection/>
    </xf>
    <xf numFmtId="166" fontId="5" fillId="2" borderId="54" xfId="21" applyNumberFormat="1" applyFont="1" applyFill="1" applyBorder="1">
      <alignment/>
      <protection/>
    </xf>
    <xf numFmtId="164" fontId="2" fillId="2" borderId="44" xfId="21" applyFont="1" applyFill="1" applyBorder="1">
      <alignment/>
      <protection/>
    </xf>
    <xf numFmtId="164" fontId="2" fillId="2" borderId="10" xfId="21" applyFont="1" applyFill="1" applyBorder="1">
      <alignment/>
      <protection/>
    </xf>
    <xf numFmtId="166" fontId="2" fillId="2" borderId="48" xfId="21" applyNumberFormat="1" applyFont="1" applyFill="1" applyBorder="1">
      <alignment/>
      <protection/>
    </xf>
    <xf numFmtId="168" fontId="2" fillId="2" borderId="13" xfId="21" applyNumberFormat="1" applyFont="1" applyFill="1" applyBorder="1">
      <alignment/>
      <protection/>
    </xf>
    <xf numFmtId="164" fontId="2" fillId="2" borderId="14" xfId="21" applyFont="1" applyFill="1" applyBorder="1">
      <alignment/>
      <protection/>
    </xf>
    <xf numFmtId="166" fontId="2" fillId="2" borderId="30" xfId="21" applyNumberFormat="1" applyFont="1" applyFill="1" applyBorder="1">
      <alignment/>
      <protection/>
    </xf>
    <xf numFmtId="168" fontId="2" fillId="2" borderId="55" xfId="21" applyNumberFormat="1" applyFont="1" applyFill="1" applyBorder="1">
      <alignment/>
      <protection/>
    </xf>
    <xf numFmtId="164" fontId="2" fillId="2" borderId="37" xfId="21" applyFont="1" applyFill="1" applyBorder="1">
      <alignment/>
      <protection/>
    </xf>
    <xf numFmtId="166" fontId="2" fillId="2" borderId="39" xfId="21" applyNumberFormat="1" applyFont="1" applyFill="1" applyBorder="1">
      <alignment/>
      <protection/>
    </xf>
    <xf numFmtId="168" fontId="2" fillId="2" borderId="21" xfId="21" applyNumberFormat="1" applyFont="1" applyFill="1" applyBorder="1">
      <alignment/>
      <protection/>
    </xf>
    <xf numFmtId="164" fontId="2" fillId="2" borderId="23" xfId="21" applyFont="1" applyFill="1" applyBorder="1">
      <alignment/>
      <protection/>
    </xf>
    <xf numFmtId="166" fontId="2" fillId="2" borderId="54" xfId="21" applyNumberFormat="1" applyFont="1" applyFill="1" applyBorder="1">
      <alignment/>
      <protection/>
    </xf>
    <xf numFmtId="164" fontId="9" fillId="0" borderId="0" xfId="21" applyFont="1" applyFill="1" applyBorder="1">
      <alignment/>
      <protection/>
    </xf>
    <xf numFmtId="164" fontId="12" fillId="0" borderId="0" xfId="21" applyFont="1" applyFill="1" applyBorder="1" applyAlignment="1">
      <alignment horizontal="center" wrapText="1"/>
      <protection/>
    </xf>
    <xf numFmtId="164" fontId="11" fillId="0" borderId="0" xfId="21" applyFont="1" applyFill="1">
      <alignment/>
      <protection/>
    </xf>
    <xf numFmtId="164" fontId="9" fillId="0" borderId="0" xfId="21" applyFont="1" applyFill="1" applyAlignment="1">
      <alignment horizontal="right"/>
      <protection/>
    </xf>
    <xf numFmtId="164" fontId="9" fillId="0" borderId="24" xfId="21" applyFont="1" applyFill="1" applyBorder="1">
      <alignment/>
      <protection/>
    </xf>
    <xf numFmtId="164" fontId="4" fillId="2" borderId="7" xfId="21" applyFont="1" applyFill="1" applyBorder="1">
      <alignment/>
      <protection/>
    </xf>
    <xf numFmtId="164" fontId="4" fillId="2" borderId="8" xfId="21" applyFont="1" applyFill="1" applyBorder="1">
      <alignment/>
      <protection/>
    </xf>
    <xf numFmtId="164" fontId="4" fillId="2" borderId="56" xfId="21" applyFont="1" applyFill="1" applyBorder="1">
      <alignment/>
      <protection/>
    </xf>
    <xf numFmtId="164" fontId="4" fillId="2" borderId="8" xfId="21" applyFont="1" applyFill="1" applyBorder="1" applyAlignment="1">
      <alignment horizontal="center"/>
      <protection/>
    </xf>
    <xf numFmtId="164" fontId="4" fillId="2" borderId="9" xfId="21" applyFont="1" applyFill="1" applyBorder="1" applyAlignment="1">
      <alignment horizontal="center"/>
      <protection/>
    </xf>
    <xf numFmtId="164" fontId="4" fillId="2" borderId="57" xfId="21" applyFont="1" applyFill="1" applyBorder="1" applyAlignment="1">
      <alignment horizontal="center"/>
      <protection/>
    </xf>
    <xf numFmtId="164" fontId="4" fillId="2" borderId="13" xfId="21" applyFont="1" applyFill="1" applyBorder="1" applyAlignment="1">
      <alignment horizontal="center"/>
      <protection/>
    </xf>
    <xf numFmtId="164" fontId="4" fillId="2" borderId="49" xfId="21" applyFont="1" applyFill="1" applyBorder="1" applyAlignment="1">
      <alignment horizontal="center"/>
      <protection/>
    </xf>
    <xf numFmtId="164" fontId="4" fillId="2" borderId="14" xfId="21" applyFont="1" applyFill="1" applyBorder="1" applyAlignment="1">
      <alignment horizontal="center"/>
      <protection/>
    </xf>
    <xf numFmtId="164" fontId="4" fillId="2" borderId="15" xfId="21" applyFont="1" applyFill="1" applyBorder="1" applyAlignment="1">
      <alignment horizontal="center"/>
      <protection/>
    </xf>
    <xf numFmtId="164" fontId="4" fillId="2" borderId="30" xfId="21" applyFont="1" applyFill="1" applyBorder="1" applyAlignment="1">
      <alignment horizontal="center"/>
      <protection/>
    </xf>
    <xf numFmtId="164" fontId="4" fillId="2" borderId="21" xfId="21" applyFont="1" applyFill="1" applyBorder="1">
      <alignment/>
      <protection/>
    </xf>
    <xf numFmtId="164" fontId="4" fillId="2" borderId="50" xfId="21" applyFont="1" applyFill="1" applyBorder="1">
      <alignment/>
      <protection/>
    </xf>
    <xf numFmtId="164" fontId="4" fillId="2" borderId="50" xfId="21" applyFont="1" applyFill="1" applyBorder="1" applyAlignment="1">
      <alignment horizontal="center"/>
      <protection/>
    </xf>
    <xf numFmtId="164" fontId="4" fillId="2" borderId="23" xfId="21" applyFont="1" applyFill="1" applyBorder="1" applyAlignment="1">
      <alignment horizontal="center"/>
      <protection/>
    </xf>
    <xf numFmtId="164" fontId="4" fillId="2" borderId="22" xfId="21" applyFont="1" applyFill="1" applyBorder="1" applyAlignment="1">
      <alignment horizontal="center"/>
      <protection/>
    </xf>
    <xf numFmtId="164" fontId="4" fillId="2" borderId="54" xfId="21" applyFont="1" applyFill="1" applyBorder="1" applyAlignment="1">
      <alignment horizontal="center"/>
      <protection/>
    </xf>
    <xf numFmtId="164" fontId="9" fillId="0" borderId="26" xfId="21" applyFont="1" applyFill="1" applyBorder="1" applyAlignment="1">
      <alignment horizontal="center" vertical="center" shrinkToFit="1"/>
      <protection/>
    </xf>
    <xf numFmtId="164" fontId="9" fillId="0" borderId="46" xfId="21" applyFont="1" applyFill="1" applyBorder="1" applyAlignment="1">
      <alignment horizontal="center" vertical="center" shrinkToFit="1"/>
      <protection/>
    </xf>
    <xf numFmtId="164" fontId="9" fillId="0" borderId="27" xfId="21" applyFont="1" applyFill="1" applyBorder="1" applyAlignment="1">
      <alignment horizontal="center" vertical="center" shrinkToFit="1"/>
      <protection/>
    </xf>
    <xf numFmtId="164" fontId="9" fillId="0" borderId="28" xfId="21" applyFont="1" applyFill="1" applyBorder="1" applyAlignment="1">
      <alignment horizontal="center" vertical="center" shrinkToFit="1"/>
      <protection/>
    </xf>
    <xf numFmtId="164" fontId="9" fillId="0" borderId="29" xfId="21" applyFont="1" applyFill="1" applyBorder="1" applyAlignment="1">
      <alignment horizontal="center" vertical="center" shrinkToFit="1"/>
      <protection/>
    </xf>
    <xf numFmtId="164" fontId="9" fillId="0" borderId="0" xfId="21" applyFont="1" applyFill="1" applyAlignment="1">
      <alignment horizontal="center" vertical="center" shrinkToFit="1"/>
      <protection/>
    </xf>
    <xf numFmtId="168" fontId="5" fillId="0" borderId="21" xfId="21" applyNumberFormat="1" applyFont="1" applyFill="1" applyBorder="1" applyAlignment="1">
      <alignment horizontal="center"/>
      <protection/>
    </xf>
    <xf numFmtId="164" fontId="5" fillId="0" borderId="50" xfId="21" applyFont="1" applyFill="1" applyBorder="1" applyAlignment="1">
      <alignment horizontal="center"/>
      <protection/>
    </xf>
    <xf numFmtId="164" fontId="5" fillId="0" borderId="23" xfId="21" applyFont="1" applyFill="1" applyBorder="1" applyAlignment="1">
      <alignment horizontal="center"/>
      <protection/>
    </xf>
    <xf numFmtId="164" fontId="5" fillId="0" borderId="50" xfId="21" applyFont="1" applyFill="1" applyBorder="1" applyAlignment="1">
      <alignment horizontal="left"/>
      <protection/>
    </xf>
    <xf numFmtId="166" fontId="5" fillId="0" borderId="23" xfId="21" applyNumberFormat="1" applyFont="1" applyFill="1" applyBorder="1" applyAlignment="1">
      <alignment horizontal="right"/>
      <protection/>
    </xf>
    <xf numFmtId="166" fontId="5" fillId="0" borderId="22" xfId="21" applyNumberFormat="1" applyFont="1" applyFill="1" applyBorder="1" applyAlignment="1">
      <alignment horizontal="right"/>
      <protection/>
    </xf>
    <xf numFmtId="166" fontId="5" fillId="0" borderId="29" xfId="21" applyNumberFormat="1" applyFont="1" applyFill="1" applyBorder="1">
      <alignment/>
      <protection/>
    </xf>
    <xf numFmtId="164" fontId="5" fillId="0" borderId="13" xfId="21" applyFont="1" applyFill="1" applyBorder="1" applyAlignment="1">
      <alignment horizontal="center"/>
      <protection/>
    </xf>
    <xf numFmtId="168" fontId="2" fillId="0" borderId="37" xfId="21" applyNumberFormat="1" applyFont="1" applyFill="1" applyBorder="1" applyAlignment="1">
      <alignment horizontal="center"/>
      <protection/>
    </xf>
    <xf numFmtId="164" fontId="2" fillId="0" borderId="51" xfId="21" applyFont="1" applyFill="1" applyBorder="1" applyAlignment="1">
      <alignment horizontal="center"/>
      <protection/>
    </xf>
    <xf numFmtId="164" fontId="2" fillId="0" borderId="51" xfId="21" applyFont="1" applyFill="1" applyBorder="1" applyAlignment="1">
      <alignment horizontal="left"/>
      <protection/>
    </xf>
    <xf numFmtId="166" fontId="2" fillId="0" borderId="37" xfId="21" applyNumberFormat="1" applyFont="1" applyFill="1" applyBorder="1" applyAlignment="1">
      <alignment horizontal="right"/>
      <protection/>
    </xf>
    <xf numFmtId="166" fontId="2" fillId="0" borderId="36" xfId="21" applyNumberFormat="1" applyFont="1" applyFill="1" applyBorder="1" applyAlignment="1">
      <alignment horizontal="right"/>
      <protection/>
    </xf>
    <xf numFmtId="166" fontId="2" fillId="0" borderId="48" xfId="21" applyNumberFormat="1" applyFont="1" applyFill="1" applyBorder="1">
      <alignment/>
      <protection/>
    </xf>
    <xf numFmtId="164" fontId="2" fillId="0" borderId="49" xfId="21" applyFont="1" applyFill="1" applyBorder="1" applyAlignment="1">
      <alignment horizontal="center"/>
      <protection/>
    </xf>
    <xf numFmtId="168" fontId="2" fillId="0" borderId="49" xfId="21" applyNumberFormat="1" applyFont="1" applyFill="1" applyBorder="1" applyAlignment="1">
      <alignment horizontal="center"/>
      <protection/>
    </xf>
    <xf numFmtId="164" fontId="2" fillId="0" borderId="49" xfId="21" applyFont="1" applyFill="1" applyBorder="1">
      <alignment/>
      <protection/>
    </xf>
    <xf numFmtId="166" fontId="2" fillId="0" borderId="49" xfId="21" applyNumberFormat="1" applyFont="1" applyFill="1" applyBorder="1" applyAlignment="1">
      <alignment horizontal="right"/>
      <protection/>
    </xf>
    <xf numFmtId="166" fontId="2" fillId="0" borderId="15" xfId="21" applyNumberFormat="1" applyFont="1" applyFill="1" applyBorder="1" applyAlignment="1">
      <alignment horizontal="right"/>
      <protection/>
    </xf>
    <xf numFmtId="166" fontId="2" fillId="0" borderId="30" xfId="21" applyNumberFormat="1" applyFont="1" applyFill="1" applyBorder="1">
      <alignment/>
      <protection/>
    </xf>
    <xf numFmtId="168" fontId="2" fillId="0" borderId="51" xfId="21" applyNumberFormat="1" applyFont="1" applyFill="1" applyBorder="1" applyAlignment="1">
      <alignment horizontal="center"/>
      <protection/>
    </xf>
    <xf numFmtId="164" fontId="2" fillId="0" borderId="51" xfId="21" applyFont="1" applyFill="1" applyBorder="1">
      <alignment/>
      <protection/>
    </xf>
    <xf numFmtId="166" fontId="2" fillId="0" borderId="51" xfId="21" applyNumberFormat="1" applyFont="1" applyFill="1" applyBorder="1" applyAlignment="1">
      <alignment horizontal="right"/>
      <protection/>
    </xf>
    <xf numFmtId="166" fontId="2" fillId="0" borderId="39" xfId="21" applyNumberFormat="1" applyFont="1" applyFill="1" applyBorder="1">
      <alignment/>
      <protection/>
    </xf>
    <xf numFmtId="164" fontId="2" fillId="0" borderId="13" xfId="21" applyFont="1" applyFill="1" applyBorder="1" applyAlignment="1">
      <alignment horizontal="center"/>
      <protection/>
    </xf>
    <xf numFmtId="164" fontId="5" fillId="0" borderId="21" xfId="21" applyFont="1" applyFill="1" applyBorder="1" applyAlignment="1">
      <alignment horizontal="center"/>
      <protection/>
    </xf>
    <xf numFmtId="164" fontId="5" fillId="0" borderId="50" xfId="21" applyFont="1" applyFill="1" applyBorder="1">
      <alignment/>
      <protection/>
    </xf>
    <xf numFmtId="166" fontId="5" fillId="0" borderId="54" xfId="21" applyNumberFormat="1" applyFont="1" applyFill="1" applyBorder="1">
      <alignment/>
      <protection/>
    </xf>
    <xf numFmtId="164" fontId="2" fillId="0" borderId="37" xfId="21" applyFont="1" applyFill="1" applyBorder="1" applyAlignment="1">
      <alignment horizontal="center"/>
      <protection/>
    </xf>
    <xf numFmtId="164" fontId="2" fillId="0" borderId="0" xfId="21" applyFont="1" applyFill="1" applyBorder="1" applyAlignment="1">
      <alignment horizontal="center"/>
      <protection/>
    </xf>
    <xf numFmtId="166" fontId="2" fillId="0" borderId="15" xfId="21" applyNumberFormat="1" applyFill="1" applyBorder="1" applyAlignment="1">
      <alignment vertical="center"/>
      <protection/>
    </xf>
    <xf numFmtId="164" fontId="9" fillId="0" borderId="30" xfId="21" applyFont="1" applyFill="1" applyBorder="1">
      <alignment/>
      <protection/>
    </xf>
    <xf numFmtId="168" fontId="5" fillId="0" borderId="50" xfId="21" applyNumberFormat="1" applyFont="1" applyFill="1" applyBorder="1" applyAlignment="1">
      <alignment horizontal="center"/>
      <protection/>
    </xf>
    <xf numFmtId="164" fontId="2" fillId="0" borderId="17" xfId="21" applyFont="1" applyFill="1" applyBorder="1" applyAlignment="1">
      <alignment horizontal="center"/>
      <protection/>
    </xf>
    <xf numFmtId="168" fontId="2" fillId="0" borderId="0" xfId="21" applyNumberFormat="1" applyFont="1" applyFill="1" applyBorder="1" applyAlignment="1">
      <alignment horizontal="center"/>
      <protection/>
    </xf>
    <xf numFmtId="168" fontId="2" fillId="0" borderId="14" xfId="21" applyNumberFormat="1" applyFont="1" applyFill="1" applyBorder="1" applyAlignment="1">
      <alignment horizontal="center"/>
      <protection/>
    </xf>
    <xf numFmtId="164" fontId="5" fillId="0" borderId="49" xfId="21" applyFont="1" applyFill="1" applyBorder="1" applyAlignment="1">
      <alignment horizontal="center"/>
      <protection/>
    </xf>
    <xf numFmtId="164" fontId="2" fillId="0" borderId="15" xfId="21" applyFont="1" applyFill="1" applyBorder="1">
      <alignment/>
      <protection/>
    </xf>
    <xf numFmtId="166" fontId="2" fillId="0" borderId="14" xfId="21" applyNumberFormat="1" applyFont="1" applyFill="1" applyBorder="1" applyAlignment="1">
      <alignment horizontal="right"/>
      <protection/>
    </xf>
    <xf numFmtId="164" fontId="5" fillId="0" borderId="23" xfId="21" applyFont="1" applyFill="1" applyBorder="1">
      <alignment/>
      <protection/>
    </xf>
    <xf numFmtId="164" fontId="2" fillId="0" borderId="37" xfId="21" applyFont="1" applyFill="1" applyBorder="1">
      <alignment/>
      <protection/>
    </xf>
    <xf numFmtId="166" fontId="5" fillId="0" borderId="50" xfId="21" applyNumberFormat="1" applyFont="1" applyFill="1" applyBorder="1" applyAlignment="1">
      <alignment horizontal="right"/>
      <protection/>
    </xf>
    <xf numFmtId="164" fontId="2" fillId="0" borderId="10" xfId="21" applyFont="1" applyFill="1" applyBorder="1" applyAlignment="1">
      <alignment horizontal="center"/>
      <protection/>
    </xf>
    <xf numFmtId="164" fontId="2" fillId="0" borderId="53" xfId="21" applyFont="1" applyFill="1" applyBorder="1" applyAlignment="1">
      <alignment horizontal="center"/>
      <protection/>
    </xf>
    <xf numFmtId="164" fontId="2" fillId="0" borderId="10" xfId="21" applyFont="1" applyFill="1" applyBorder="1">
      <alignment/>
      <protection/>
    </xf>
    <xf numFmtId="166" fontId="2" fillId="0" borderId="53" xfId="21" applyNumberFormat="1" applyFont="1" applyFill="1" applyBorder="1" applyAlignment="1">
      <alignment horizontal="right"/>
      <protection/>
    </xf>
    <xf numFmtId="166" fontId="2" fillId="0" borderId="58" xfId="21" applyNumberFormat="1" applyFont="1" applyFill="1" applyBorder="1" applyAlignment="1">
      <alignment horizontal="right"/>
      <protection/>
    </xf>
    <xf numFmtId="164" fontId="2" fillId="0" borderId="21" xfId="21" applyFont="1" applyFill="1" applyBorder="1" applyAlignment="1">
      <alignment horizontal="center"/>
      <protection/>
    </xf>
    <xf numFmtId="164" fontId="2" fillId="0" borderId="50" xfId="21" applyFont="1" applyFill="1" applyBorder="1" applyAlignment="1">
      <alignment horizontal="center"/>
      <protection/>
    </xf>
    <xf numFmtId="164" fontId="2" fillId="0" borderId="24" xfId="21" applyFont="1" applyFill="1" applyBorder="1">
      <alignment/>
      <protection/>
    </xf>
    <xf numFmtId="164" fontId="2" fillId="0" borderId="23" xfId="21" applyFont="1" applyFill="1" applyBorder="1">
      <alignment/>
      <protection/>
    </xf>
    <xf numFmtId="166" fontId="2" fillId="0" borderId="50" xfId="21" applyNumberFormat="1" applyFont="1" applyFill="1" applyBorder="1" applyAlignment="1">
      <alignment horizontal="right"/>
      <protection/>
    </xf>
    <xf numFmtId="166" fontId="2" fillId="0" borderId="22" xfId="21" applyNumberFormat="1" applyFont="1" applyFill="1" applyBorder="1" applyAlignment="1">
      <alignment horizontal="right"/>
      <protection/>
    </xf>
    <xf numFmtId="164" fontId="9" fillId="0" borderId="54" xfId="21" applyFont="1" applyFill="1" applyBorder="1">
      <alignment/>
      <protection/>
    </xf>
    <xf numFmtId="164" fontId="2" fillId="0" borderId="0" xfId="21" applyFont="1" applyFill="1">
      <alignment/>
      <protection/>
    </xf>
    <xf numFmtId="164" fontId="5" fillId="3" borderId="26" xfId="21" applyFont="1" applyFill="1" applyBorder="1">
      <alignment/>
      <protection/>
    </xf>
    <xf numFmtId="166" fontId="5" fillId="3" borderId="27" xfId="21" applyNumberFormat="1" applyFont="1" applyFill="1" applyBorder="1">
      <alignment/>
      <protection/>
    </xf>
    <xf numFmtId="166" fontId="5" fillId="3" borderId="29" xfId="21" applyNumberFormat="1" applyFont="1" applyFill="1" applyBorder="1">
      <alignment/>
      <protection/>
    </xf>
    <xf numFmtId="164" fontId="2" fillId="3" borderId="44" xfId="21" applyFont="1" applyFill="1" applyBorder="1">
      <alignment/>
      <protection/>
    </xf>
    <xf numFmtId="164" fontId="2" fillId="3" borderId="10" xfId="21" applyFont="1" applyFill="1" applyBorder="1">
      <alignment/>
      <protection/>
    </xf>
    <xf numFmtId="166" fontId="2" fillId="3" borderId="48" xfId="21" applyNumberFormat="1" applyFont="1" applyFill="1" applyBorder="1">
      <alignment/>
      <protection/>
    </xf>
    <xf numFmtId="168" fontId="2" fillId="3" borderId="13" xfId="21" applyNumberFormat="1" applyFont="1" applyFill="1" applyBorder="1">
      <alignment/>
      <protection/>
    </xf>
    <xf numFmtId="164" fontId="2" fillId="3" borderId="14" xfId="21" applyFont="1" applyFill="1" applyBorder="1">
      <alignment/>
      <protection/>
    </xf>
    <xf numFmtId="166" fontId="2" fillId="3" borderId="30" xfId="21" applyNumberFormat="1" applyFont="1" applyFill="1" applyBorder="1">
      <alignment/>
      <protection/>
    </xf>
    <xf numFmtId="168" fontId="2" fillId="3" borderId="55" xfId="21" applyNumberFormat="1" applyFont="1" applyFill="1" applyBorder="1">
      <alignment/>
      <protection/>
    </xf>
    <xf numFmtId="164" fontId="2" fillId="3" borderId="37" xfId="21" applyFont="1" applyFill="1" applyBorder="1">
      <alignment/>
      <protection/>
    </xf>
    <xf numFmtId="164" fontId="2" fillId="3" borderId="39" xfId="21" applyFont="1" applyFill="1" applyBorder="1">
      <alignment/>
      <protection/>
    </xf>
    <xf numFmtId="168" fontId="2" fillId="3" borderId="21" xfId="21" applyNumberFormat="1" applyFont="1" applyFill="1" applyBorder="1">
      <alignment/>
      <protection/>
    </xf>
    <xf numFmtId="164" fontId="2" fillId="3" borderId="23" xfId="21" applyFont="1" applyFill="1" applyBorder="1">
      <alignment/>
      <protection/>
    </xf>
    <xf numFmtId="166" fontId="2" fillId="3" borderId="54" xfId="21" applyNumberFormat="1" applyFont="1" applyFill="1" applyBorder="1">
      <alignment/>
      <protection/>
    </xf>
    <xf numFmtId="168" fontId="2" fillId="0" borderId="0" xfId="21" applyNumberFormat="1" applyFont="1" applyFill="1">
      <alignment/>
      <protection/>
    </xf>
    <xf numFmtId="168" fontId="9" fillId="0" borderId="0" xfId="21" applyNumberFormat="1" applyFont="1" applyFill="1">
      <alignment/>
      <protection/>
    </xf>
    <xf numFmtId="164" fontId="10" fillId="0" borderId="0" xfId="21" applyFont="1" applyAlignment="1">
      <alignment vertical="center"/>
      <protection/>
    </xf>
    <xf numFmtId="164" fontId="12" fillId="0" borderId="0" xfId="21" applyFont="1" applyBorder="1" applyAlignment="1">
      <alignment horizontal="center" vertical="center"/>
      <protection/>
    </xf>
    <xf numFmtId="164" fontId="5" fillId="0" borderId="0" xfId="21" applyFont="1" applyAlignment="1">
      <alignment horizontal="left" vertical="center"/>
      <protection/>
    </xf>
    <xf numFmtId="164" fontId="4" fillId="0" borderId="0" xfId="21" applyFont="1" applyAlignment="1">
      <alignment horizontal="right" vertical="top"/>
      <protection/>
    </xf>
    <xf numFmtId="164" fontId="5" fillId="2" borderId="44" xfId="21" applyFont="1" applyFill="1" applyBorder="1" applyAlignment="1">
      <alignment horizontal="center" vertical="center"/>
      <protection/>
    </xf>
    <xf numFmtId="164" fontId="5" fillId="2" borderId="10" xfId="21" applyFont="1" applyFill="1" applyBorder="1" applyAlignment="1">
      <alignment horizontal="center" vertical="center"/>
      <protection/>
    </xf>
    <xf numFmtId="164" fontId="5" fillId="2" borderId="10" xfId="21" applyFont="1" applyFill="1" applyBorder="1" applyAlignment="1">
      <alignment horizontal="center" vertical="center" wrapText="1"/>
      <protection/>
    </xf>
    <xf numFmtId="164" fontId="14" fillId="0" borderId="31" xfId="21" applyFont="1" applyBorder="1" applyAlignment="1">
      <alignment horizontal="center" vertical="center"/>
      <protection/>
    </xf>
    <xf numFmtId="164" fontId="14" fillId="0" borderId="33" xfId="21" applyFont="1" applyBorder="1" applyAlignment="1">
      <alignment horizontal="center" vertical="center"/>
      <protection/>
    </xf>
    <xf numFmtId="164" fontId="14" fillId="0" borderId="0" xfId="21" applyFont="1" applyAlignment="1">
      <alignment vertical="center"/>
      <protection/>
    </xf>
    <xf numFmtId="164" fontId="2" fillId="0" borderId="55" xfId="21" applyFont="1" applyBorder="1" applyAlignment="1">
      <alignment horizontal="center"/>
      <protection/>
    </xf>
    <xf numFmtId="164" fontId="2" fillId="0" borderId="0" xfId="21" applyFont="1" applyBorder="1">
      <alignment/>
      <protection/>
    </xf>
    <xf numFmtId="166" fontId="2" fillId="0" borderId="33" xfId="21" applyNumberFormat="1" applyFont="1" applyBorder="1" applyAlignment="1">
      <alignment horizontal="right" vertical="center"/>
      <protection/>
    </xf>
    <xf numFmtId="164" fontId="2" fillId="0" borderId="59" xfId="21" applyFont="1" applyBorder="1" applyAlignment="1">
      <alignment horizontal="center"/>
      <protection/>
    </xf>
    <xf numFmtId="164" fontId="2" fillId="0" borderId="32" xfId="21" applyFont="1" applyBorder="1">
      <alignment/>
      <protection/>
    </xf>
    <xf numFmtId="164" fontId="2" fillId="0" borderId="60" xfId="21" applyFont="1" applyBorder="1" applyAlignment="1">
      <alignment horizontal="center"/>
      <protection/>
    </xf>
    <xf numFmtId="164" fontId="2" fillId="0" borderId="41" xfId="21" applyFont="1" applyBorder="1">
      <alignment/>
      <protection/>
    </xf>
    <xf numFmtId="166" fontId="14" fillId="0" borderId="0" xfId="21" applyNumberFormat="1" applyFont="1" applyAlignment="1">
      <alignment vertical="center"/>
      <protection/>
    </xf>
    <xf numFmtId="164" fontId="2" fillId="0" borderId="31" xfId="21" applyFont="1" applyBorder="1" applyAlignment="1">
      <alignment horizontal="center" vertical="center"/>
      <protection/>
    </xf>
    <xf numFmtId="164" fontId="5" fillId="0" borderId="61" xfId="21" applyFont="1" applyBorder="1" applyAlignment="1">
      <alignment horizontal="center" vertical="center"/>
      <protection/>
    </xf>
    <xf numFmtId="164" fontId="2" fillId="0" borderId="33" xfId="21" applyFont="1" applyBorder="1" applyAlignment="1">
      <alignment horizontal="center" vertical="center"/>
      <protection/>
    </xf>
    <xf numFmtId="166" fontId="5" fillId="0" borderId="33" xfId="21" applyNumberFormat="1" applyFont="1" applyBorder="1" applyAlignment="1">
      <alignment vertical="center"/>
      <protection/>
    </xf>
    <xf numFmtId="164" fontId="2" fillId="0" borderId="62" xfId="21" applyFont="1" applyBorder="1" applyAlignment="1">
      <alignment horizontal="center" vertical="center"/>
      <protection/>
    </xf>
    <xf numFmtId="164" fontId="2" fillId="0" borderId="63" xfId="21" applyFont="1" applyBorder="1" applyAlignment="1">
      <alignment vertical="center"/>
      <protection/>
    </xf>
    <xf numFmtId="164" fontId="2" fillId="0" borderId="63" xfId="21" applyFont="1" applyBorder="1" applyAlignment="1">
      <alignment horizontal="center" vertical="center"/>
      <protection/>
    </xf>
    <xf numFmtId="166" fontId="2" fillId="0" borderId="63" xfId="21" applyNumberFormat="1" applyFont="1" applyBorder="1" applyAlignment="1">
      <alignment horizontal="right" vertical="center"/>
      <protection/>
    </xf>
    <xf numFmtId="166" fontId="2" fillId="0" borderId="63" xfId="21" applyNumberFormat="1" applyFont="1" applyBorder="1" applyAlignment="1">
      <alignment vertical="center"/>
      <protection/>
    </xf>
    <xf numFmtId="164" fontId="2" fillId="0" borderId="64" xfId="21" applyFont="1" applyBorder="1" applyAlignment="1">
      <alignment horizontal="center" vertical="center"/>
      <protection/>
    </xf>
    <xf numFmtId="164" fontId="2" fillId="0" borderId="65" xfId="21" applyFont="1" applyBorder="1" applyAlignment="1">
      <alignment vertical="center"/>
      <protection/>
    </xf>
    <xf numFmtId="164" fontId="2" fillId="0" borderId="65" xfId="21" applyFont="1" applyBorder="1" applyAlignment="1">
      <alignment horizontal="center" vertical="center"/>
      <protection/>
    </xf>
    <xf numFmtId="166" fontId="2" fillId="0" borderId="65" xfId="21" applyNumberFormat="1" applyFont="1" applyBorder="1" applyAlignment="1">
      <alignment horizontal="right" vertical="center"/>
      <protection/>
    </xf>
    <xf numFmtId="166" fontId="2" fillId="0" borderId="65" xfId="21" applyNumberFormat="1" applyFont="1" applyBorder="1" applyAlignment="1">
      <alignment vertical="center"/>
      <protection/>
    </xf>
    <xf numFmtId="164" fontId="2" fillId="0" borderId="65" xfId="21" applyFont="1" applyBorder="1" applyAlignment="1">
      <alignment vertical="center" wrapText="1"/>
      <protection/>
    </xf>
    <xf numFmtId="164" fontId="2" fillId="0" borderId="66" xfId="21" applyFont="1" applyBorder="1" applyAlignment="1">
      <alignment vertical="center"/>
      <protection/>
    </xf>
    <xf numFmtId="164" fontId="2" fillId="0" borderId="66" xfId="21" applyFont="1" applyBorder="1" applyAlignment="1">
      <alignment horizontal="center" vertical="center"/>
      <protection/>
    </xf>
    <xf numFmtId="166" fontId="2" fillId="0" borderId="66" xfId="21" applyNumberFormat="1" applyFont="1" applyBorder="1" applyAlignment="1">
      <alignment horizontal="right" vertical="center"/>
      <protection/>
    </xf>
    <xf numFmtId="166" fontId="2" fillId="0" borderId="66" xfId="21" applyNumberFormat="1" applyFont="1" applyBorder="1" applyAlignment="1">
      <alignment vertical="center"/>
      <protection/>
    </xf>
    <xf numFmtId="166" fontId="5" fillId="0" borderId="33" xfId="21" applyNumberFormat="1" applyFont="1" applyBorder="1" applyAlignment="1">
      <alignment horizontal="right" vertical="center"/>
      <protection/>
    </xf>
    <xf numFmtId="164" fontId="2" fillId="0" borderId="67" xfId="21" applyFont="1" applyBorder="1" applyAlignment="1">
      <alignment horizontal="center" vertical="center"/>
      <protection/>
    </xf>
    <xf numFmtId="164" fontId="2" fillId="0" borderId="68" xfId="21" applyFont="1" applyBorder="1" applyAlignment="1">
      <alignment vertical="center"/>
      <protection/>
    </xf>
    <xf numFmtId="164" fontId="2" fillId="0" borderId="68" xfId="21" applyFont="1" applyBorder="1" applyAlignment="1">
      <alignment horizontal="center" vertical="center"/>
      <protection/>
    </xf>
    <xf numFmtId="166" fontId="2" fillId="0" borderId="68" xfId="21" applyNumberFormat="1" applyFont="1" applyBorder="1" applyAlignment="1">
      <alignment horizontal="right" vertical="center"/>
      <protection/>
    </xf>
    <xf numFmtId="166" fontId="2" fillId="0" borderId="68" xfId="21" applyNumberFormat="1" applyFont="1" applyBorder="1" applyAlignment="1">
      <alignment vertical="center"/>
      <protection/>
    </xf>
    <xf numFmtId="164" fontId="2" fillId="0" borderId="0" xfId="21" applyBorder="1" applyAlignment="1">
      <alignment horizontal="center" vertical="center"/>
      <protection/>
    </xf>
    <xf numFmtId="164" fontId="2" fillId="0" borderId="0" xfId="21" applyBorder="1" applyAlignment="1">
      <alignment vertical="center"/>
      <protection/>
    </xf>
    <xf numFmtId="164" fontId="15" fillId="0" borderId="0" xfId="21" applyFont="1">
      <alignment/>
      <protection/>
    </xf>
    <xf numFmtId="164" fontId="15" fillId="0" borderId="0" xfId="21" applyFont="1" applyAlignment="1">
      <alignment vertical="center"/>
      <protection/>
    </xf>
    <xf numFmtId="164" fontId="0" fillId="0" borderId="0" xfId="21" applyFont="1" applyAlignment="1">
      <alignment vertical="center"/>
      <protection/>
    </xf>
    <xf numFmtId="166" fontId="2" fillId="0" borderId="0" xfId="21" applyNumberFormat="1" applyAlignment="1">
      <alignment vertical="center"/>
      <protection/>
    </xf>
    <xf numFmtId="164" fontId="3" fillId="0" borderId="0" xfId="21" applyFont="1" applyAlignment="1">
      <alignment horizontal="center" vertical="center" wrapText="1"/>
      <protection/>
    </xf>
    <xf numFmtId="164" fontId="5" fillId="2" borderId="48" xfId="21" applyFont="1" applyFill="1" applyBorder="1" applyAlignment="1">
      <alignment horizontal="center" vertical="center" wrapText="1"/>
      <protection/>
    </xf>
    <xf numFmtId="164" fontId="2" fillId="0" borderId="0" xfId="21" applyFont="1" applyAlignment="1">
      <alignment vertical="center"/>
      <protection/>
    </xf>
    <xf numFmtId="164" fontId="5" fillId="2" borderId="33" xfId="21" applyFont="1" applyFill="1" applyBorder="1" applyAlignment="1">
      <alignment horizontal="center" vertical="center" wrapText="1"/>
      <protection/>
    </xf>
    <xf numFmtId="164" fontId="6" fillId="0" borderId="31" xfId="21" applyFont="1" applyBorder="1" applyAlignment="1">
      <alignment horizontal="center" vertical="center"/>
      <protection/>
    </xf>
    <xf numFmtId="164" fontId="6" fillId="0" borderId="33" xfId="21" applyFont="1" applyBorder="1" applyAlignment="1">
      <alignment horizontal="center" vertical="center"/>
      <protection/>
    </xf>
    <xf numFmtId="164" fontId="6" fillId="0" borderId="35" xfId="21" applyFont="1" applyBorder="1" applyAlignment="1">
      <alignment horizontal="center" vertical="center"/>
      <protection/>
    </xf>
    <xf numFmtId="164" fontId="10" fillId="0" borderId="33" xfId="21" applyFont="1" applyBorder="1" applyAlignment="1">
      <alignment horizontal="center" vertical="center"/>
      <protection/>
    </xf>
    <xf numFmtId="166" fontId="10" fillId="0" borderId="33" xfId="21" applyNumberFormat="1" applyFont="1" applyBorder="1" applyAlignment="1">
      <alignment horizontal="right" vertical="center"/>
      <protection/>
    </xf>
    <xf numFmtId="166" fontId="10" fillId="0" borderId="33" xfId="21" applyNumberFormat="1" applyFont="1" applyFill="1" applyBorder="1" applyAlignment="1">
      <alignment horizontal="right" vertical="center"/>
      <protection/>
    </xf>
    <xf numFmtId="164" fontId="2" fillId="0" borderId="35" xfId="21" applyFont="1" applyBorder="1" applyAlignment="1">
      <alignment horizontal="left" vertical="center" wrapText="1"/>
      <protection/>
    </xf>
    <xf numFmtId="164" fontId="10" fillId="0" borderId="31" xfId="21" applyFont="1" applyFill="1" applyBorder="1" applyAlignment="1">
      <alignment horizontal="center" vertical="center"/>
      <protection/>
    </xf>
    <xf numFmtId="164" fontId="10" fillId="0" borderId="33" xfId="21" applyFont="1" applyFill="1" applyBorder="1" applyAlignment="1">
      <alignment vertical="center"/>
      <protection/>
    </xf>
    <xf numFmtId="164" fontId="2" fillId="0" borderId="37" xfId="21" applyFont="1" applyFill="1" applyBorder="1" applyAlignment="1">
      <alignment horizontal="center" vertical="center" wrapText="1"/>
      <protection/>
    </xf>
    <xf numFmtId="166" fontId="10" fillId="0" borderId="33" xfId="21" applyNumberFormat="1" applyFont="1" applyFill="1" applyBorder="1" applyAlignment="1">
      <alignment vertical="center"/>
      <protection/>
    </xf>
    <xf numFmtId="164" fontId="10" fillId="0" borderId="33" xfId="21" applyFont="1" applyFill="1" applyBorder="1" applyAlignment="1">
      <alignment vertical="center" wrapText="1"/>
      <protection/>
    </xf>
    <xf numFmtId="164" fontId="10" fillId="0" borderId="35" xfId="21" applyFont="1" applyFill="1" applyBorder="1" applyAlignment="1">
      <alignment horizontal="left" vertical="center" wrapText="1"/>
      <protection/>
    </xf>
    <xf numFmtId="164" fontId="10" fillId="0" borderId="31" xfId="21" applyFont="1" applyBorder="1" applyAlignment="1">
      <alignment horizontal="center" vertical="center"/>
      <protection/>
    </xf>
    <xf numFmtId="164" fontId="10" fillId="0" borderId="33" xfId="21" applyFont="1" applyBorder="1" applyAlignment="1">
      <alignment vertical="center"/>
      <protection/>
    </xf>
    <xf numFmtId="164" fontId="2" fillId="0" borderId="33" xfId="21" applyFont="1" applyBorder="1" applyAlignment="1">
      <alignment horizontal="center" vertical="center" wrapText="1"/>
      <protection/>
    </xf>
    <xf numFmtId="164" fontId="10" fillId="0" borderId="33" xfId="21" applyFont="1" applyBorder="1" applyAlignment="1">
      <alignment vertical="center" wrapText="1"/>
      <protection/>
    </xf>
    <xf numFmtId="164" fontId="10" fillId="0" borderId="35" xfId="21" applyFont="1" applyBorder="1" applyAlignment="1">
      <alignment horizontal="left" vertical="center" wrapText="1"/>
      <protection/>
    </xf>
    <xf numFmtId="164" fontId="10" fillId="0" borderId="17" xfId="21" applyFont="1" applyBorder="1" applyAlignment="1">
      <alignment vertical="center"/>
      <protection/>
    </xf>
    <xf numFmtId="164" fontId="2" fillId="0" borderId="17" xfId="21" applyFont="1" applyBorder="1" applyAlignment="1">
      <alignment horizontal="center" vertical="center" wrapText="1"/>
      <protection/>
    </xf>
    <xf numFmtId="166" fontId="10" fillId="0" borderId="17" xfId="21" applyNumberFormat="1" applyFont="1" applyFill="1" applyBorder="1" applyAlignment="1">
      <alignment vertical="center"/>
      <protection/>
    </xf>
    <xf numFmtId="164" fontId="10" fillId="0" borderId="17" xfId="21" applyFont="1" applyBorder="1" applyAlignment="1">
      <alignment vertical="center" wrapText="1"/>
      <protection/>
    </xf>
    <xf numFmtId="164" fontId="10" fillId="0" borderId="69" xfId="21" applyFont="1" applyBorder="1" applyAlignment="1">
      <alignment horizontal="left" vertical="center" wrapText="1"/>
      <protection/>
    </xf>
    <xf numFmtId="164" fontId="13" fillId="0" borderId="45" xfId="21" applyFont="1" applyBorder="1" applyAlignment="1">
      <alignment horizontal="left" vertical="center"/>
      <protection/>
    </xf>
    <xf numFmtId="166" fontId="10" fillId="0" borderId="16" xfId="21" applyNumberFormat="1" applyFont="1" applyBorder="1" applyAlignment="1">
      <alignment vertical="center"/>
      <protection/>
    </xf>
    <xf numFmtId="164" fontId="13" fillId="0" borderId="42" xfId="21" applyFont="1" applyBorder="1" applyAlignment="1">
      <alignment horizontal="center" vertical="center"/>
      <protection/>
    </xf>
    <xf numFmtId="164" fontId="16" fillId="0" borderId="0" xfId="21" applyFont="1" applyAlignment="1">
      <alignment vertical="center"/>
      <protection/>
    </xf>
    <xf numFmtId="164" fontId="2" fillId="0" borderId="61" xfId="21" applyFill="1" applyBorder="1" applyAlignment="1">
      <alignment horizontal="center" vertical="center"/>
      <protection/>
    </xf>
    <xf numFmtId="164" fontId="2" fillId="0" borderId="33" xfId="21" applyFill="1" applyBorder="1" applyAlignment="1">
      <alignment horizontal="center" vertical="center"/>
      <protection/>
    </xf>
    <xf numFmtId="164" fontId="2" fillId="0" borderId="33" xfId="21" applyFont="1" applyFill="1" applyBorder="1" applyAlignment="1">
      <alignment horizontal="center" vertical="top" wrapText="1"/>
      <protection/>
    </xf>
    <xf numFmtId="166" fontId="2" fillId="0" borderId="33" xfId="21" applyNumberFormat="1" applyFill="1" applyBorder="1" applyAlignment="1">
      <alignment vertical="center"/>
      <protection/>
    </xf>
    <xf numFmtId="166" fontId="2" fillId="0" borderId="33" xfId="21" applyNumberFormat="1" applyFill="1" applyBorder="1" applyAlignment="1">
      <alignment vertical="center" wrapText="1"/>
      <protection/>
    </xf>
    <xf numFmtId="164" fontId="2" fillId="0" borderId="35" xfId="21" applyFont="1" applyBorder="1" applyAlignment="1">
      <alignment vertical="center" wrapText="1"/>
      <protection/>
    </xf>
    <xf numFmtId="169" fontId="2" fillId="0" borderId="37" xfId="21" applyNumberFormat="1" applyFont="1" applyFill="1" applyBorder="1" applyAlignment="1">
      <alignment horizontal="center" vertical="center" wrapText="1"/>
      <protection/>
    </xf>
    <xf numFmtId="164" fontId="2" fillId="0" borderId="33" xfId="21" applyFont="1" applyFill="1" applyBorder="1" applyAlignment="1">
      <alignment horizontal="center" vertical="center" wrapText="1"/>
      <protection/>
    </xf>
    <xf numFmtId="169" fontId="2" fillId="0" borderId="33" xfId="21" applyNumberFormat="1" applyFont="1" applyFill="1" applyBorder="1" applyAlignment="1">
      <alignment horizontal="center" vertical="center" wrapText="1"/>
      <protection/>
    </xf>
    <xf numFmtId="164" fontId="2" fillId="0" borderId="61" xfId="21" applyFont="1" applyFill="1" applyBorder="1" applyAlignment="1">
      <alignment horizontal="center" vertical="center"/>
      <protection/>
    </xf>
    <xf numFmtId="164" fontId="2" fillId="0" borderId="33" xfId="21" applyFont="1" applyFill="1" applyBorder="1" applyAlignment="1">
      <alignment horizontal="center" vertical="center"/>
      <protection/>
    </xf>
    <xf numFmtId="169" fontId="2" fillId="0" borderId="49" xfId="21" applyNumberFormat="1" applyFont="1" applyFill="1" applyBorder="1" applyAlignment="1">
      <alignment horizontal="center" vertical="center" wrapText="1"/>
      <protection/>
    </xf>
    <xf numFmtId="166" fontId="2" fillId="0" borderId="17" xfId="21" applyNumberFormat="1" applyFont="1" applyFill="1" applyBorder="1" applyAlignment="1">
      <alignment vertical="center"/>
      <protection/>
    </xf>
    <xf numFmtId="166" fontId="2" fillId="0" borderId="33" xfId="21" applyNumberFormat="1" applyFont="1" applyFill="1" applyBorder="1" applyAlignment="1">
      <alignment vertical="center"/>
      <protection/>
    </xf>
    <xf numFmtId="166" fontId="2" fillId="0" borderId="17" xfId="21" applyNumberFormat="1" applyFill="1" applyBorder="1" applyAlignment="1">
      <alignment vertical="center"/>
      <protection/>
    </xf>
    <xf numFmtId="166" fontId="2" fillId="0" borderId="17" xfId="21" applyNumberFormat="1" applyFill="1" applyBorder="1" applyAlignment="1">
      <alignment vertical="center" wrapText="1"/>
      <protection/>
    </xf>
    <xf numFmtId="164" fontId="2" fillId="0" borderId="69" xfId="21" applyFont="1" applyBorder="1" applyAlignment="1">
      <alignment vertical="center" wrapText="1"/>
      <protection/>
    </xf>
    <xf numFmtId="164" fontId="17" fillId="0" borderId="45" xfId="21" applyFont="1" applyBorder="1" applyAlignment="1">
      <alignment horizontal="left" vertical="center"/>
      <protection/>
    </xf>
    <xf numFmtId="166" fontId="17" fillId="0" borderId="16" xfId="21" applyNumberFormat="1" applyFont="1" applyBorder="1" applyAlignment="1">
      <alignment vertical="center"/>
      <protection/>
    </xf>
    <xf numFmtId="164" fontId="5" fillId="0" borderId="42" xfId="21" applyFont="1" applyBorder="1" applyAlignment="1">
      <alignment horizontal="center" vertical="center"/>
      <protection/>
    </xf>
    <xf numFmtId="164" fontId="1" fillId="0" borderId="0" xfId="20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je%20dokumenty\Uchwa&#322;y%202009\Uch.RP%20proj.13.03.09%20-%20zmien\Zalaczniki%20%20do%20uchw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irka\Ustawienia%20lokalne\Temporary%20Internet%20Files\Content.IE5\S5EJWPAR\Nowy%20folder%20(2)\Za&#322;&#261;czniki%20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eszyt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je%20dokumenty\Uchwa&#322;y%202009\Uch.RP%2013.03.09%20-%20zmien\Zalaczniki%20%20do%20uchw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 3"/>
      <sheetName val="Inwestycje 2007 3a"/>
      <sheetName val="Schetynówki 3b"/>
      <sheetName val="Unijne 4"/>
      <sheetName val="Żródła finans."/>
      <sheetName val="Doch.i wyd..zlec.zał.5"/>
      <sheetName val="Wspolne 6"/>
      <sheetName val="Gosp. pom."/>
      <sheetName val="Dotacje podmiotowe"/>
      <sheetName val="Pozostałe dotacje"/>
      <sheetName val="Stowarzyszenia 10"/>
      <sheetName val="PFOŚiGW"/>
      <sheetName val="PFGZGiK"/>
      <sheetName val="Prognoza dł. 8"/>
      <sheetName val="Sytuacja finans."/>
      <sheetName val="Remonty schetynów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  <sheetName val="Dotacje podmiotow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uacja finans."/>
      <sheetName val="Prognoza dł. 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 3"/>
      <sheetName val="Inwestycje 2007 3a"/>
      <sheetName val="Schetynówki 3b"/>
      <sheetName val="Unijne 4"/>
      <sheetName val="Żródła finans."/>
      <sheetName val="Doch.i wyd..zlec.zał.5"/>
      <sheetName val="Wspolne 6"/>
      <sheetName val="Gosp. pom."/>
      <sheetName val="Dotacje podmiotowe"/>
      <sheetName val="Pozostałe dotacje"/>
      <sheetName val="Stowarzyszenia 10"/>
      <sheetName val="PFOŚiGW"/>
      <sheetName val="PFGZGiK"/>
      <sheetName val="Prognoza dł. 8"/>
      <sheetName val="Sytuacja finans."/>
      <sheetName val="Remonty schetynów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pane ySplit="9" topLeftCell="A16" activePane="bottomLeft" state="frozen"/>
      <selection pane="topLeft" activeCell="A1" sqref="A1"/>
      <selection pane="bottomLeft" activeCell="Y18" sqref="Y18"/>
    </sheetView>
  </sheetViews>
  <sheetFormatPr defaultColWidth="10.28125" defaultRowHeight="12.75" customHeight="1"/>
  <cols>
    <col min="1" max="1" width="7.57421875" style="1" customWidth="1"/>
    <col min="2" max="2" width="43.421875" style="1" customWidth="1"/>
    <col min="3" max="3" width="0" style="1" hidden="1" customWidth="1"/>
    <col min="4" max="4" width="11.57421875" style="1" customWidth="1"/>
    <col min="5" max="5" width="0" style="1" hidden="1" customWidth="1"/>
    <col min="6" max="6" width="11.28125" style="1" customWidth="1"/>
    <col min="7" max="7" width="14.00390625" style="1" customWidth="1"/>
    <col min="8" max="8" width="11.57421875" style="1" customWidth="1"/>
    <col min="9" max="9" width="11.28125" style="1" customWidth="1"/>
    <col min="10" max="10" width="11.00390625" style="1" customWidth="1"/>
    <col min="11" max="11" width="11.57421875" style="1" customWidth="1"/>
    <col min="12" max="12" width="11.00390625" style="1" customWidth="1"/>
    <col min="13" max="13" width="12.00390625" style="1" customWidth="1"/>
    <col min="14" max="14" width="11.8515625" style="1" customWidth="1"/>
    <col min="15" max="15" width="11.7109375" style="1" customWidth="1"/>
    <col min="16" max="16" width="12.7109375" style="1" customWidth="1"/>
    <col min="17" max="17" width="11.28125" style="1" customWidth="1"/>
    <col min="18" max="18" width="11.140625" style="1" customWidth="1"/>
    <col min="19" max="19" width="12.00390625" style="1" customWidth="1"/>
    <col min="20" max="20" width="12.140625" style="1" customWidth="1"/>
    <col min="21" max="21" width="11.7109375" style="1" customWidth="1"/>
    <col min="22" max="22" width="11.28125" style="1" customWidth="1"/>
    <col min="23" max="23" width="12.421875" style="1" customWidth="1"/>
    <col min="24" max="24" width="11.28125" style="1" customWidth="1"/>
    <col min="25" max="25" width="11.7109375" style="1" customWidth="1"/>
    <col min="26" max="26" width="12.421875" style="1" customWidth="1"/>
    <col min="27" max="16384" width="10.140625" style="1" customWidth="1"/>
  </cols>
  <sheetData>
    <row r="1" spans="11:25" ht="12.75" customHeight="1">
      <c r="K1" s="1" t="s">
        <v>0</v>
      </c>
      <c r="Y1" s="1" t="s">
        <v>0</v>
      </c>
    </row>
    <row r="2" spans="11:25" ht="12.75" customHeight="1">
      <c r="K2" s="1" t="s">
        <v>1</v>
      </c>
      <c r="Y2" s="1" t="s">
        <v>1</v>
      </c>
    </row>
    <row r="3" spans="11:25" ht="12.75" customHeight="1">
      <c r="K3" s="1" t="s">
        <v>2</v>
      </c>
      <c r="Y3" s="1" t="s">
        <v>2</v>
      </c>
    </row>
    <row r="4" spans="11:25" ht="12.75" customHeight="1">
      <c r="K4" s="1" t="s">
        <v>3</v>
      </c>
      <c r="Y4" s="1" t="s">
        <v>3</v>
      </c>
    </row>
    <row r="6" spans="1:12" ht="18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7:26" ht="13.5" customHeight="1">
      <c r="G7" s="3"/>
      <c r="L7" s="3" t="s">
        <v>5</v>
      </c>
      <c r="Z7" s="4" t="s">
        <v>5</v>
      </c>
    </row>
    <row r="8" spans="1:26" ht="24.75" customHeight="1">
      <c r="A8" s="5" t="s">
        <v>6</v>
      </c>
      <c r="B8" s="5" t="s">
        <v>7</v>
      </c>
      <c r="C8" s="6" t="s">
        <v>8</v>
      </c>
      <c r="D8" s="6" t="s">
        <v>9</v>
      </c>
      <c r="E8" s="5" t="s">
        <v>10</v>
      </c>
      <c r="F8" s="5"/>
      <c r="G8" s="5"/>
      <c r="H8" s="5"/>
      <c r="I8" s="5"/>
      <c r="J8" s="5"/>
      <c r="K8" s="5"/>
      <c r="L8" s="5"/>
      <c r="M8" s="5" t="s">
        <v>10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>
      <c r="A9" s="5"/>
      <c r="B9" s="5"/>
      <c r="C9" s="6"/>
      <c r="D9" s="6"/>
      <c r="E9" s="5" t="s">
        <v>11</v>
      </c>
      <c r="F9" s="5" t="s">
        <v>12</v>
      </c>
      <c r="G9" s="5" t="s">
        <v>13</v>
      </c>
      <c r="H9" s="5" t="s">
        <v>14</v>
      </c>
      <c r="I9" s="5" t="s">
        <v>15</v>
      </c>
      <c r="J9" s="5" t="s">
        <v>16</v>
      </c>
      <c r="K9" s="5" t="s">
        <v>17</v>
      </c>
      <c r="L9" s="5" t="s">
        <v>18</v>
      </c>
      <c r="M9" s="5" t="s">
        <v>19</v>
      </c>
      <c r="N9" s="5" t="s">
        <v>20</v>
      </c>
      <c r="O9" s="5" t="s">
        <v>21</v>
      </c>
      <c r="P9" s="5" t="s">
        <v>22</v>
      </c>
      <c r="Q9" s="5" t="s">
        <v>23</v>
      </c>
      <c r="R9" s="5" t="s">
        <v>24</v>
      </c>
      <c r="S9" s="5" t="s">
        <v>25</v>
      </c>
      <c r="T9" s="5" t="s">
        <v>26</v>
      </c>
      <c r="U9" s="5" t="s">
        <v>27</v>
      </c>
      <c r="V9" s="5" t="s">
        <v>28</v>
      </c>
      <c r="W9" s="5" t="s">
        <v>29</v>
      </c>
      <c r="X9" s="5" t="s">
        <v>30</v>
      </c>
      <c r="Y9" s="5" t="s">
        <v>31</v>
      </c>
      <c r="Z9" s="5" t="s">
        <v>32</v>
      </c>
    </row>
    <row r="10" spans="1:26" ht="7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</row>
    <row r="11" spans="1:26" ht="13.5" customHeight="1">
      <c r="A11" s="8" t="s">
        <v>33</v>
      </c>
      <c r="B11" s="9" t="s">
        <v>34</v>
      </c>
      <c r="C11" s="10">
        <f aca="true" t="shared" si="0" ref="C11:Z11">C12+C16+C17</f>
        <v>36867168</v>
      </c>
      <c r="D11" s="10">
        <f t="shared" si="0"/>
        <v>38635998</v>
      </c>
      <c r="E11" s="10">
        <f t="shared" si="0"/>
        <v>34348535</v>
      </c>
      <c r="F11" s="10">
        <f t="shared" si="0"/>
        <v>45077776</v>
      </c>
      <c r="G11" s="10">
        <f t="shared" si="0"/>
        <v>44381944.809999995</v>
      </c>
      <c r="H11" s="10">
        <f t="shared" si="0"/>
        <v>44653831.61834999</v>
      </c>
      <c r="I11" s="10">
        <f t="shared" si="0"/>
        <v>44927577.803284734</v>
      </c>
      <c r="J11" s="10">
        <f t="shared" si="0"/>
        <v>45203197.76303759</v>
      </c>
      <c r="K11" s="10">
        <f t="shared" si="0"/>
        <v>45480705.36693531</v>
      </c>
      <c r="L11" s="10">
        <f t="shared" si="0"/>
        <v>45760115.42500336</v>
      </c>
      <c r="M11" s="10">
        <f t="shared" si="0"/>
        <v>46041442.598674074</v>
      </c>
      <c r="N11" s="10">
        <f t="shared" si="0"/>
        <v>46324701.67645064</v>
      </c>
      <c r="O11" s="10">
        <f t="shared" si="0"/>
        <v>46609907.56596917</v>
      </c>
      <c r="P11" s="10">
        <f t="shared" si="0"/>
        <v>46897075.308746636</v>
      </c>
      <c r="Q11" s="10">
        <f t="shared" si="0"/>
        <v>47186220.072287485</v>
      </c>
      <c r="R11" s="10">
        <f t="shared" si="0"/>
        <v>47477357.153515995</v>
      </c>
      <c r="S11" s="10">
        <f t="shared" si="0"/>
        <v>47770501.979959324</v>
      </c>
      <c r="T11" s="10">
        <f t="shared" si="0"/>
        <v>48065670.110941626</v>
      </c>
      <c r="U11" s="10">
        <f t="shared" si="0"/>
        <v>48362877.23878966</v>
      </c>
      <c r="V11" s="10">
        <f t="shared" si="0"/>
        <v>48662139.19004989</v>
      </c>
      <c r="W11" s="10">
        <f t="shared" si="0"/>
        <v>48963471.92671706</v>
      </c>
      <c r="X11" s="10">
        <f t="shared" si="0"/>
        <v>49266891.54747475</v>
      </c>
      <c r="Y11" s="10">
        <f t="shared" si="0"/>
        <v>49572414.288947456</v>
      </c>
      <c r="Z11" s="10">
        <f t="shared" si="0"/>
        <v>49880056.35337088</v>
      </c>
    </row>
    <row r="12" spans="1:26" ht="13.5" customHeight="1">
      <c r="A12" s="11" t="s">
        <v>35</v>
      </c>
      <c r="B12" s="12" t="s">
        <v>36</v>
      </c>
      <c r="C12" s="13">
        <f>SUM(C13:C15)</f>
        <v>10099876</v>
      </c>
      <c r="D12" s="14">
        <f>SUM(D13:D15)</f>
        <v>11134947</v>
      </c>
      <c r="E12" s="13">
        <f>SUM(E13:E15)</f>
        <v>9462991</v>
      </c>
      <c r="F12" s="13">
        <f>SUM(F13:F15)</f>
        <v>11423786</v>
      </c>
      <c r="G12" s="13">
        <f>SUM(G13:G15)</f>
        <v>10559684.86</v>
      </c>
      <c r="H12" s="13">
        <f>H13+H14+H15</f>
        <v>10662460.3686</v>
      </c>
      <c r="I12" s="13">
        <f aca="true" t="shared" si="1" ref="I12:Z12">SUM(I13:I15)</f>
        <v>10766249.697286</v>
      </c>
      <c r="J12" s="13">
        <f t="shared" si="1"/>
        <v>10871063.01650886</v>
      </c>
      <c r="K12" s="13">
        <f t="shared" si="1"/>
        <v>10976909.946673948</v>
      </c>
      <c r="L12" s="13">
        <f t="shared" si="1"/>
        <v>11083801.02764069</v>
      </c>
      <c r="M12" s="13">
        <f t="shared" si="1"/>
        <v>11191746.629324596</v>
      </c>
      <c r="N12" s="13">
        <f t="shared" si="1"/>
        <v>11300757.227254417</v>
      </c>
      <c r="O12" s="13">
        <f t="shared" si="1"/>
        <v>11410843.394526962</v>
      </c>
      <c r="P12" s="13">
        <f t="shared" si="1"/>
        <v>11522015.816447232</v>
      </c>
      <c r="Q12" s="13">
        <f t="shared" si="1"/>
        <v>11634285.282526579</v>
      </c>
      <c r="R12" s="13">
        <f t="shared" si="1"/>
        <v>11747662.689806294</v>
      </c>
      <c r="S12" s="13">
        <f t="shared" si="1"/>
        <v>11862159.043931078</v>
      </c>
      <c r="T12" s="13">
        <f t="shared" si="1"/>
        <v>11977785.460233245</v>
      </c>
      <c r="U12" s="13">
        <f t="shared" si="1"/>
        <v>12094553.164827745</v>
      </c>
      <c r="V12" s="13">
        <f t="shared" si="1"/>
        <v>12212473.495718155</v>
      </c>
      <c r="W12" s="13">
        <f t="shared" si="1"/>
        <v>12331557.903913677</v>
      </c>
      <c r="X12" s="13">
        <f t="shared" si="1"/>
        <v>12451817.954557344</v>
      </c>
      <c r="Y12" s="13">
        <f t="shared" si="1"/>
        <v>12573265.328065474</v>
      </c>
      <c r="Z12" s="13">
        <f t="shared" si="1"/>
        <v>12695911.647684496</v>
      </c>
    </row>
    <row r="13" spans="1:27" ht="13.5" customHeight="1">
      <c r="A13" s="11" t="s">
        <v>37</v>
      </c>
      <c r="B13" s="12" t="s">
        <v>38</v>
      </c>
      <c r="C13" s="13">
        <v>5049604</v>
      </c>
      <c r="D13" s="13">
        <v>6058731</v>
      </c>
      <c r="E13" s="13">
        <v>4501339</v>
      </c>
      <c r="F13" s="13">
        <v>5360009</v>
      </c>
      <c r="G13" s="13">
        <f>F13*1.01</f>
        <v>5413609.09</v>
      </c>
      <c r="H13" s="13">
        <f aca="true" t="shared" si="2" ref="H13:Z13">G13*1.01</f>
        <v>5467745.1809</v>
      </c>
      <c r="I13" s="13">
        <f t="shared" si="2"/>
        <v>5522422.632709</v>
      </c>
      <c r="J13" s="13">
        <f t="shared" si="2"/>
        <v>5577646.85903609</v>
      </c>
      <c r="K13" s="13">
        <f t="shared" si="2"/>
        <v>5633423.327626451</v>
      </c>
      <c r="L13" s="13">
        <f t="shared" si="2"/>
        <v>5689757.560902716</v>
      </c>
      <c r="M13" s="13">
        <f t="shared" si="2"/>
        <v>5746655.136511743</v>
      </c>
      <c r="N13" s="13">
        <f t="shared" si="2"/>
        <v>5804121.687876861</v>
      </c>
      <c r="O13" s="13">
        <f t="shared" si="2"/>
        <v>5862162.90475563</v>
      </c>
      <c r="P13" s="13">
        <f t="shared" si="2"/>
        <v>5920784.533803186</v>
      </c>
      <c r="Q13" s="13">
        <f t="shared" si="2"/>
        <v>5979992.379141218</v>
      </c>
      <c r="R13" s="13">
        <f t="shared" si="2"/>
        <v>6039792.30293263</v>
      </c>
      <c r="S13" s="13">
        <f t="shared" si="2"/>
        <v>6100190.225961956</v>
      </c>
      <c r="T13" s="13">
        <f t="shared" si="2"/>
        <v>6161192.128221576</v>
      </c>
      <c r="U13" s="13">
        <f t="shared" si="2"/>
        <v>6222804.049503792</v>
      </c>
      <c r="V13" s="13">
        <f t="shared" si="2"/>
        <v>6285032.08999883</v>
      </c>
      <c r="W13" s="13">
        <f t="shared" si="2"/>
        <v>6347882.410898819</v>
      </c>
      <c r="X13" s="13">
        <f t="shared" si="2"/>
        <v>6411361.235007807</v>
      </c>
      <c r="Y13" s="13">
        <f t="shared" si="2"/>
        <v>6475474.847357885</v>
      </c>
      <c r="Z13" s="13">
        <f t="shared" si="2"/>
        <v>6540229.595831464</v>
      </c>
      <c r="AA13" s="15"/>
    </row>
    <row r="14" spans="1:26" ht="13.5" customHeight="1">
      <c r="A14" s="11" t="s">
        <v>39</v>
      </c>
      <c r="B14" s="12" t="s">
        <v>40</v>
      </c>
      <c r="C14" s="13">
        <v>1181586</v>
      </c>
      <c r="D14" s="13">
        <v>582661</v>
      </c>
      <c r="E14" s="13">
        <v>1367300</v>
      </c>
      <c r="F14" s="13">
        <v>1527300</v>
      </c>
      <c r="G14" s="13">
        <v>564234</v>
      </c>
      <c r="H14" s="13">
        <v>567055</v>
      </c>
      <c r="I14" s="13">
        <f aca="true" t="shared" si="3" ref="I14:Y14">H14*1.005</f>
        <v>569890.2749999999</v>
      </c>
      <c r="J14" s="13">
        <v>572740</v>
      </c>
      <c r="K14" s="13">
        <f t="shared" si="3"/>
        <v>575603.7</v>
      </c>
      <c r="L14" s="13">
        <f t="shared" si="3"/>
        <v>578481.7184999998</v>
      </c>
      <c r="M14" s="13">
        <f t="shared" si="3"/>
        <v>581374.1270924998</v>
      </c>
      <c r="N14" s="13">
        <f>ROUND(M14*1.005,0)</f>
        <v>584281</v>
      </c>
      <c r="O14" s="13">
        <f>(N14*1.005)</f>
        <v>587202.4049999999</v>
      </c>
      <c r="P14" s="13">
        <f t="shared" si="3"/>
        <v>590138.4170249999</v>
      </c>
      <c r="Q14" s="13">
        <f t="shared" si="3"/>
        <v>593089.1091101248</v>
      </c>
      <c r="R14" s="13">
        <f t="shared" si="3"/>
        <v>596054.5546556753</v>
      </c>
      <c r="S14" s="13">
        <f t="shared" si="3"/>
        <v>599034.8274289536</v>
      </c>
      <c r="T14" s="13">
        <f t="shared" si="3"/>
        <v>602030.0015660983</v>
      </c>
      <c r="U14" s="13">
        <f t="shared" si="3"/>
        <v>605040.1515739288</v>
      </c>
      <c r="V14" s="13">
        <f t="shared" si="3"/>
        <v>608065.3523317984</v>
      </c>
      <c r="W14" s="13">
        <f t="shared" si="3"/>
        <v>611105.6790934573</v>
      </c>
      <c r="X14" s="13">
        <f t="shared" si="3"/>
        <v>614161.2074889245</v>
      </c>
      <c r="Y14" s="13">
        <f t="shared" si="3"/>
        <v>617232.013526369</v>
      </c>
      <c r="Z14" s="13">
        <f>ROUND(Y14*1.005,0)</f>
        <v>620318</v>
      </c>
    </row>
    <row r="15" spans="1:29" ht="13.5" customHeight="1">
      <c r="A15" s="11" t="s">
        <v>41</v>
      </c>
      <c r="B15" s="16" t="s">
        <v>42</v>
      </c>
      <c r="C15" s="17">
        <v>3868686</v>
      </c>
      <c r="D15" s="17">
        <v>4493555</v>
      </c>
      <c r="E15" s="17">
        <v>3594352</v>
      </c>
      <c r="F15" s="17">
        <v>4536477</v>
      </c>
      <c r="G15" s="17">
        <f>F15*1.01</f>
        <v>4581841.7700000005</v>
      </c>
      <c r="H15" s="17">
        <f aca="true" t="shared" si="4" ref="H15:Z15">G15*1.01</f>
        <v>4627660.187700001</v>
      </c>
      <c r="I15" s="17">
        <f t="shared" si="4"/>
        <v>4673936.789577001</v>
      </c>
      <c r="J15" s="17">
        <f t="shared" si="4"/>
        <v>4720676.157472771</v>
      </c>
      <c r="K15" s="17">
        <f t="shared" si="4"/>
        <v>4767882.919047498</v>
      </c>
      <c r="L15" s="17">
        <f t="shared" si="4"/>
        <v>4815561.748237973</v>
      </c>
      <c r="M15" s="17">
        <f t="shared" si="4"/>
        <v>4863717.365720353</v>
      </c>
      <c r="N15" s="17">
        <f t="shared" si="4"/>
        <v>4912354.539377557</v>
      </c>
      <c r="O15" s="17">
        <f t="shared" si="4"/>
        <v>4961478.084771332</v>
      </c>
      <c r="P15" s="17">
        <f t="shared" si="4"/>
        <v>5011092.865619046</v>
      </c>
      <c r="Q15" s="17">
        <f t="shared" si="4"/>
        <v>5061203.794275236</v>
      </c>
      <c r="R15" s="17">
        <f t="shared" si="4"/>
        <v>5111815.832217989</v>
      </c>
      <c r="S15" s="17">
        <f t="shared" si="4"/>
        <v>5162933.990540168</v>
      </c>
      <c r="T15" s="17">
        <f t="shared" si="4"/>
        <v>5214563.33044557</v>
      </c>
      <c r="U15" s="17">
        <f t="shared" si="4"/>
        <v>5266708.963750025</v>
      </c>
      <c r="V15" s="17">
        <f t="shared" si="4"/>
        <v>5319376.0533875255</v>
      </c>
      <c r="W15" s="17">
        <f t="shared" si="4"/>
        <v>5372569.8139214</v>
      </c>
      <c r="X15" s="17">
        <f t="shared" si="4"/>
        <v>5426295.512060614</v>
      </c>
      <c r="Y15" s="17">
        <f t="shared" si="4"/>
        <v>5480558.467181221</v>
      </c>
      <c r="Z15" s="17">
        <f t="shared" si="4"/>
        <v>5535364.051853033</v>
      </c>
      <c r="AA15" s="15"/>
      <c r="AB15" s="15"/>
      <c r="AC15" s="15"/>
    </row>
    <row r="16" spans="1:26" ht="13.5" customHeight="1">
      <c r="A16" s="11" t="s">
        <v>43</v>
      </c>
      <c r="B16" s="12" t="s">
        <v>44</v>
      </c>
      <c r="C16" s="13">
        <v>19893594</v>
      </c>
      <c r="D16" s="13">
        <v>20335029</v>
      </c>
      <c r="E16" s="13">
        <v>19010518</v>
      </c>
      <c r="F16" s="13">
        <v>23519230</v>
      </c>
      <c r="G16" s="13">
        <f>F16*1.005</f>
        <v>23636826.15</v>
      </c>
      <c r="H16" s="13">
        <f aca="true" t="shared" si="5" ref="H16:Z17">G16*1.005</f>
        <v>23755010.280749995</v>
      </c>
      <c r="I16" s="13">
        <f t="shared" si="5"/>
        <v>23873785.33215374</v>
      </c>
      <c r="J16" s="13">
        <f t="shared" si="5"/>
        <v>23993154.258814506</v>
      </c>
      <c r="K16" s="13">
        <f t="shared" si="5"/>
        <v>24113120.030108575</v>
      </c>
      <c r="L16" s="13">
        <f t="shared" si="5"/>
        <v>24233685.630259115</v>
      </c>
      <c r="M16" s="13">
        <f t="shared" si="5"/>
        <v>24354854.05841041</v>
      </c>
      <c r="N16" s="13">
        <f t="shared" si="5"/>
        <v>24476628.32870246</v>
      </c>
      <c r="O16" s="13">
        <f t="shared" si="5"/>
        <v>24599011.47034597</v>
      </c>
      <c r="P16" s="13">
        <f t="shared" si="5"/>
        <v>24722006.527697697</v>
      </c>
      <c r="Q16" s="13">
        <f t="shared" si="5"/>
        <v>24845616.560336184</v>
      </c>
      <c r="R16" s="13">
        <f t="shared" si="5"/>
        <v>24969844.64313786</v>
      </c>
      <c r="S16" s="13">
        <f t="shared" si="5"/>
        <v>25094693.86635355</v>
      </c>
      <c r="T16" s="13">
        <f t="shared" si="5"/>
        <v>25220167.335685313</v>
      </c>
      <c r="U16" s="13">
        <f t="shared" si="5"/>
        <v>25346268.172363736</v>
      </c>
      <c r="V16" s="13">
        <f t="shared" si="5"/>
        <v>25472999.51322555</v>
      </c>
      <c r="W16" s="13">
        <f t="shared" si="5"/>
        <v>25600364.510791678</v>
      </c>
      <c r="X16" s="13">
        <f t="shared" si="5"/>
        <v>25728366.333345633</v>
      </c>
      <c r="Y16" s="13">
        <f t="shared" si="5"/>
        <v>25857008.16501236</v>
      </c>
      <c r="Z16" s="13">
        <f t="shared" si="5"/>
        <v>25986293.205837417</v>
      </c>
    </row>
    <row r="17" spans="1:26" ht="13.5" customHeight="1">
      <c r="A17" s="11" t="s">
        <v>45</v>
      </c>
      <c r="B17" s="12" t="s">
        <v>46</v>
      </c>
      <c r="C17" s="13">
        <v>6873698</v>
      </c>
      <c r="D17" s="13">
        <v>7166022</v>
      </c>
      <c r="E17" s="13">
        <v>5875026</v>
      </c>
      <c r="F17" s="13">
        <v>10134760</v>
      </c>
      <c r="G17" s="13">
        <f>F17*1.005</f>
        <v>10185433.799999999</v>
      </c>
      <c r="H17" s="13">
        <f>G17*1.005</f>
        <v>10236360.968999999</v>
      </c>
      <c r="I17" s="13">
        <f t="shared" si="5"/>
        <v>10287542.773844998</v>
      </c>
      <c r="J17" s="13">
        <f t="shared" si="5"/>
        <v>10338980.487714222</v>
      </c>
      <c r="K17" s="13">
        <f t="shared" si="5"/>
        <v>10390675.390152792</v>
      </c>
      <c r="L17" s="13">
        <f t="shared" si="5"/>
        <v>10442628.767103555</v>
      </c>
      <c r="M17" s="13">
        <f t="shared" si="5"/>
        <v>10494841.910939071</v>
      </c>
      <c r="N17" s="13">
        <f t="shared" si="5"/>
        <v>10547316.120493766</v>
      </c>
      <c r="O17" s="13">
        <f t="shared" si="5"/>
        <v>10600052.701096233</v>
      </c>
      <c r="P17" s="13">
        <f t="shared" si="5"/>
        <v>10653052.964601712</v>
      </c>
      <c r="Q17" s="13">
        <f t="shared" si="5"/>
        <v>10706318.22942472</v>
      </c>
      <c r="R17" s="13">
        <f t="shared" si="5"/>
        <v>10759849.820571844</v>
      </c>
      <c r="S17" s="13">
        <f t="shared" si="5"/>
        <v>10813649.069674702</v>
      </c>
      <c r="T17" s="13">
        <f t="shared" si="5"/>
        <v>10867717.315023074</v>
      </c>
      <c r="U17" s="13">
        <f t="shared" si="5"/>
        <v>10922055.901598189</v>
      </c>
      <c r="V17" s="13">
        <f t="shared" si="5"/>
        <v>10976666.181106178</v>
      </c>
      <c r="W17" s="13">
        <f t="shared" si="5"/>
        <v>11031549.512011709</v>
      </c>
      <c r="X17" s="13">
        <f t="shared" si="5"/>
        <v>11086707.259571766</v>
      </c>
      <c r="Y17" s="13">
        <f t="shared" si="5"/>
        <v>11142140.795869624</v>
      </c>
      <c r="Z17" s="13">
        <f t="shared" si="5"/>
        <v>11197851.499848971</v>
      </c>
    </row>
    <row r="18" spans="1:26" ht="13.5" customHeight="1">
      <c r="A18" s="11" t="s">
        <v>47</v>
      </c>
      <c r="B18" s="18" t="s">
        <v>48</v>
      </c>
      <c r="C18" s="19">
        <v>33653721</v>
      </c>
      <c r="D18" s="19">
        <v>36182161</v>
      </c>
      <c r="E18" s="19">
        <v>33384525</v>
      </c>
      <c r="F18" s="19">
        <v>51534770</v>
      </c>
      <c r="G18" s="19">
        <v>44062770</v>
      </c>
      <c r="H18" s="19">
        <v>42585770</v>
      </c>
      <c r="I18" s="19">
        <v>43196770</v>
      </c>
      <c r="J18" s="19">
        <v>43592770</v>
      </c>
      <c r="K18" s="19">
        <f aca="true" t="shared" si="6" ref="K18:Z18">J18*1.002</f>
        <v>43679955.54</v>
      </c>
      <c r="L18" s="19">
        <f t="shared" si="6"/>
        <v>43767315.45108</v>
      </c>
      <c r="M18" s="19">
        <f>L18*1.002</f>
        <v>43854850.081982166</v>
      </c>
      <c r="N18" s="19">
        <f t="shared" si="6"/>
        <v>43942559.78214613</v>
      </c>
      <c r="O18" s="19">
        <f t="shared" si="6"/>
        <v>44030444.90171043</v>
      </c>
      <c r="P18" s="19">
        <f t="shared" si="6"/>
        <v>44118505.79151385</v>
      </c>
      <c r="Q18" s="19">
        <f t="shared" si="6"/>
        <v>44206742.80309688</v>
      </c>
      <c r="R18" s="19">
        <f t="shared" si="6"/>
        <v>44295156.28870308</v>
      </c>
      <c r="S18" s="19">
        <f>R18*1.002</f>
        <v>44383746.60128048</v>
      </c>
      <c r="T18" s="19">
        <f t="shared" si="6"/>
        <v>44472514.09448304</v>
      </c>
      <c r="U18" s="19">
        <f t="shared" si="6"/>
        <v>44561459.12267201</v>
      </c>
      <c r="V18" s="19">
        <f t="shared" si="6"/>
        <v>44650582.04091735</v>
      </c>
      <c r="W18" s="19">
        <f t="shared" si="6"/>
        <v>44739883.204999186</v>
      </c>
      <c r="X18" s="19">
        <f t="shared" si="6"/>
        <v>44829362.97140919</v>
      </c>
      <c r="Y18" s="19">
        <f>X18*1.002</f>
        <v>44919021.69735201</v>
      </c>
      <c r="Z18" s="19">
        <f t="shared" si="6"/>
        <v>45008859.740746714</v>
      </c>
    </row>
    <row r="19" spans="1:26" ht="13.5" customHeight="1">
      <c r="A19" s="11" t="s">
        <v>49</v>
      </c>
      <c r="B19" s="18" t="s">
        <v>50</v>
      </c>
      <c r="C19" s="19" t="e">
        <f aca="true" t="shared" si="7" ref="C19:Z19">C20+C24+C28+C29+C30</f>
        <v>#NAME?</v>
      </c>
      <c r="D19" s="19" t="e">
        <f t="shared" si="7"/>
        <v>#NAME?</v>
      </c>
      <c r="E19" s="19" t="e">
        <f t="shared" si="7"/>
        <v>#NAME?</v>
      </c>
      <c r="F19" s="19" t="e">
        <f>F20+F24+F28+F29+F30</f>
        <v>#NAME?</v>
      </c>
      <c r="G19" s="19">
        <f t="shared" si="7"/>
        <v>1967897</v>
      </c>
      <c r="H19" s="19">
        <f t="shared" si="7"/>
        <v>2050545</v>
      </c>
      <c r="I19" s="19">
        <f t="shared" si="7"/>
        <v>2013545</v>
      </c>
      <c r="J19" s="19">
        <f t="shared" si="7"/>
        <v>2376545</v>
      </c>
      <c r="K19" s="19">
        <f t="shared" si="7"/>
        <v>2619545</v>
      </c>
      <c r="L19" s="19">
        <f t="shared" si="7"/>
        <v>2478554</v>
      </c>
      <c r="M19" s="19" t="e">
        <f t="shared" si="7"/>
        <v>#NAME?</v>
      </c>
      <c r="N19" s="19" t="e">
        <f t="shared" si="7"/>
        <v>#NAME?</v>
      </c>
      <c r="O19" s="19" t="e">
        <f t="shared" si="7"/>
        <v>#NAME?</v>
      </c>
      <c r="P19" s="19" t="e">
        <f t="shared" si="7"/>
        <v>#NAME?</v>
      </c>
      <c r="Q19" s="19" t="e">
        <f t="shared" si="7"/>
        <v>#NAME?</v>
      </c>
      <c r="R19" s="19" t="e">
        <f t="shared" si="7"/>
        <v>#NAME?</v>
      </c>
      <c r="S19" s="19" t="e">
        <f t="shared" si="7"/>
        <v>#NAME?</v>
      </c>
      <c r="T19" s="19" t="e">
        <f t="shared" si="7"/>
        <v>#NAME?</v>
      </c>
      <c r="U19" s="19" t="e">
        <f t="shared" si="7"/>
        <v>#NAME?</v>
      </c>
      <c r="V19" s="19" t="e">
        <f t="shared" si="7"/>
        <v>#NAME?</v>
      </c>
      <c r="W19" s="19" t="e">
        <f t="shared" si="7"/>
        <v>#NAME?</v>
      </c>
      <c r="X19" s="19" t="e">
        <f t="shared" si="7"/>
        <v>#NAME?</v>
      </c>
      <c r="Y19" s="19" t="e">
        <f t="shared" si="7"/>
        <v>#NAME?</v>
      </c>
      <c r="Z19" s="19" t="e">
        <f t="shared" si="7"/>
        <v>#NAME?</v>
      </c>
    </row>
    <row r="20" spans="1:26" ht="26.25" customHeight="1">
      <c r="A20" s="11" t="s">
        <v>35</v>
      </c>
      <c r="B20" s="20" t="s">
        <v>51</v>
      </c>
      <c r="C20" s="13" t="e">
        <f aca="true" t="shared" si="8" ref="C20:Z20">SUM(C21:C23)</f>
        <v>#NAME?</v>
      </c>
      <c r="D20" s="13">
        <f t="shared" si="8"/>
        <v>1204002</v>
      </c>
      <c r="E20" s="13" t="e">
        <f t="shared" si="8"/>
        <v>#NAME?</v>
      </c>
      <c r="F20" s="13" t="e">
        <f t="shared" si="8"/>
        <v>#NAME?</v>
      </c>
      <c r="G20" s="13">
        <f t="shared" si="8"/>
        <v>1789727</v>
      </c>
      <c r="H20" s="13">
        <f t="shared" si="8"/>
        <v>1872375</v>
      </c>
      <c r="I20" s="13">
        <f t="shared" si="8"/>
        <v>1835375</v>
      </c>
      <c r="J20" s="13">
        <f t="shared" si="8"/>
        <v>1798375</v>
      </c>
      <c r="K20" s="13">
        <f t="shared" si="8"/>
        <v>2041375</v>
      </c>
      <c r="L20" s="13">
        <f t="shared" si="8"/>
        <v>2004375</v>
      </c>
      <c r="M20" s="13" t="e">
        <f t="shared" si="8"/>
        <v>#NAME?</v>
      </c>
      <c r="N20" s="13" t="e">
        <f t="shared" si="8"/>
        <v>#NAME?</v>
      </c>
      <c r="O20" s="13" t="e">
        <f t="shared" si="8"/>
        <v>#NAME?</v>
      </c>
      <c r="P20" s="13" t="e">
        <f t="shared" si="8"/>
        <v>#NAME?</v>
      </c>
      <c r="Q20" s="13" t="e">
        <f t="shared" si="8"/>
        <v>#NAME?</v>
      </c>
      <c r="R20" s="13" t="e">
        <f t="shared" si="8"/>
        <v>#NAME?</v>
      </c>
      <c r="S20" s="13" t="e">
        <f t="shared" si="8"/>
        <v>#NAME?</v>
      </c>
      <c r="T20" s="13" t="e">
        <f t="shared" si="8"/>
        <v>#NAME?</v>
      </c>
      <c r="U20" s="13" t="e">
        <f t="shared" si="8"/>
        <v>#NAME?</v>
      </c>
      <c r="V20" s="13" t="e">
        <f t="shared" si="8"/>
        <v>#NAME?</v>
      </c>
      <c r="W20" s="13" t="e">
        <f t="shared" si="8"/>
        <v>#NAME?</v>
      </c>
      <c r="X20" s="13" t="e">
        <f t="shared" si="8"/>
        <v>#NAME?</v>
      </c>
      <c r="Y20" s="13" t="e">
        <f t="shared" si="8"/>
        <v>#NAME?</v>
      </c>
      <c r="Z20" s="13" t="e">
        <f t="shared" si="8"/>
        <v>#NAME?</v>
      </c>
    </row>
    <row r="21" spans="1:26" ht="13.5" customHeight="1">
      <c r="A21" s="11" t="s">
        <v>37</v>
      </c>
      <c r="B21" s="12" t="s">
        <v>52</v>
      </c>
      <c r="C21" s="13" t="e">
        <f>"'[4]żródła finans.'!d27"+"'[4]żródła finans.'!d28"</f>
        <v>#NAME?</v>
      </c>
      <c r="D21" s="13">
        <v>438767</v>
      </c>
      <c r="E21" s="13">
        <v>0</v>
      </c>
      <c r="F21" s="13" t="e">
        <f>"'[4]żródła finans.'!e27"</f>
        <v>#NAME?</v>
      </c>
      <c r="G21" s="13">
        <v>511338</v>
      </c>
      <c r="H21" s="13">
        <f>430986+200000</f>
        <v>630986</v>
      </c>
      <c r="I21" s="13">
        <f>430986+200000</f>
        <v>630986</v>
      </c>
      <c r="J21" s="13">
        <f>430986+200000</f>
        <v>630986</v>
      </c>
      <c r="K21" s="13">
        <f>430986+480000</f>
        <v>910986</v>
      </c>
      <c r="L21" s="13">
        <f>430986+480000</f>
        <v>910986</v>
      </c>
      <c r="M21" s="13">
        <f>430986+480000</f>
        <v>910986</v>
      </c>
      <c r="N21" s="13">
        <f>362177+480000</f>
        <v>842177</v>
      </c>
      <c r="O21" s="13">
        <f aca="true" t="shared" si="9" ref="O21:T21">265848+480000</f>
        <v>745848</v>
      </c>
      <c r="P21" s="13">
        <f t="shared" si="9"/>
        <v>745848</v>
      </c>
      <c r="Q21" s="13">
        <f t="shared" si="9"/>
        <v>745848</v>
      </c>
      <c r="R21" s="13">
        <f t="shared" si="9"/>
        <v>745848</v>
      </c>
      <c r="S21" s="13">
        <f t="shared" si="9"/>
        <v>745848</v>
      </c>
      <c r="T21" s="13">
        <f t="shared" si="9"/>
        <v>745848</v>
      </c>
      <c r="U21" s="13">
        <v>265848</v>
      </c>
      <c r="V21" s="13">
        <v>265848</v>
      </c>
      <c r="W21" s="13">
        <v>265848</v>
      </c>
      <c r="X21" s="13">
        <v>265848</v>
      </c>
      <c r="Y21" s="13">
        <v>265848</v>
      </c>
      <c r="Z21" s="13">
        <v>155039</v>
      </c>
    </row>
    <row r="22" spans="1:26" ht="24" customHeight="1">
      <c r="A22" s="11" t="s">
        <v>39</v>
      </c>
      <c r="B22" s="20" t="s">
        <v>53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3.5" customHeight="1">
      <c r="A23" s="11" t="s">
        <v>41</v>
      </c>
      <c r="B23" s="12" t="s">
        <v>54</v>
      </c>
      <c r="C23" s="13">
        <v>646476</v>
      </c>
      <c r="D23" s="13">
        <v>765235</v>
      </c>
      <c r="E23" s="13" t="e">
        <f>E32*0.059</f>
        <v>#NAME?</v>
      </c>
      <c r="F23" s="13">
        <v>1089311</v>
      </c>
      <c r="G23" s="13">
        <v>1278389</v>
      </c>
      <c r="H23" s="13">
        <v>1241389</v>
      </c>
      <c r="I23" s="13">
        <v>1204389</v>
      </c>
      <c r="J23" s="13">
        <v>1167389</v>
      </c>
      <c r="K23" s="13">
        <v>1130389</v>
      </c>
      <c r="L23" s="13">
        <v>1093389</v>
      </c>
      <c r="M23" s="13" t="e">
        <f>K32*0.059+235200</f>
        <v>#NAME?</v>
      </c>
      <c r="N23" s="13" t="e">
        <f>L32*0.059+201600</f>
        <v>#NAME?</v>
      </c>
      <c r="O23" s="13" t="e">
        <f>M32*0.059+168000</f>
        <v>#NAME?</v>
      </c>
      <c r="P23" s="13" t="e">
        <f>N32*0.059+134400</f>
        <v>#NAME?</v>
      </c>
      <c r="Q23" s="13" t="e">
        <f>O32*0.059+100800</f>
        <v>#NAME?</v>
      </c>
      <c r="R23" s="13" t="e">
        <f>P32*0.059+67200</f>
        <v>#NAME?</v>
      </c>
      <c r="S23" s="13" t="e">
        <f>Q32*0.059+33600</f>
        <v>#NAME?</v>
      </c>
      <c r="T23" s="13" t="e">
        <f>R32*0.059+33600</f>
        <v>#NAME?</v>
      </c>
      <c r="U23" s="13" t="e">
        <f aca="true" t="shared" si="10" ref="U23:V23">S32*0.059</f>
        <v>#NAME?</v>
      </c>
      <c r="V23" s="13" t="e">
        <f t="shared" si="10"/>
        <v>#NAME?</v>
      </c>
      <c r="W23" s="13" t="e">
        <f>U32*0.059</f>
        <v>#NAME?</v>
      </c>
      <c r="X23" s="13" t="e">
        <f>V32*0.059</f>
        <v>#NAME?</v>
      </c>
      <c r="Y23" s="13" t="e">
        <f>W32*0.059</f>
        <v>#NAME?</v>
      </c>
      <c r="Z23" s="13" t="e">
        <f>X32*0.059</f>
        <v>#NAME?</v>
      </c>
    </row>
    <row r="24" spans="1:26" ht="22.5" customHeight="1">
      <c r="A24" s="11" t="s">
        <v>43</v>
      </c>
      <c r="B24" s="20" t="s">
        <v>55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3.5" customHeight="1">
      <c r="A25" s="11" t="s">
        <v>37</v>
      </c>
      <c r="B25" s="12" t="s">
        <v>52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49.5" customHeight="1">
      <c r="A26" s="11" t="s">
        <v>39</v>
      </c>
      <c r="B26" s="20" t="s">
        <v>53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3.5" customHeight="1">
      <c r="A27" s="11" t="s">
        <v>41</v>
      </c>
      <c r="B27" s="12" t="s">
        <v>54</v>
      </c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3.5" customHeight="1">
      <c r="A28" s="11" t="s">
        <v>45</v>
      </c>
      <c r="B28" s="12" t="s">
        <v>56</v>
      </c>
      <c r="C28" s="13"/>
      <c r="D28" s="13">
        <v>0</v>
      </c>
      <c r="E28" s="13">
        <v>288888</v>
      </c>
      <c r="F28" s="13">
        <v>178170</v>
      </c>
      <c r="G28" s="13">
        <v>178170</v>
      </c>
      <c r="H28" s="13">
        <v>178170</v>
      </c>
      <c r="I28" s="13">
        <v>178170</v>
      </c>
      <c r="J28" s="13">
        <v>178170</v>
      </c>
      <c r="K28" s="13">
        <v>178170</v>
      </c>
      <c r="L28" s="13">
        <v>74179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3.5" customHeight="1">
      <c r="A29" s="11" t="s">
        <v>57</v>
      </c>
      <c r="B29" s="12" t="s">
        <v>58</v>
      </c>
      <c r="C29" s="12"/>
      <c r="D29" s="12"/>
      <c r="E29" s="12"/>
      <c r="F29" s="12"/>
      <c r="G29" s="12"/>
      <c r="H29" s="12"/>
      <c r="I29" s="12"/>
      <c r="J29" s="13">
        <v>400000</v>
      </c>
      <c r="K29" s="13">
        <v>400000</v>
      </c>
      <c r="L29" s="13">
        <v>400000</v>
      </c>
      <c r="M29" s="13">
        <v>400000</v>
      </c>
      <c r="N29" s="13">
        <v>400000</v>
      </c>
      <c r="O29" s="13">
        <v>400000</v>
      </c>
      <c r="P29" s="13">
        <v>400000</v>
      </c>
      <c r="Q29" s="13">
        <v>400000</v>
      </c>
      <c r="R29" s="13">
        <v>400000</v>
      </c>
      <c r="S29" s="13">
        <v>400000</v>
      </c>
      <c r="T29" s="12"/>
      <c r="U29" s="12"/>
      <c r="V29" s="12"/>
      <c r="W29" s="12"/>
      <c r="X29" s="12"/>
      <c r="Y29" s="12"/>
      <c r="Z29" s="12"/>
    </row>
    <row r="30" spans="1:26" ht="13.5" customHeight="1">
      <c r="A30" s="11" t="s">
        <v>59</v>
      </c>
      <c r="B30" s="12" t="s">
        <v>60</v>
      </c>
      <c r="C30" s="13">
        <v>303888</v>
      </c>
      <c r="D30" s="13" t="e">
        <f>"'[4]żródła finans.'!e30"</f>
        <v>#NAME?</v>
      </c>
      <c r="E30" s="12"/>
      <c r="F30" s="13">
        <v>200000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3.5" customHeight="1">
      <c r="A31" s="11" t="s">
        <v>61</v>
      </c>
      <c r="B31" s="18" t="s">
        <v>62</v>
      </c>
      <c r="C31" s="19">
        <f aca="true" t="shared" si="11" ref="C31:Z31">C11-C18</f>
        <v>3213447</v>
      </c>
      <c r="D31" s="19">
        <f t="shared" si="11"/>
        <v>2453837</v>
      </c>
      <c r="E31" s="19">
        <f t="shared" si="11"/>
        <v>964010</v>
      </c>
      <c r="F31" s="19">
        <f t="shared" si="11"/>
        <v>-6456994</v>
      </c>
      <c r="G31" s="19">
        <f t="shared" si="11"/>
        <v>319174.80999999493</v>
      </c>
      <c r="H31" s="19">
        <f t="shared" si="11"/>
        <v>2068061.6183499917</v>
      </c>
      <c r="I31" s="19">
        <f t="shared" si="11"/>
        <v>1730807.8032847345</v>
      </c>
      <c r="J31" s="19">
        <f t="shared" si="11"/>
        <v>1610427.7630375922</v>
      </c>
      <c r="K31" s="19">
        <f t="shared" si="11"/>
        <v>1800749.8269353136</v>
      </c>
      <c r="L31" s="19">
        <f t="shared" si="11"/>
        <v>1992799.9739233553</v>
      </c>
      <c r="M31" s="19">
        <f t="shared" si="11"/>
        <v>2186592.5166919082</v>
      </c>
      <c r="N31" s="19">
        <f t="shared" si="11"/>
        <v>2382141.8943045065</v>
      </c>
      <c r="O31" s="19">
        <f t="shared" si="11"/>
        <v>2579462.664258741</v>
      </c>
      <c r="P31" s="19">
        <f t="shared" si="11"/>
        <v>2778569.517232783</v>
      </c>
      <c r="Q31" s="19">
        <f t="shared" si="11"/>
        <v>2979477.269190602</v>
      </c>
      <c r="R31" s="19">
        <f t="shared" si="11"/>
        <v>3182200.864812918</v>
      </c>
      <c r="S31" s="19">
        <f t="shared" si="11"/>
        <v>3386755.3786788434</v>
      </c>
      <c r="T31" s="19">
        <f t="shared" si="11"/>
        <v>3593156.016458586</v>
      </c>
      <c r="U31" s="19">
        <f t="shared" si="11"/>
        <v>3801418.116117656</v>
      </c>
      <c r="V31" s="19">
        <f t="shared" si="11"/>
        <v>4011557.149132535</v>
      </c>
      <c r="W31" s="19">
        <f t="shared" si="11"/>
        <v>4223588.721717872</v>
      </c>
      <c r="X31" s="19">
        <f t="shared" si="11"/>
        <v>4437528.576065563</v>
      </c>
      <c r="Y31" s="19">
        <f t="shared" si="11"/>
        <v>4653392.591595449</v>
      </c>
      <c r="Z31" s="19">
        <f t="shared" si="11"/>
        <v>4871196.612624168</v>
      </c>
    </row>
    <row r="32" spans="1:26" ht="13.5" customHeight="1">
      <c r="A32" s="11" t="s">
        <v>63</v>
      </c>
      <c r="B32" s="18" t="s">
        <v>64</v>
      </c>
      <c r="C32" s="19" t="e">
        <f>"'[4]prognoza dł. 8'!e32"</f>
        <v>#NAME?</v>
      </c>
      <c r="D32" s="19" t="e">
        <f>"'[4]prognoza dł. 8'!f32"</f>
        <v>#NAME?</v>
      </c>
      <c r="E32" s="19" t="e">
        <f>"'[4]prognoza dł. 8'!g32"</f>
        <v>#NAME?</v>
      </c>
      <c r="F32" s="19" t="e">
        <f>"'[4]prognoza dł. 8'!g32"</f>
        <v>#NAME?</v>
      </c>
      <c r="G32" s="19" t="e">
        <f>"'[4]prognoza dł. 8'!h32"</f>
        <v>#NAME?</v>
      </c>
      <c r="H32" s="19" t="e">
        <f>"'[4]prognoza dł. 8'!i32"</f>
        <v>#NAME?</v>
      </c>
      <c r="I32" s="19" t="e">
        <f>"'[4]prognoza dł. 8'!j32"</f>
        <v>#NAME?</v>
      </c>
      <c r="J32" s="19" t="e">
        <f>"'[4]prognoza dł. 8'!k32"</f>
        <v>#NAME?</v>
      </c>
      <c r="K32" s="19" t="e">
        <f>"'[4]prognoza dł. 8'!l32"</f>
        <v>#NAME?</v>
      </c>
      <c r="L32" s="19" t="e">
        <f>"'[4]prognoza dł. 8'!m32"</f>
        <v>#NAME?</v>
      </c>
      <c r="M32" s="19" t="e">
        <f>"'[4]prognoza dł. 8'!n32"</f>
        <v>#NAME?</v>
      </c>
      <c r="N32" s="19" t="e">
        <f>"'[4]prognoza dł. 8'!o32"</f>
        <v>#NAME?</v>
      </c>
      <c r="O32" s="19" t="e">
        <f>"'[4]prognoza dł. 8'!p32"</f>
        <v>#NAME?</v>
      </c>
      <c r="P32" s="19" t="e">
        <f>"'[4]prognoza dł. 8'!q32"</f>
        <v>#NAME?</v>
      </c>
      <c r="Q32" s="19" t="e">
        <f>"'[4]prognoza dł. 8'!r32"</f>
        <v>#NAME?</v>
      </c>
      <c r="R32" s="19" t="e">
        <f>"'[4]prognoza dł. 8'!s32"</f>
        <v>#NAME?</v>
      </c>
      <c r="S32" s="19" t="e">
        <f>"'[4]prognoza dł. 8'!t32"</f>
        <v>#NAME?</v>
      </c>
      <c r="T32" s="19" t="e">
        <f>"'[4]prognoza dł. 8'!u32"</f>
        <v>#NAME?</v>
      </c>
      <c r="U32" s="19" t="e">
        <f>"'[4]prognoza dł. 8'!v32"</f>
        <v>#NAME?</v>
      </c>
      <c r="V32" s="19" t="e">
        <f>"'[4]prognoza dł. 8'!w32"</f>
        <v>#NAME?</v>
      </c>
      <c r="W32" s="19" t="e">
        <f>"'[4]prognoza dł. 8'!x32"</f>
        <v>#NAME?</v>
      </c>
      <c r="X32" s="19" t="e">
        <f>"'[4]prognoza dł. 8'!y32"</f>
        <v>#NAME?</v>
      </c>
      <c r="Y32" s="19" t="e">
        <f>"'[4]prognoza dł. 8'!z32"</f>
        <v>#NAME?</v>
      </c>
      <c r="Z32" s="19" t="e">
        <f>"'[4]prognoza dł. 8'!aa32"</f>
        <v>#NAME?</v>
      </c>
    </row>
    <row r="33" spans="1:26" ht="50.25" customHeight="1">
      <c r="A33" s="11" t="s">
        <v>37</v>
      </c>
      <c r="B33" s="20" t="s">
        <v>65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0.25" customHeight="1">
      <c r="A34" s="11" t="s">
        <v>66</v>
      </c>
      <c r="B34" s="18" t="s">
        <v>67</v>
      </c>
      <c r="C34" s="21" t="e">
        <f aca="true" t="shared" si="12" ref="C34:Z34">C32/C11*100</f>
        <v>#NAME?</v>
      </c>
      <c r="D34" s="21" t="e">
        <f t="shared" si="12"/>
        <v>#NAME?</v>
      </c>
      <c r="E34" s="21" t="e">
        <f t="shared" si="12"/>
        <v>#NAME?</v>
      </c>
      <c r="F34" s="21" t="e">
        <f t="shared" si="12"/>
        <v>#NAME?</v>
      </c>
      <c r="G34" s="21" t="e">
        <f t="shared" si="12"/>
        <v>#NAME?</v>
      </c>
      <c r="H34" s="21" t="e">
        <f t="shared" si="12"/>
        <v>#NAME?</v>
      </c>
      <c r="I34" s="21" t="e">
        <f t="shared" si="12"/>
        <v>#NAME?</v>
      </c>
      <c r="J34" s="21" t="e">
        <f t="shared" si="12"/>
        <v>#NAME?</v>
      </c>
      <c r="K34" s="21" t="e">
        <f t="shared" si="12"/>
        <v>#NAME?</v>
      </c>
      <c r="L34" s="21" t="e">
        <f t="shared" si="12"/>
        <v>#NAME?</v>
      </c>
      <c r="M34" s="21" t="e">
        <f t="shared" si="12"/>
        <v>#NAME?</v>
      </c>
      <c r="N34" s="21" t="e">
        <f t="shared" si="12"/>
        <v>#NAME?</v>
      </c>
      <c r="O34" s="21" t="e">
        <f t="shared" si="12"/>
        <v>#NAME?</v>
      </c>
      <c r="P34" s="21" t="e">
        <f t="shared" si="12"/>
        <v>#NAME?</v>
      </c>
      <c r="Q34" s="21" t="e">
        <f t="shared" si="12"/>
        <v>#NAME?</v>
      </c>
      <c r="R34" s="21" t="e">
        <f t="shared" si="12"/>
        <v>#NAME?</v>
      </c>
      <c r="S34" s="21" t="e">
        <f t="shared" si="12"/>
        <v>#NAME?</v>
      </c>
      <c r="T34" s="21" t="e">
        <f t="shared" si="12"/>
        <v>#NAME?</v>
      </c>
      <c r="U34" s="21" t="e">
        <f t="shared" si="12"/>
        <v>#NAME?</v>
      </c>
      <c r="V34" s="21" t="e">
        <f t="shared" si="12"/>
        <v>#NAME?</v>
      </c>
      <c r="W34" s="21" t="e">
        <f t="shared" si="12"/>
        <v>#NAME?</v>
      </c>
      <c r="X34" s="21" t="e">
        <f t="shared" si="12"/>
        <v>#NAME?</v>
      </c>
      <c r="Y34" s="21" t="e">
        <f t="shared" si="12"/>
        <v>#NAME?</v>
      </c>
      <c r="Z34" s="21" t="e">
        <f t="shared" si="12"/>
        <v>#NAME?</v>
      </c>
    </row>
    <row r="35" spans="1:26" ht="26.25" customHeight="1">
      <c r="A35" s="11" t="s">
        <v>68</v>
      </c>
      <c r="B35" s="22" t="s">
        <v>69</v>
      </c>
      <c r="C35" s="21" t="e">
        <f aca="true" t="shared" si="13" ref="C35:Z35">(C21+C23+C28+C29)/C11*100</f>
        <v>#NAME?</v>
      </c>
      <c r="D35" s="21">
        <f t="shared" si="13"/>
        <v>3.116269961500671</v>
      </c>
      <c r="E35" s="21" t="e">
        <f t="shared" si="13"/>
        <v>#NAME?</v>
      </c>
      <c r="F35" s="21" t="e">
        <f t="shared" si="13"/>
        <v>#NAME?</v>
      </c>
      <c r="G35" s="21">
        <f t="shared" si="13"/>
        <v>4.434003530995785</v>
      </c>
      <c r="H35" s="21">
        <f t="shared" si="13"/>
        <v>4.592091934071233</v>
      </c>
      <c r="I35" s="21">
        <f t="shared" si="13"/>
        <v>4.481757304647718</v>
      </c>
      <c r="J35" s="21">
        <f t="shared" si="13"/>
        <v>5.257470970213722</v>
      </c>
      <c r="K35" s="21">
        <f t="shared" si="13"/>
        <v>5.759684197651916</v>
      </c>
      <c r="L35" s="21">
        <f t="shared" si="13"/>
        <v>5.416406792203405</v>
      </c>
      <c r="M35" s="21" t="e">
        <f t="shared" si="13"/>
        <v>#NAME?</v>
      </c>
      <c r="N35" s="21" t="e">
        <f t="shared" si="13"/>
        <v>#NAME?</v>
      </c>
      <c r="O35" s="21" t="e">
        <f t="shared" si="13"/>
        <v>#NAME?</v>
      </c>
      <c r="P35" s="21" t="e">
        <f t="shared" si="13"/>
        <v>#NAME?</v>
      </c>
      <c r="Q35" s="21" t="e">
        <f t="shared" si="13"/>
        <v>#NAME?</v>
      </c>
      <c r="R35" s="21" t="e">
        <f t="shared" si="13"/>
        <v>#NAME?</v>
      </c>
      <c r="S35" s="21" t="e">
        <f t="shared" si="13"/>
        <v>#NAME?</v>
      </c>
      <c r="T35" s="21" t="e">
        <f t="shared" si="13"/>
        <v>#NAME?</v>
      </c>
      <c r="U35" s="21" t="e">
        <f t="shared" si="13"/>
        <v>#NAME?</v>
      </c>
      <c r="V35" s="21" t="e">
        <f t="shared" si="13"/>
        <v>#NAME?</v>
      </c>
      <c r="W35" s="21" t="e">
        <f t="shared" si="13"/>
        <v>#NAME?</v>
      </c>
      <c r="X35" s="21" t="e">
        <f t="shared" si="13"/>
        <v>#NAME?</v>
      </c>
      <c r="Y35" s="21" t="e">
        <f t="shared" si="13"/>
        <v>#NAME?</v>
      </c>
      <c r="Z35" s="21" t="e">
        <f t="shared" si="13"/>
        <v>#NAME?</v>
      </c>
    </row>
    <row r="36" spans="1:26" ht="25.5" customHeight="1">
      <c r="A36" s="11" t="s">
        <v>70</v>
      </c>
      <c r="B36" s="22" t="s">
        <v>71</v>
      </c>
      <c r="C36" s="21" t="e">
        <f aca="true" t="shared" si="14" ref="C36:Z36">C32/C11*100</f>
        <v>#NAME?</v>
      </c>
      <c r="D36" s="21" t="e">
        <f t="shared" si="14"/>
        <v>#NAME?</v>
      </c>
      <c r="E36" s="21" t="e">
        <f t="shared" si="14"/>
        <v>#NAME?</v>
      </c>
      <c r="F36" s="21" t="e">
        <f t="shared" si="14"/>
        <v>#NAME?</v>
      </c>
      <c r="G36" s="21" t="e">
        <f t="shared" si="14"/>
        <v>#NAME?</v>
      </c>
      <c r="H36" s="21" t="e">
        <f t="shared" si="14"/>
        <v>#NAME?</v>
      </c>
      <c r="I36" s="21" t="e">
        <f t="shared" si="14"/>
        <v>#NAME?</v>
      </c>
      <c r="J36" s="21" t="e">
        <f t="shared" si="14"/>
        <v>#NAME?</v>
      </c>
      <c r="K36" s="21" t="e">
        <f t="shared" si="14"/>
        <v>#NAME?</v>
      </c>
      <c r="L36" s="21" t="e">
        <f t="shared" si="14"/>
        <v>#NAME?</v>
      </c>
      <c r="M36" s="21" t="e">
        <f t="shared" si="14"/>
        <v>#NAME?</v>
      </c>
      <c r="N36" s="21" t="e">
        <f t="shared" si="14"/>
        <v>#NAME?</v>
      </c>
      <c r="O36" s="21" t="e">
        <f t="shared" si="14"/>
        <v>#NAME?</v>
      </c>
      <c r="P36" s="21" t="e">
        <f t="shared" si="14"/>
        <v>#NAME?</v>
      </c>
      <c r="Q36" s="21" t="e">
        <f t="shared" si="14"/>
        <v>#NAME?</v>
      </c>
      <c r="R36" s="21" t="e">
        <f t="shared" si="14"/>
        <v>#NAME?</v>
      </c>
      <c r="S36" s="21" t="e">
        <f t="shared" si="14"/>
        <v>#NAME?</v>
      </c>
      <c r="T36" s="21" t="e">
        <f t="shared" si="14"/>
        <v>#NAME?</v>
      </c>
      <c r="U36" s="21" t="e">
        <f t="shared" si="14"/>
        <v>#NAME?</v>
      </c>
      <c r="V36" s="21" t="e">
        <f t="shared" si="14"/>
        <v>#NAME?</v>
      </c>
      <c r="W36" s="21" t="e">
        <f t="shared" si="14"/>
        <v>#NAME?</v>
      </c>
      <c r="X36" s="21" t="e">
        <f t="shared" si="14"/>
        <v>#NAME?</v>
      </c>
      <c r="Y36" s="21" t="e">
        <f t="shared" si="14"/>
        <v>#NAME?</v>
      </c>
      <c r="Z36" s="21" t="e">
        <f t="shared" si="14"/>
        <v>#NAME?</v>
      </c>
    </row>
    <row r="37" spans="1:26" ht="25.5" customHeight="1">
      <c r="A37" s="23" t="s">
        <v>72</v>
      </c>
      <c r="B37" s="24" t="s">
        <v>73</v>
      </c>
      <c r="C37" s="21" t="e">
        <f aca="true" t="shared" si="15" ref="C37:Z37">(C23+C21+C28+C29)/C11*100</f>
        <v>#NAME?</v>
      </c>
      <c r="D37" s="21">
        <f t="shared" si="15"/>
        <v>3.116269961500671</v>
      </c>
      <c r="E37" s="21" t="e">
        <f t="shared" si="15"/>
        <v>#NAME?</v>
      </c>
      <c r="F37" s="21" t="e">
        <f t="shared" si="15"/>
        <v>#NAME?</v>
      </c>
      <c r="G37" s="21">
        <f t="shared" si="15"/>
        <v>4.434003530995785</v>
      </c>
      <c r="H37" s="21">
        <f t="shared" si="15"/>
        <v>4.592091934071233</v>
      </c>
      <c r="I37" s="21">
        <f t="shared" si="15"/>
        <v>4.481757304647718</v>
      </c>
      <c r="J37" s="21">
        <f t="shared" si="15"/>
        <v>5.257470970213722</v>
      </c>
      <c r="K37" s="21">
        <f t="shared" si="15"/>
        <v>5.759684197651916</v>
      </c>
      <c r="L37" s="21">
        <f t="shared" si="15"/>
        <v>5.416406792203405</v>
      </c>
      <c r="M37" s="21" t="e">
        <f t="shared" si="15"/>
        <v>#NAME?</v>
      </c>
      <c r="N37" s="21" t="e">
        <f t="shared" si="15"/>
        <v>#NAME?</v>
      </c>
      <c r="O37" s="21" t="e">
        <f t="shared" si="15"/>
        <v>#NAME?</v>
      </c>
      <c r="P37" s="21" t="e">
        <f t="shared" si="15"/>
        <v>#NAME?</v>
      </c>
      <c r="Q37" s="21" t="e">
        <f t="shared" si="15"/>
        <v>#NAME?</v>
      </c>
      <c r="R37" s="21" t="e">
        <f t="shared" si="15"/>
        <v>#NAME?</v>
      </c>
      <c r="S37" s="21" t="e">
        <f t="shared" si="15"/>
        <v>#NAME?</v>
      </c>
      <c r="T37" s="21" t="e">
        <f t="shared" si="15"/>
        <v>#NAME?</v>
      </c>
      <c r="U37" s="21" t="e">
        <f t="shared" si="15"/>
        <v>#NAME?</v>
      </c>
      <c r="V37" s="21" t="e">
        <f t="shared" si="15"/>
        <v>#NAME?</v>
      </c>
      <c r="W37" s="21" t="e">
        <f t="shared" si="15"/>
        <v>#NAME?</v>
      </c>
      <c r="X37" s="21" t="e">
        <f t="shared" si="15"/>
        <v>#NAME?</v>
      </c>
      <c r="Y37" s="21" t="e">
        <f t="shared" si="15"/>
        <v>#NAME?</v>
      </c>
      <c r="Z37" s="21" t="e">
        <f t="shared" si="15"/>
        <v>#NAME?</v>
      </c>
    </row>
  </sheetData>
  <mergeCells count="7">
    <mergeCell ref="A6:L6"/>
    <mergeCell ref="A8:A9"/>
    <mergeCell ref="B8:B9"/>
    <mergeCell ref="C8:C9"/>
    <mergeCell ref="D8:D9"/>
    <mergeCell ref="E8:L8"/>
    <mergeCell ref="M8:Z8"/>
  </mergeCells>
  <printOptions horizontalCentered="1" verticalCentered="1"/>
  <pageMargins left="0.19652777777777777" right="0.39375" top="0.25" bottom="0.5902777777777778" header="0.5118055555555555" footer="0.5118055555555555"/>
  <pageSetup horizontalDpi="300" verticalDpi="300" orientation="landscape" paperSize="9" scale="80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421875" style="437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7">
      <selection activeCell="I33" sqref="I33"/>
    </sheetView>
  </sheetViews>
  <sheetFormatPr defaultColWidth="10.28125" defaultRowHeight="9.75" customHeight="1"/>
  <cols>
    <col min="1" max="1" width="3.7109375" style="25" customWidth="1"/>
    <col min="2" max="2" width="39.421875" style="25" customWidth="1"/>
    <col min="3" max="5" width="0" style="25" hidden="1" customWidth="1"/>
    <col min="6" max="16" width="10.57421875" style="25" customWidth="1"/>
    <col min="17" max="17" width="10.7109375" style="25" customWidth="1"/>
    <col min="18" max="30" width="10.57421875" style="25" customWidth="1"/>
    <col min="31" max="42" width="11.140625" style="25" customWidth="1"/>
    <col min="43" max="16384" width="10.140625" style="25" customWidth="1"/>
  </cols>
  <sheetData>
    <row r="1" spans="4:25" ht="12" customHeight="1">
      <c r="D1" s="26"/>
      <c r="F1" s="27"/>
      <c r="K1" s="28" t="s">
        <v>74</v>
      </c>
      <c r="Y1" s="28" t="s">
        <v>74</v>
      </c>
    </row>
    <row r="2" spans="1:25" ht="12" customHeight="1">
      <c r="A2" s="29"/>
      <c r="B2" s="30"/>
      <c r="C2" s="29"/>
      <c r="D2" s="26"/>
      <c r="F2" s="27"/>
      <c r="K2" s="28" t="s">
        <v>75</v>
      </c>
      <c r="Y2" s="28" t="s">
        <v>75</v>
      </c>
    </row>
    <row r="3" spans="1:25" ht="12" customHeight="1">
      <c r="A3" s="29"/>
      <c r="B3" s="30"/>
      <c r="D3" s="26"/>
      <c r="F3" s="27"/>
      <c r="K3" s="28" t="s">
        <v>2</v>
      </c>
      <c r="Y3" s="28" t="s">
        <v>2</v>
      </c>
    </row>
    <row r="4" spans="1:25" ht="12" customHeight="1">
      <c r="A4" s="29"/>
      <c r="B4" s="30"/>
      <c r="D4" s="26"/>
      <c r="F4" s="27"/>
      <c r="K4" s="28" t="s">
        <v>76</v>
      </c>
      <c r="Y4" s="28" t="s">
        <v>76</v>
      </c>
    </row>
    <row r="5" spans="1:6" ht="12" customHeight="1">
      <c r="A5" s="29"/>
      <c r="B5" s="30"/>
      <c r="D5" s="26"/>
      <c r="E5" s="28"/>
      <c r="F5" s="27"/>
    </row>
    <row r="6" spans="1:5" ht="9.75" customHeight="1">
      <c r="A6" s="29"/>
      <c r="B6" s="30"/>
      <c r="D6" s="26"/>
      <c r="E6" s="26"/>
    </row>
    <row r="7" spans="1:5" ht="9.75" customHeight="1">
      <c r="A7" s="29"/>
      <c r="B7" s="30"/>
      <c r="D7" s="26"/>
      <c r="E7" s="26"/>
    </row>
    <row r="8" spans="1:5" ht="9.75" customHeight="1">
      <c r="A8" s="29"/>
      <c r="B8" s="30"/>
      <c r="D8" s="26"/>
      <c r="E8" s="26"/>
    </row>
    <row r="9" spans="1:6" ht="9.75" customHeight="1">
      <c r="A9" s="29"/>
      <c r="B9" s="30"/>
      <c r="D9" s="31"/>
      <c r="E9" s="29"/>
      <c r="F9" s="29"/>
    </row>
    <row r="10" spans="2:27" ht="12.75" customHeight="1">
      <c r="B10" s="32" t="s">
        <v>77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77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6" ht="9.75" customHeight="1">
      <c r="A11" s="29"/>
      <c r="B11" s="33"/>
      <c r="C11" s="29"/>
      <c r="D11" s="29"/>
      <c r="E11" s="29"/>
      <c r="F11" s="29"/>
    </row>
    <row r="12" spans="1:6" ht="9.75" customHeight="1">
      <c r="A12" s="29"/>
      <c r="B12" s="33"/>
      <c r="C12" s="29"/>
      <c r="D12" s="29"/>
      <c r="E12" s="29"/>
      <c r="F12" s="29"/>
    </row>
    <row r="13" spans="1:6" ht="9.75" customHeight="1">
      <c r="A13" s="29"/>
      <c r="B13" s="30"/>
      <c r="C13" s="29"/>
      <c r="D13" s="29"/>
      <c r="E13" s="29"/>
      <c r="F13" s="29"/>
    </row>
    <row r="14" spans="13:27" ht="10.5" customHeight="1">
      <c r="M14" s="34" t="s">
        <v>78</v>
      </c>
      <c r="AA14" s="34" t="s">
        <v>78</v>
      </c>
    </row>
    <row r="15" spans="1:27" ht="12.75" customHeight="1">
      <c r="A15" s="35"/>
      <c r="B15" s="36"/>
      <c r="C15" s="37"/>
      <c r="D15" s="38" t="s">
        <v>79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9"/>
      <c r="R15" s="39"/>
      <c r="S15" s="39"/>
      <c r="T15" s="39" t="s">
        <v>79</v>
      </c>
      <c r="U15" s="39"/>
      <c r="V15" s="39"/>
      <c r="W15" s="39"/>
      <c r="X15" s="39"/>
      <c r="Y15" s="39"/>
      <c r="Z15" s="39"/>
      <c r="AA15" s="40"/>
    </row>
    <row r="16" spans="1:27" ht="12" customHeight="1">
      <c r="A16" s="41"/>
      <c r="B16" s="42" t="s">
        <v>80</v>
      </c>
      <c r="C16" s="43" t="s">
        <v>81</v>
      </c>
      <c r="D16" s="44"/>
      <c r="E16" s="45" t="s">
        <v>82</v>
      </c>
      <c r="F16" s="46" t="s">
        <v>83</v>
      </c>
      <c r="G16" s="47"/>
      <c r="H16" s="48"/>
      <c r="I16" s="47"/>
      <c r="J16" s="48"/>
      <c r="K16" s="47"/>
      <c r="L16" s="48"/>
      <c r="M16" s="48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48"/>
      <c r="Y16" s="47"/>
      <c r="Z16" s="48"/>
      <c r="AA16" s="49"/>
    </row>
    <row r="17" spans="1:27" ht="12" customHeight="1">
      <c r="A17" s="50" t="s">
        <v>6</v>
      </c>
      <c r="B17" s="42" t="s">
        <v>84</v>
      </c>
      <c r="C17" s="42" t="s">
        <v>85</v>
      </c>
      <c r="D17" s="43" t="s">
        <v>81</v>
      </c>
      <c r="E17" s="45"/>
      <c r="F17" s="42">
        <v>2008</v>
      </c>
      <c r="G17" s="43">
        <v>2009</v>
      </c>
      <c r="H17" s="42">
        <v>2010</v>
      </c>
      <c r="I17" s="51">
        <v>2011</v>
      </c>
      <c r="J17" s="42">
        <v>2012</v>
      </c>
      <c r="K17" s="51">
        <v>2013</v>
      </c>
      <c r="L17" s="42">
        <v>2014</v>
      </c>
      <c r="M17" s="42">
        <v>2015</v>
      </c>
      <c r="N17" s="42">
        <v>2016</v>
      </c>
      <c r="O17" s="51">
        <v>2017</v>
      </c>
      <c r="P17" s="42">
        <v>2018</v>
      </c>
      <c r="Q17" s="51">
        <v>2019</v>
      </c>
      <c r="R17" s="42">
        <v>2020</v>
      </c>
      <c r="S17" s="51">
        <v>2021</v>
      </c>
      <c r="T17" s="42">
        <v>2022</v>
      </c>
      <c r="U17" s="51">
        <v>2023</v>
      </c>
      <c r="V17" s="42">
        <v>2024</v>
      </c>
      <c r="W17" s="51">
        <v>2025</v>
      </c>
      <c r="X17" s="42">
        <v>2026</v>
      </c>
      <c r="Y17" s="51">
        <v>2027</v>
      </c>
      <c r="Z17" s="42">
        <v>2028</v>
      </c>
      <c r="AA17" s="52">
        <v>2029</v>
      </c>
    </row>
    <row r="18" spans="1:27" ht="12" customHeight="1">
      <c r="A18" s="41"/>
      <c r="B18" s="44"/>
      <c r="C18" s="43" t="s">
        <v>86</v>
      </c>
      <c r="D18" s="42" t="s">
        <v>87</v>
      </c>
      <c r="E18" s="45"/>
      <c r="F18" s="53"/>
      <c r="G18" s="54"/>
      <c r="H18" s="53"/>
      <c r="I18" s="54"/>
      <c r="J18" s="53"/>
      <c r="K18" s="54"/>
      <c r="L18" s="53"/>
      <c r="M18" s="53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5"/>
    </row>
    <row r="19" spans="1:27" ht="12.75" customHeight="1">
      <c r="A19" s="56"/>
      <c r="B19" s="57"/>
      <c r="C19" s="58"/>
      <c r="D19" s="58"/>
      <c r="E19" s="45"/>
      <c r="F19" s="59"/>
      <c r="G19" s="60"/>
      <c r="H19" s="59"/>
      <c r="I19" s="60"/>
      <c r="J19" s="59"/>
      <c r="K19" s="60"/>
      <c r="L19" s="59"/>
      <c r="M19" s="59"/>
      <c r="N19" s="59"/>
      <c r="O19" s="60"/>
      <c r="P19" s="59"/>
      <c r="Q19" s="60"/>
      <c r="R19" s="59"/>
      <c r="S19" s="60"/>
      <c r="T19" s="59"/>
      <c r="U19" s="60"/>
      <c r="V19" s="59"/>
      <c r="W19" s="60"/>
      <c r="X19" s="59"/>
      <c r="Y19" s="60"/>
      <c r="Z19" s="59"/>
      <c r="AA19" s="61"/>
    </row>
    <row r="20" spans="1:27" s="66" customFormat="1" ht="12" customHeight="1">
      <c r="A20" s="62">
        <v>1</v>
      </c>
      <c r="B20" s="63">
        <v>2</v>
      </c>
      <c r="C20" s="63">
        <v>3</v>
      </c>
      <c r="D20" s="63">
        <v>4</v>
      </c>
      <c r="E20" s="64">
        <v>5</v>
      </c>
      <c r="F20" s="63">
        <v>6</v>
      </c>
      <c r="G20" s="64">
        <v>7</v>
      </c>
      <c r="H20" s="63">
        <v>8</v>
      </c>
      <c r="I20" s="64">
        <v>9</v>
      </c>
      <c r="J20" s="63">
        <v>10</v>
      </c>
      <c r="K20" s="64">
        <v>11</v>
      </c>
      <c r="L20" s="63">
        <v>12</v>
      </c>
      <c r="M20" s="63">
        <v>13</v>
      </c>
      <c r="N20" s="63">
        <v>14</v>
      </c>
      <c r="O20" s="64">
        <v>15</v>
      </c>
      <c r="P20" s="63">
        <v>16</v>
      </c>
      <c r="Q20" s="64">
        <v>17</v>
      </c>
      <c r="R20" s="63">
        <v>18</v>
      </c>
      <c r="S20" s="64">
        <v>19</v>
      </c>
      <c r="T20" s="63">
        <v>20</v>
      </c>
      <c r="U20" s="64">
        <v>21</v>
      </c>
      <c r="V20" s="63">
        <v>22</v>
      </c>
      <c r="W20" s="64">
        <v>23</v>
      </c>
      <c r="X20" s="63">
        <v>24</v>
      </c>
      <c r="Y20" s="64">
        <v>25</v>
      </c>
      <c r="Z20" s="63">
        <v>26</v>
      </c>
      <c r="AA20" s="65">
        <v>27</v>
      </c>
    </row>
    <row r="21" spans="1:27" ht="12.75" customHeight="1">
      <c r="A21" s="67" t="s">
        <v>37</v>
      </c>
      <c r="B21" s="68" t="s">
        <v>88</v>
      </c>
      <c r="C21" s="69">
        <v>0</v>
      </c>
      <c r="D21" s="70">
        <v>0</v>
      </c>
      <c r="E21" s="71">
        <v>4000000</v>
      </c>
      <c r="F21" s="70">
        <v>4000000</v>
      </c>
      <c r="G21" s="72">
        <v>4000000</v>
      </c>
      <c r="H21" s="70">
        <v>4000000</v>
      </c>
      <c r="I21" s="72">
        <v>4000000</v>
      </c>
      <c r="J21" s="70">
        <v>4000000</v>
      </c>
      <c r="K21" s="73" t="e">
        <f>J21-"'[2]sytuacja finans.'!j29"</f>
        <v>#NAME?</v>
      </c>
      <c r="L21" s="73" t="e">
        <f>K21-"'[2]sytuacja finans.'!k29"</f>
        <v>#NAME?</v>
      </c>
      <c r="M21" s="73" t="e">
        <f>L21-"'[2]sytuacja finans.'!l29"</f>
        <v>#NAME?</v>
      </c>
      <c r="N21" s="73" t="e">
        <f>M21-"'[2]sytuacja finans.'!m29"</f>
        <v>#NAME?</v>
      </c>
      <c r="O21" s="73" t="e">
        <f>N21-"'[2]sytuacja finans.'!n29"</f>
        <v>#NAME?</v>
      </c>
      <c r="P21" s="73" t="e">
        <f>O21-"'[2]sytuacja finans.'!o29"</f>
        <v>#NAME?</v>
      </c>
      <c r="Q21" s="73" t="e">
        <f>P21-"'[2]sytuacja finans.'!p29"</f>
        <v>#NAME?</v>
      </c>
      <c r="R21" s="73" t="e">
        <f>Q21-"'[2]sytuacja finans.'!q29"</f>
        <v>#NAME?</v>
      </c>
      <c r="S21" s="73" t="e">
        <f>R21-"'[2]sytuacja finans.'!r29"</f>
        <v>#NAME?</v>
      </c>
      <c r="T21" s="73" t="e">
        <f>S21-"'[2]sytuacja finans.'!s29"</f>
        <v>#NAME?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4">
        <v>0</v>
      </c>
    </row>
    <row r="22" spans="1:27" ht="12.75" customHeight="1">
      <c r="A22" s="75" t="s">
        <v>39</v>
      </c>
      <c r="B22" s="76" t="s">
        <v>89</v>
      </c>
      <c r="C22" s="77">
        <v>11018970</v>
      </c>
      <c r="D22" s="78">
        <v>11468903</v>
      </c>
      <c r="E22" s="79">
        <v>7478903</v>
      </c>
      <c r="F22" s="78" t="e">
        <f>E22-"'[1]żródła finans.'!d27"</f>
        <v>#NAME?</v>
      </c>
      <c r="G22" s="78" t="e">
        <f>F22-"'[1]żródła finans.'!e27"+"'[1]żródła finans.'!e18"</f>
        <v>#NAME?</v>
      </c>
      <c r="H22" s="78" t="e">
        <f>G22-"'[3]sytuacja finans.'!g21"</f>
        <v>#NAME?</v>
      </c>
      <c r="I22" s="78" t="e">
        <f>H22-"'[3]sytuacja finans.'!h21"</f>
        <v>#NAME?</v>
      </c>
      <c r="J22" s="78" t="e">
        <f>I22-"'[3]sytuacja finans.'!i21"</f>
        <v>#NAME?</v>
      </c>
      <c r="K22" s="78" t="e">
        <f>J22-"'[3]sytuacja finans.'!j21"</f>
        <v>#NAME?</v>
      </c>
      <c r="L22" s="78" t="e">
        <f>K22-"'[3]sytuacja finans.'!k21"</f>
        <v>#NAME?</v>
      </c>
      <c r="M22" s="78" t="e">
        <f>L22-"'[3]sytuacja finans.'!l21"</f>
        <v>#NAME?</v>
      </c>
      <c r="N22" s="78" t="e">
        <f>M22-"'[3]sytuacja finans.'!m21"</f>
        <v>#NAME?</v>
      </c>
      <c r="O22" s="78" t="e">
        <f>N22-"'[3]sytuacja finans.'!n21"</f>
        <v>#NAME?</v>
      </c>
      <c r="P22" s="78" t="e">
        <f>O22-"'[3]sytuacja finans.'!o21"</f>
        <v>#NAME?</v>
      </c>
      <c r="Q22" s="78" t="e">
        <f>P22-"'[3]sytuacja finans.'!p21"</f>
        <v>#NAME?</v>
      </c>
      <c r="R22" s="78" t="e">
        <f>Q22-"'[3]sytuacja finans.'!q21"</f>
        <v>#NAME?</v>
      </c>
      <c r="S22" s="78" t="e">
        <f>R22-"'[3]sytuacja finans.'!r21"</f>
        <v>#NAME?</v>
      </c>
      <c r="T22" s="78" t="e">
        <f>S22-"'[3]sytuacja finans.'!s21"</f>
        <v>#NAME?</v>
      </c>
      <c r="U22" s="78" t="e">
        <f>T22-"'[3]sytuacja finans.'!t21"</f>
        <v>#NAME?</v>
      </c>
      <c r="V22" s="78" t="e">
        <f>U22-"'[3]sytuacja finans.'!u21"</f>
        <v>#NAME?</v>
      </c>
      <c r="W22" s="78" t="e">
        <f>V22-"'[3]sytuacja finans.'!v21"</f>
        <v>#NAME?</v>
      </c>
      <c r="X22" s="78" t="e">
        <f>W22-"'[3]sytuacja finans.'!w21"</f>
        <v>#NAME?</v>
      </c>
      <c r="Y22" s="78" t="e">
        <f>X22-"'[3]sytuacja finans.'!x21"</f>
        <v>#NAME?</v>
      </c>
      <c r="Z22" s="78" t="e">
        <f>Y22-"'[3]sytuacja finans.'!y21"</f>
        <v>#NAME?</v>
      </c>
      <c r="AA22" s="78" t="e">
        <f>Z22-"'[3]sytuacja finans.'!z21"</f>
        <v>#NAME?</v>
      </c>
    </row>
    <row r="23" spans="1:27" ht="12.75" customHeight="1">
      <c r="A23" s="80" t="s">
        <v>41</v>
      </c>
      <c r="B23" s="68" t="s">
        <v>90</v>
      </c>
      <c r="C23" s="69">
        <v>171248</v>
      </c>
      <c r="D23" s="70">
        <v>20000</v>
      </c>
      <c r="E23" s="71">
        <v>10000</v>
      </c>
      <c r="F23" s="70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2">
        <v>0</v>
      </c>
      <c r="M23" s="82">
        <v>0</v>
      </c>
      <c r="N23" s="82">
        <v>0</v>
      </c>
      <c r="O23" s="83">
        <v>0</v>
      </c>
      <c r="P23" s="82">
        <v>0</v>
      </c>
      <c r="Q23" s="83">
        <v>0</v>
      </c>
      <c r="R23" s="82">
        <v>0</v>
      </c>
      <c r="S23" s="83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4">
        <v>0</v>
      </c>
    </row>
    <row r="24" spans="1:27" ht="12.75" customHeight="1">
      <c r="A24" s="75" t="s">
        <v>91</v>
      </c>
      <c r="B24" s="76" t="s">
        <v>92</v>
      </c>
      <c r="C24" s="77"/>
      <c r="D24" s="78"/>
      <c r="E24" s="79"/>
      <c r="F24" s="78"/>
      <c r="G24" s="85"/>
      <c r="H24" s="81"/>
      <c r="I24" s="85"/>
      <c r="J24" s="81"/>
      <c r="K24" s="85"/>
      <c r="L24" s="81"/>
      <c r="M24" s="81"/>
      <c r="N24" s="81"/>
      <c r="O24" s="85"/>
      <c r="P24" s="81"/>
      <c r="Q24" s="85"/>
      <c r="R24" s="81"/>
      <c r="S24" s="85"/>
      <c r="T24" s="81"/>
      <c r="U24" s="81"/>
      <c r="V24" s="81"/>
      <c r="W24" s="81"/>
      <c r="X24" s="81"/>
      <c r="Y24" s="81"/>
      <c r="Z24" s="81"/>
      <c r="AA24" s="86"/>
    </row>
    <row r="25" spans="1:27" ht="12.75" customHeight="1">
      <c r="A25" s="80" t="s">
        <v>93</v>
      </c>
      <c r="B25" s="68" t="s">
        <v>94</v>
      </c>
      <c r="C25" s="69">
        <v>0</v>
      </c>
      <c r="D25" s="70">
        <f aca="true" t="shared" si="0" ref="D25:AA25">D30</f>
        <v>0</v>
      </c>
      <c r="E25" s="71">
        <f t="shared" si="0"/>
        <v>0</v>
      </c>
      <c r="F25" s="70">
        <f t="shared" si="0"/>
        <v>0</v>
      </c>
      <c r="G25" s="83">
        <f t="shared" si="0"/>
        <v>0</v>
      </c>
      <c r="H25" s="82">
        <f t="shared" si="0"/>
        <v>0</v>
      </c>
      <c r="I25" s="83">
        <f t="shared" si="0"/>
        <v>0</v>
      </c>
      <c r="J25" s="82">
        <f t="shared" si="0"/>
        <v>0</v>
      </c>
      <c r="K25" s="83">
        <f t="shared" si="0"/>
        <v>0</v>
      </c>
      <c r="L25" s="82">
        <f t="shared" si="0"/>
        <v>0</v>
      </c>
      <c r="M25" s="82">
        <f t="shared" si="0"/>
        <v>0</v>
      </c>
      <c r="N25" s="82">
        <f t="shared" si="0"/>
        <v>0</v>
      </c>
      <c r="O25" s="83">
        <f t="shared" si="0"/>
        <v>0</v>
      </c>
      <c r="P25" s="82">
        <f t="shared" si="0"/>
        <v>0</v>
      </c>
      <c r="Q25" s="83">
        <f t="shared" si="0"/>
        <v>0</v>
      </c>
      <c r="R25" s="82">
        <f t="shared" si="0"/>
        <v>0</v>
      </c>
      <c r="S25" s="83">
        <f t="shared" si="0"/>
        <v>0</v>
      </c>
      <c r="T25" s="82">
        <f t="shared" si="0"/>
        <v>0</v>
      </c>
      <c r="U25" s="82">
        <f t="shared" si="0"/>
        <v>0</v>
      </c>
      <c r="V25" s="82">
        <f t="shared" si="0"/>
        <v>0</v>
      </c>
      <c r="W25" s="82">
        <f t="shared" si="0"/>
        <v>0</v>
      </c>
      <c r="X25" s="82">
        <f t="shared" si="0"/>
        <v>0</v>
      </c>
      <c r="Y25" s="82">
        <f t="shared" si="0"/>
        <v>0</v>
      </c>
      <c r="Z25" s="82">
        <f t="shared" si="0"/>
        <v>0</v>
      </c>
      <c r="AA25" s="84">
        <f t="shared" si="0"/>
        <v>0</v>
      </c>
    </row>
    <row r="26" spans="1:27" ht="12.75" customHeight="1">
      <c r="A26" s="80"/>
      <c r="B26" s="68" t="s">
        <v>95</v>
      </c>
      <c r="C26" s="69"/>
      <c r="D26" s="70"/>
      <c r="E26" s="71"/>
      <c r="F26" s="70"/>
      <c r="G26" s="83"/>
      <c r="H26" s="82"/>
      <c r="I26" s="83"/>
      <c r="J26" s="82"/>
      <c r="K26" s="83"/>
      <c r="L26" s="82"/>
      <c r="M26" s="82"/>
      <c r="N26" s="82"/>
      <c r="O26" s="83"/>
      <c r="P26" s="82"/>
      <c r="Q26" s="83"/>
      <c r="R26" s="82"/>
      <c r="S26" s="83"/>
      <c r="T26" s="82"/>
      <c r="U26" s="82"/>
      <c r="V26" s="82"/>
      <c r="W26" s="82"/>
      <c r="X26" s="82"/>
      <c r="Y26" s="82"/>
      <c r="Z26" s="82"/>
      <c r="AA26" s="84"/>
    </row>
    <row r="27" spans="1:27" ht="12.75" customHeight="1">
      <c r="A27" s="80"/>
      <c r="B27" s="68" t="s">
        <v>96</v>
      </c>
      <c r="C27" s="69"/>
      <c r="D27" s="70"/>
      <c r="E27" s="71"/>
      <c r="F27" s="70"/>
      <c r="G27" s="83"/>
      <c r="H27" s="82"/>
      <c r="I27" s="83"/>
      <c r="J27" s="82"/>
      <c r="K27" s="83"/>
      <c r="L27" s="82"/>
      <c r="M27" s="82"/>
      <c r="N27" s="82"/>
      <c r="O27" s="83"/>
      <c r="P27" s="82"/>
      <c r="Q27" s="83"/>
      <c r="R27" s="82"/>
      <c r="S27" s="83"/>
      <c r="T27" s="82"/>
      <c r="U27" s="82"/>
      <c r="V27" s="82"/>
      <c r="W27" s="82"/>
      <c r="X27" s="82"/>
      <c r="Y27" s="82"/>
      <c r="Z27" s="82"/>
      <c r="AA27" s="84"/>
    </row>
    <row r="28" spans="1:27" ht="12.75" customHeight="1">
      <c r="A28" s="80"/>
      <c r="B28" s="76" t="s">
        <v>97</v>
      </c>
      <c r="C28" s="77"/>
      <c r="D28" s="78"/>
      <c r="E28" s="79"/>
      <c r="F28" s="78"/>
      <c r="G28" s="85"/>
      <c r="H28" s="81"/>
      <c r="I28" s="85"/>
      <c r="J28" s="81"/>
      <c r="K28" s="85"/>
      <c r="L28" s="81"/>
      <c r="M28" s="81"/>
      <c r="N28" s="81"/>
      <c r="O28" s="85"/>
      <c r="P28" s="81"/>
      <c r="Q28" s="85"/>
      <c r="R28" s="81"/>
      <c r="S28" s="85"/>
      <c r="T28" s="81"/>
      <c r="U28" s="81"/>
      <c r="V28" s="81"/>
      <c r="W28" s="81"/>
      <c r="X28" s="81"/>
      <c r="Y28" s="81"/>
      <c r="Z28" s="81"/>
      <c r="AA28" s="86"/>
    </row>
    <row r="29" spans="1:27" ht="12.75" customHeight="1">
      <c r="A29" s="80"/>
      <c r="B29" s="68" t="s">
        <v>98</v>
      </c>
      <c r="C29" s="69"/>
      <c r="D29" s="70"/>
      <c r="E29" s="71"/>
      <c r="F29" s="70"/>
      <c r="G29" s="83"/>
      <c r="H29" s="82"/>
      <c r="I29" s="83"/>
      <c r="J29" s="82"/>
      <c r="K29" s="83"/>
      <c r="L29" s="82"/>
      <c r="M29" s="82"/>
      <c r="N29" s="82"/>
      <c r="O29" s="83"/>
      <c r="P29" s="82"/>
      <c r="Q29" s="83"/>
      <c r="R29" s="82"/>
      <c r="S29" s="83"/>
      <c r="T29" s="82"/>
      <c r="U29" s="82"/>
      <c r="V29" s="82"/>
      <c r="W29" s="82"/>
      <c r="X29" s="82"/>
      <c r="Y29" s="82"/>
      <c r="Z29" s="82"/>
      <c r="AA29" s="84"/>
    </row>
    <row r="30" spans="1:27" ht="12.75" customHeight="1">
      <c r="A30" s="80"/>
      <c r="B30" s="76" t="s">
        <v>99</v>
      </c>
      <c r="C30" s="87"/>
      <c r="D30" s="78"/>
      <c r="E30" s="79"/>
      <c r="F30" s="78"/>
      <c r="G30" s="85"/>
      <c r="H30" s="81"/>
      <c r="I30" s="85"/>
      <c r="J30" s="81"/>
      <c r="K30" s="85"/>
      <c r="L30" s="81"/>
      <c r="M30" s="81"/>
      <c r="N30" s="81"/>
      <c r="O30" s="85"/>
      <c r="P30" s="81"/>
      <c r="Q30" s="85"/>
      <c r="R30" s="81"/>
      <c r="S30" s="85"/>
      <c r="T30" s="81"/>
      <c r="U30" s="81"/>
      <c r="V30" s="81"/>
      <c r="W30" s="81"/>
      <c r="X30" s="81"/>
      <c r="Y30" s="81"/>
      <c r="Z30" s="81"/>
      <c r="AA30" s="86"/>
    </row>
    <row r="31" spans="1:27" ht="12.75" customHeight="1">
      <c r="A31" s="80"/>
      <c r="B31" s="88" t="s">
        <v>100</v>
      </c>
      <c r="C31" s="89"/>
      <c r="D31" s="90"/>
      <c r="E31" s="91"/>
      <c r="F31" s="90"/>
      <c r="G31" s="92"/>
      <c r="H31" s="93"/>
      <c r="I31" s="92"/>
      <c r="J31" s="93"/>
      <c r="K31" s="92"/>
      <c r="L31" s="93"/>
      <c r="M31" s="93"/>
      <c r="N31" s="93"/>
      <c r="O31" s="92"/>
      <c r="P31" s="93"/>
      <c r="Q31" s="92"/>
      <c r="R31" s="93"/>
      <c r="S31" s="92"/>
      <c r="T31" s="93"/>
      <c r="U31" s="93"/>
      <c r="V31" s="93"/>
      <c r="W31" s="93"/>
      <c r="X31" s="93"/>
      <c r="Y31" s="93"/>
      <c r="Z31" s="93"/>
      <c r="AA31" s="94"/>
    </row>
    <row r="32" spans="1:27" ht="12.75" customHeight="1">
      <c r="A32" s="75" t="s">
        <v>101</v>
      </c>
      <c r="B32" s="76" t="s">
        <v>102</v>
      </c>
      <c r="C32" s="95">
        <f aca="true" t="shared" si="1" ref="C32:AA32">SUM(C21:C25)</f>
        <v>11190218</v>
      </c>
      <c r="D32" s="96">
        <f t="shared" si="1"/>
        <v>11488903</v>
      </c>
      <c r="E32" s="97">
        <f t="shared" si="1"/>
        <v>11488903</v>
      </c>
      <c r="F32" s="96" t="e">
        <f>SUM(F21:F25)</f>
        <v>#NAME?</v>
      </c>
      <c r="G32" s="98" t="e">
        <f>SUM(G21:G25)</f>
        <v>#NAME?</v>
      </c>
      <c r="H32" s="99" t="e">
        <f t="shared" si="1"/>
        <v>#NAME?</v>
      </c>
      <c r="I32" s="98" t="e">
        <f t="shared" si="1"/>
        <v>#NAME?</v>
      </c>
      <c r="J32" s="99" t="e">
        <f t="shared" si="1"/>
        <v>#NAME?</v>
      </c>
      <c r="K32" s="98" t="e">
        <f t="shared" si="1"/>
        <v>#NAME?</v>
      </c>
      <c r="L32" s="99" t="e">
        <f t="shared" si="1"/>
        <v>#NAME?</v>
      </c>
      <c r="M32" s="99" t="e">
        <f t="shared" si="1"/>
        <v>#NAME?</v>
      </c>
      <c r="N32" s="99" t="e">
        <f t="shared" si="1"/>
        <v>#NAME?</v>
      </c>
      <c r="O32" s="98" t="e">
        <f t="shared" si="1"/>
        <v>#NAME?</v>
      </c>
      <c r="P32" s="99" t="e">
        <f t="shared" si="1"/>
        <v>#NAME?</v>
      </c>
      <c r="Q32" s="98" t="e">
        <f t="shared" si="1"/>
        <v>#NAME?</v>
      </c>
      <c r="R32" s="99" t="e">
        <f t="shared" si="1"/>
        <v>#NAME?</v>
      </c>
      <c r="S32" s="98" t="e">
        <f t="shared" si="1"/>
        <v>#NAME?</v>
      </c>
      <c r="T32" s="99" t="e">
        <f t="shared" si="1"/>
        <v>#NAME?</v>
      </c>
      <c r="U32" s="99" t="e">
        <f t="shared" si="1"/>
        <v>#NAME?</v>
      </c>
      <c r="V32" s="99" t="e">
        <f t="shared" si="1"/>
        <v>#NAME?</v>
      </c>
      <c r="W32" s="99" t="e">
        <f t="shared" si="1"/>
        <v>#NAME?</v>
      </c>
      <c r="X32" s="99" t="e">
        <f t="shared" si="1"/>
        <v>#NAME?</v>
      </c>
      <c r="Y32" s="99" t="e">
        <f t="shared" si="1"/>
        <v>#NAME?</v>
      </c>
      <c r="Z32" s="99" t="e">
        <f t="shared" si="1"/>
        <v>#NAME?</v>
      </c>
      <c r="AA32" s="100" t="e">
        <f t="shared" si="1"/>
        <v>#NAME?</v>
      </c>
    </row>
    <row r="33" spans="1:27" ht="13.5" customHeight="1">
      <c r="A33" s="101" t="s">
        <v>103</v>
      </c>
      <c r="B33" s="102" t="s">
        <v>104</v>
      </c>
      <c r="C33" s="103">
        <v>32826290</v>
      </c>
      <c r="D33" s="104">
        <v>37952654</v>
      </c>
      <c r="E33" s="105" t="e">
        <f>"'[3]sytuacja finans.'!c11"</f>
        <v>#NAME?</v>
      </c>
      <c r="F33" s="106" t="e">
        <f>"'[1]sytuacja finans.'!d11"</f>
        <v>#NAME?</v>
      </c>
      <c r="G33" s="106" t="e">
        <f>"'[1]sytuacja finans.'!f11"</f>
        <v>#NAME?</v>
      </c>
      <c r="H33" s="106" t="e">
        <f>"'[1]sytuacja finans.'!g11"</f>
        <v>#NAME?</v>
      </c>
      <c r="I33" s="106" t="e">
        <f>"'[1]sytuacja finans.'!h11"</f>
        <v>#NAME?</v>
      </c>
      <c r="J33" s="106" t="e">
        <f>"'[1]sytuacja finans.'!i11"</f>
        <v>#NAME?</v>
      </c>
      <c r="K33" s="106" t="e">
        <f>"'[1]sytuacja finans.'!j11"</f>
        <v>#NAME?</v>
      </c>
      <c r="L33" s="106" t="e">
        <f>"'[1]sytuacja finans.'!k11"</f>
        <v>#NAME?</v>
      </c>
      <c r="M33" s="106" t="e">
        <f>"'[1]sytuacja finans.'!l11"</f>
        <v>#NAME?</v>
      </c>
      <c r="N33" s="106" t="e">
        <f>"'[1]sytuacja finans.'!m11"</f>
        <v>#NAME?</v>
      </c>
      <c r="O33" s="106" t="e">
        <f>"'[1]sytuacja finans.'!n11"</f>
        <v>#NAME?</v>
      </c>
      <c r="P33" s="106" t="e">
        <f>"'[1]sytuacja finans.'!o11"</f>
        <v>#NAME?</v>
      </c>
      <c r="Q33" s="106" t="e">
        <f>"'[1]sytuacja finans.'!p11"</f>
        <v>#NAME?</v>
      </c>
      <c r="R33" s="106" t="e">
        <f>"'[1]sytuacja finans.'!q11"</f>
        <v>#NAME?</v>
      </c>
      <c r="S33" s="106" t="e">
        <f>"'[1]sytuacja finans.'!r11"</f>
        <v>#NAME?</v>
      </c>
      <c r="T33" s="106" t="e">
        <f>"'[1]sytuacja finans.'!s11"</f>
        <v>#NAME?</v>
      </c>
      <c r="U33" s="106" t="e">
        <f>"'[1]sytuacja finans.'!t11"</f>
        <v>#NAME?</v>
      </c>
      <c r="V33" s="106" t="e">
        <f>"'[1]sytuacja finans.'!u11"</f>
        <v>#NAME?</v>
      </c>
      <c r="W33" s="106" t="e">
        <f>"'[1]sytuacja finans.'!v11"</f>
        <v>#NAME?</v>
      </c>
      <c r="X33" s="106" t="e">
        <f>"'[1]sytuacja finans.'!w11"</f>
        <v>#NAME?</v>
      </c>
      <c r="Y33" s="106" t="e">
        <f>"'[1]sytuacja finans.'!x11"</f>
        <v>#NAME?</v>
      </c>
      <c r="Z33" s="104" t="e">
        <f>"'[1]sytuacja finans.'!y11"</f>
        <v>#NAME?</v>
      </c>
      <c r="AA33" s="107" t="e">
        <f>"'[1]sytuacja finans.'!z11"</f>
        <v>#NAME?</v>
      </c>
    </row>
    <row r="34" spans="1:27" ht="13.5" customHeight="1">
      <c r="A34" s="108" t="s">
        <v>105</v>
      </c>
      <c r="B34" s="109" t="s">
        <v>106</v>
      </c>
      <c r="C34" s="110">
        <f aca="true" t="shared" si="2" ref="C34:AA34">C32/C33*100</f>
        <v>34.08919497146952</v>
      </c>
      <c r="D34" s="111">
        <f t="shared" si="2"/>
        <v>30.271672173440095</v>
      </c>
      <c r="E34" s="111" t="e">
        <f t="shared" si="2"/>
        <v>#NAME?</v>
      </c>
      <c r="F34" s="111" t="e">
        <f t="shared" si="2"/>
        <v>#NAME?</v>
      </c>
      <c r="G34" s="112" t="e">
        <f t="shared" si="2"/>
        <v>#NAME?</v>
      </c>
      <c r="H34" s="111" t="e">
        <f t="shared" si="2"/>
        <v>#NAME?</v>
      </c>
      <c r="I34" s="112" t="e">
        <f t="shared" si="2"/>
        <v>#NAME?</v>
      </c>
      <c r="J34" s="111" t="e">
        <f t="shared" si="2"/>
        <v>#NAME?</v>
      </c>
      <c r="K34" s="112" t="e">
        <f t="shared" si="2"/>
        <v>#NAME?</v>
      </c>
      <c r="L34" s="111" t="e">
        <f t="shared" si="2"/>
        <v>#NAME?</v>
      </c>
      <c r="M34" s="111" t="e">
        <f t="shared" si="2"/>
        <v>#NAME?</v>
      </c>
      <c r="N34" s="111" t="e">
        <f t="shared" si="2"/>
        <v>#NAME?</v>
      </c>
      <c r="O34" s="112" t="e">
        <f t="shared" si="2"/>
        <v>#NAME?</v>
      </c>
      <c r="P34" s="111" t="e">
        <f t="shared" si="2"/>
        <v>#NAME?</v>
      </c>
      <c r="Q34" s="112" t="e">
        <f t="shared" si="2"/>
        <v>#NAME?</v>
      </c>
      <c r="R34" s="111" t="e">
        <f t="shared" si="2"/>
        <v>#NAME?</v>
      </c>
      <c r="S34" s="113" t="e">
        <f t="shared" si="2"/>
        <v>#NAME?</v>
      </c>
      <c r="T34" s="111" t="e">
        <f t="shared" si="2"/>
        <v>#NAME?</v>
      </c>
      <c r="U34" s="111" t="e">
        <f t="shared" si="2"/>
        <v>#NAME?</v>
      </c>
      <c r="V34" s="111" t="e">
        <f t="shared" si="2"/>
        <v>#NAME?</v>
      </c>
      <c r="W34" s="111" t="e">
        <f t="shared" si="2"/>
        <v>#NAME?</v>
      </c>
      <c r="X34" s="111" t="e">
        <f t="shared" si="2"/>
        <v>#NAME?</v>
      </c>
      <c r="Y34" s="111" t="e">
        <f t="shared" si="2"/>
        <v>#NAME?</v>
      </c>
      <c r="Z34" s="111" t="e">
        <f t="shared" si="2"/>
        <v>#NAME?</v>
      </c>
      <c r="AA34" s="114" t="e">
        <f t="shared" si="2"/>
        <v>#NAME?</v>
      </c>
    </row>
    <row r="35" ht="9.75" customHeight="1">
      <c r="C35" s="115"/>
    </row>
  </sheetData>
  <mergeCells count="4">
    <mergeCell ref="B10:M10"/>
    <mergeCell ref="N10:AA10"/>
    <mergeCell ref="D15:M15"/>
    <mergeCell ref="E16:E19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3"/>
  <sheetViews>
    <sheetView zoomScaleSheetLayoutView="100" workbookViewId="0" topLeftCell="A46">
      <selection activeCell="F110" sqref="F110"/>
    </sheetView>
  </sheetViews>
  <sheetFormatPr defaultColWidth="10.28125" defaultRowHeight="9.75" customHeight="1"/>
  <cols>
    <col min="1" max="1" width="7.00390625" style="25" customWidth="1"/>
    <col min="2" max="2" width="7.8515625" style="25" customWidth="1"/>
    <col min="3" max="3" width="6.57421875" style="25" customWidth="1"/>
    <col min="4" max="4" width="54.00390625" style="25" customWidth="1"/>
    <col min="5" max="5" width="15.00390625" style="25" customWidth="1"/>
    <col min="6" max="6" width="15.421875" style="25" customWidth="1"/>
    <col min="7" max="16384" width="10.140625" style="25" customWidth="1"/>
  </cols>
  <sheetData>
    <row r="1" spans="5:6" ht="12" customHeight="1">
      <c r="E1" s="28" t="s">
        <v>107</v>
      </c>
      <c r="F1" s="27"/>
    </row>
    <row r="2" spans="5:6" ht="12" customHeight="1">
      <c r="E2" s="28" t="s">
        <v>108</v>
      </c>
      <c r="F2" s="27"/>
    </row>
    <row r="3" spans="4:6" ht="12" customHeight="1">
      <c r="D3" s="26"/>
      <c r="E3" s="28" t="s">
        <v>2</v>
      </c>
      <c r="F3" s="27"/>
    </row>
    <row r="4" spans="4:6" ht="12" customHeight="1">
      <c r="D4" s="26"/>
      <c r="E4" s="28" t="s">
        <v>109</v>
      </c>
      <c r="F4" s="27"/>
    </row>
    <row r="5" spans="4:6" ht="8.25" customHeight="1">
      <c r="D5" s="26"/>
      <c r="E5" s="28"/>
      <c r="F5" s="28"/>
    </row>
    <row r="6" spans="1:6" ht="15.75" customHeight="1">
      <c r="A6" s="116" t="s">
        <v>110</v>
      </c>
      <c r="B6" s="116"/>
      <c r="C6" s="116"/>
      <c r="D6" s="116"/>
      <c r="E6" s="116"/>
      <c r="F6" s="116"/>
    </row>
    <row r="7" spans="1:6" ht="15.75" customHeight="1">
      <c r="A7" s="116" t="s">
        <v>111</v>
      </c>
      <c r="B7" s="116"/>
      <c r="C7" s="116"/>
      <c r="D7" s="116"/>
      <c r="E7" s="116"/>
      <c r="F7" s="116"/>
    </row>
    <row r="8" spans="1:6" ht="12.75" customHeight="1">
      <c r="A8" s="116" t="s">
        <v>112</v>
      </c>
      <c r="B8" s="116"/>
      <c r="C8" s="116"/>
      <c r="D8" s="116"/>
      <c r="E8" s="116"/>
      <c r="F8" s="116"/>
    </row>
    <row r="9" spans="1:6" ht="8.25" customHeight="1">
      <c r="A9" s="26"/>
      <c r="B9" s="26"/>
      <c r="C9" s="26"/>
      <c r="D9" s="26"/>
      <c r="E9" s="26"/>
      <c r="F9" s="34" t="s">
        <v>113</v>
      </c>
    </row>
    <row r="10" spans="1:6" ht="12.75" customHeight="1">
      <c r="A10" s="117" t="s">
        <v>114</v>
      </c>
      <c r="B10" s="117"/>
      <c r="C10" s="117"/>
      <c r="D10" s="118" t="s">
        <v>115</v>
      </c>
      <c r="E10" s="118" t="s">
        <v>116</v>
      </c>
      <c r="F10" s="119" t="s">
        <v>117</v>
      </c>
    </row>
    <row r="11" spans="1:6" ht="11.25" customHeight="1">
      <c r="A11" s="120" t="s">
        <v>118</v>
      </c>
      <c r="B11" s="121" t="s">
        <v>119</v>
      </c>
      <c r="C11" s="121" t="s">
        <v>120</v>
      </c>
      <c r="D11" s="118"/>
      <c r="E11" s="118"/>
      <c r="F11" s="119"/>
    </row>
    <row r="12" spans="1:6" ht="12.75" customHeight="1" hidden="1">
      <c r="A12" s="120"/>
      <c r="B12" s="121"/>
      <c r="C12" s="121"/>
      <c r="D12" s="121"/>
      <c r="E12" s="121"/>
      <c r="F12" s="119"/>
    </row>
    <row r="13" spans="1:6" ht="10.5" customHeight="1">
      <c r="A13" s="122">
        <v>1</v>
      </c>
      <c r="B13" s="123">
        <v>2</v>
      </c>
      <c r="C13" s="124">
        <v>3</v>
      </c>
      <c r="D13" s="123">
        <v>4</v>
      </c>
      <c r="E13" s="123">
        <v>5</v>
      </c>
      <c r="F13" s="125">
        <v>6</v>
      </c>
    </row>
    <row r="14" spans="1:6" ht="12" customHeight="1">
      <c r="A14" s="126">
        <v>600</v>
      </c>
      <c r="B14" s="127"/>
      <c r="C14" s="127"/>
      <c r="D14" s="128" t="s">
        <v>121</v>
      </c>
      <c r="E14" s="129">
        <f>E15</f>
        <v>2583000</v>
      </c>
      <c r="F14" s="130" t="e">
        <f>F15</f>
        <v>#NAME?</v>
      </c>
    </row>
    <row r="15" spans="1:6" ht="12" customHeight="1">
      <c r="A15" s="131"/>
      <c r="B15" s="132">
        <v>60014</v>
      </c>
      <c r="C15" s="132"/>
      <c r="D15" s="133" t="s">
        <v>122</v>
      </c>
      <c r="E15" s="134">
        <f>E16</f>
        <v>2583000</v>
      </c>
      <c r="F15" s="135" t="e">
        <f>F18+F20</f>
        <v>#NAME?</v>
      </c>
    </row>
    <row r="16" spans="1:6" ht="12" customHeight="1">
      <c r="A16" s="131"/>
      <c r="B16" s="136"/>
      <c r="C16" s="136">
        <v>2310</v>
      </c>
      <c r="D16" s="137" t="s">
        <v>123</v>
      </c>
      <c r="E16" s="138">
        <v>2583000</v>
      </c>
      <c r="F16" s="139"/>
    </row>
    <row r="17" spans="1:6" ht="12" customHeight="1">
      <c r="A17" s="131"/>
      <c r="B17" s="136"/>
      <c r="C17" s="136"/>
      <c r="D17" s="137" t="s">
        <v>124</v>
      </c>
      <c r="E17" s="140"/>
      <c r="F17" s="139"/>
    </row>
    <row r="18" spans="1:6" ht="12" customHeight="1">
      <c r="A18" s="131"/>
      <c r="B18" s="136"/>
      <c r="C18" s="136">
        <v>2310</v>
      </c>
      <c r="D18" s="137" t="s">
        <v>125</v>
      </c>
      <c r="E18" s="141"/>
      <c r="F18" s="142" t="e">
        <f>"'[1]wydatki ukł.wyk.'!f40"</f>
        <v>#NAME?</v>
      </c>
    </row>
    <row r="19" spans="1:6" ht="12" customHeight="1">
      <c r="A19" s="131"/>
      <c r="B19" s="136"/>
      <c r="C19" s="136"/>
      <c r="D19" s="137" t="s">
        <v>124</v>
      </c>
      <c r="E19" s="141"/>
      <c r="F19" s="143"/>
    </row>
    <row r="20" spans="1:6" ht="12" customHeight="1">
      <c r="A20" s="131"/>
      <c r="B20" s="144"/>
      <c r="C20" s="136">
        <v>4270</v>
      </c>
      <c r="D20" s="137" t="s">
        <v>126</v>
      </c>
      <c r="E20" s="145"/>
      <c r="F20" s="146">
        <v>2583000</v>
      </c>
    </row>
    <row r="21" spans="1:6" ht="12" customHeight="1">
      <c r="A21" s="131"/>
      <c r="B21" s="144"/>
      <c r="C21" s="136"/>
      <c r="D21" s="137"/>
      <c r="E21" s="147"/>
      <c r="F21" s="148"/>
    </row>
    <row r="22" spans="1:6" ht="12" customHeight="1">
      <c r="A22" s="149">
        <v>630</v>
      </c>
      <c r="B22" s="150"/>
      <c r="C22" s="151"/>
      <c r="D22" s="152" t="s">
        <v>127</v>
      </c>
      <c r="E22" s="153"/>
      <c r="F22" s="154" t="e">
        <f>F23</f>
        <v>#NAME?</v>
      </c>
    </row>
    <row r="23" spans="1:6" ht="12" customHeight="1">
      <c r="A23" s="131"/>
      <c r="B23" s="155">
        <v>63003</v>
      </c>
      <c r="C23" s="156"/>
      <c r="D23" s="157" t="s">
        <v>128</v>
      </c>
      <c r="E23" s="158"/>
      <c r="F23" s="159" t="e">
        <f>F26+F24</f>
        <v>#NAME?</v>
      </c>
    </row>
    <row r="24" spans="1:6" ht="12" customHeight="1">
      <c r="A24" s="131"/>
      <c r="B24" s="144"/>
      <c r="C24" s="136">
        <v>2339</v>
      </c>
      <c r="D24" s="160" t="s">
        <v>129</v>
      </c>
      <c r="E24" s="161"/>
      <c r="F24" s="146">
        <v>88800</v>
      </c>
    </row>
    <row r="25" spans="1:6" ht="12" customHeight="1">
      <c r="A25" s="131"/>
      <c r="B25" s="144"/>
      <c r="C25" s="136"/>
      <c r="D25" s="137" t="s">
        <v>130</v>
      </c>
      <c r="E25" s="161"/>
      <c r="F25" s="146"/>
    </row>
    <row r="26" spans="1:6" ht="12" customHeight="1">
      <c r="A26" s="131"/>
      <c r="B26" s="144"/>
      <c r="C26" s="162" t="s">
        <v>131</v>
      </c>
      <c r="D26" s="137" t="s">
        <v>132</v>
      </c>
      <c r="E26" s="161"/>
      <c r="F26" s="146" t="e">
        <f>"'[1]wydatki ukł.wyk.'!f72"</f>
        <v>#NAME?</v>
      </c>
    </row>
    <row r="27" spans="1:6" ht="12" customHeight="1">
      <c r="A27" s="131"/>
      <c r="B27" s="144"/>
      <c r="C27" s="162"/>
      <c r="D27" s="137" t="s">
        <v>133</v>
      </c>
      <c r="E27" s="161"/>
      <c r="F27" s="163"/>
    </row>
    <row r="28" spans="1:6" ht="12" customHeight="1">
      <c r="A28" s="131"/>
      <c r="B28" s="144"/>
      <c r="C28" s="162"/>
      <c r="D28" s="137" t="s">
        <v>134</v>
      </c>
      <c r="E28" s="147"/>
      <c r="F28" s="148"/>
    </row>
    <row r="29" spans="1:6" ht="12" customHeight="1">
      <c r="A29" s="131"/>
      <c r="B29" s="144"/>
      <c r="C29" s="164"/>
      <c r="D29" s="137"/>
      <c r="E29" s="147"/>
      <c r="F29" s="148"/>
    </row>
    <row r="30" spans="1:6" ht="12" customHeight="1">
      <c r="A30" s="149">
        <v>750</v>
      </c>
      <c r="B30" s="150"/>
      <c r="C30" s="165"/>
      <c r="D30" s="152" t="s">
        <v>135</v>
      </c>
      <c r="E30" s="166"/>
      <c r="F30" s="154">
        <f>F31</f>
        <v>4557</v>
      </c>
    </row>
    <row r="31" spans="1:6" ht="12" customHeight="1">
      <c r="A31" s="131"/>
      <c r="B31" s="132">
        <v>75020</v>
      </c>
      <c r="C31" s="167"/>
      <c r="D31" s="168" t="s">
        <v>136</v>
      </c>
      <c r="E31" s="169"/>
      <c r="F31" s="170">
        <f>F32</f>
        <v>4557</v>
      </c>
    </row>
    <row r="32" spans="1:6" ht="12" customHeight="1">
      <c r="A32" s="131"/>
      <c r="B32" s="144"/>
      <c r="C32" s="136">
        <v>2339</v>
      </c>
      <c r="D32" s="160" t="s">
        <v>129</v>
      </c>
      <c r="E32" s="147"/>
      <c r="F32" s="146">
        <v>4557</v>
      </c>
    </row>
    <row r="33" spans="1:6" ht="12" customHeight="1">
      <c r="A33" s="131"/>
      <c r="B33" s="144"/>
      <c r="C33" s="136"/>
      <c r="D33" s="137" t="s">
        <v>130</v>
      </c>
      <c r="E33" s="147"/>
      <c r="F33" s="148"/>
    </row>
    <row r="34" spans="1:6" ht="12" customHeight="1">
      <c r="A34" s="131"/>
      <c r="B34" s="144"/>
      <c r="C34" s="136"/>
      <c r="D34" s="137"/>
      <c r="E34" s="147"/>
      <c r="F34" s="148"/>
    </row>
    <row r="35" spans="1:7" ht="12.75" customHeight="1">
      <c r="A35" s="171">
        <v>852</v>
      </c>
      <c r="B35" s="172"/>
      <c r="C35" s="173"/>
      <c r="D35" s="174" t="s">
        <v>137</v>
      </c>
      <c r="E35" s="175" t="e">
        <f>E36+E54</f>
        <v>#NAME?</v>
      </c>
      <c r="F35" s="176" t="e">
        <f>F36+F54</f>
        <v>#NAME?</v>
      </c>
      <c r="G35" s="177"/>
    </row>
    <row r="36" spans="1:7" ht="12" customHeight="1">
      <c r="A36" s="178"/>
      <c r="B36" s="179">
        <v>85201</v>
      </c>
      <c r="C36" s="180"/>
      <c r="D36" s="181" t="s">
        <v>138</v>
      </c>
      <c r="E36" s="182" t="e">
        <f>E37</f>
        <v>#NAME?</v>
      </c>
      <c r="F36" s="183" t="e">
        <f>SUM(F40:F52)</f>
        <v>#NAME?</v>
      </c>
      <c r="G36" s="177"/>
    </row>
    <row r="37" spans="1:7" ht="12" customHeight="1">
      <c r="A37" s="178"/>
      <c r="B37" s="184"/>
      <c r="C37" s="185">
        <v>2310</v>
      </c>
      <c r="D37" s="160" t="s">
        <v>139</v>
      </c>
      <c r="E37" s="82" t="e">
        <f>"'[1]dochody-ukł.wykon.'!f156"</f>
        <v>#NAME?</v>
      </c>
      <c r="F37" s="186"/>
      <c r="G37" s="177"/>
    </row>
    <row r="38" spans="1:7" ht="12" customHeight="1">
      <c r="A38" s="178"/>
      <c r="B38" s="184"/>
      <c r="C38" s="185"/>
      <c r="D38" s="137" t="s">
        <v>140</v>
      </c>
      <c r="E38" s="82"/>
      <c r="F38" s="187"/>
      <c r="G38" s="177"/>
    </row>
    <row r="39" spans="1:7" ht="12" customHeight="1">
      <c r="A39" s="178"/>
      <c r="B39" s="184"/>
      <c r="C39" s="185">
        <v>2310</v>
      </c>
      <c r="D39" s="160" t="s">
        <v>125</v>
      </c>
      <c r="E39" s="82"/>
      <c r="F39" s="187"/>
      <c r="G39" s="177"/>
    </row>
    <row r="40" spans="1:7" ht="12" customHeight="1">
      <c r="A40" s="178"/>
      <c r="B40" s="184"/>
      <c r="C40" s="185"/>
      <c r="D40" s="160" t="s">
        <v>124</v>
      </c>
      <c r="E40" s="82"/>
      <c r="F40" s="187" t="e">
        <f>"'[1]wydatki ukł.wyk.'!f360"</f>
        <v>#NAME?</v>
      </c>
      <c r="G40" s="177"/>
    </row>
    <row r="41" spans="1:7" ht="12" customHeight="1">
      <c r="A41" s="178"/>
      <c r="B41" s="184"/>
      <c r="C41" s="185">
        <v>4010</v>
      </c>
      <c r="D41" s="160" t="s">
        <v>141</v>
      </c>
      <c r="E41" s="82"/>
      <c r="F41" s="187">
        <v>136570</v>
      </c>
      <c r="G41" s="177"/>
    </row>
    <row r="42" spans="1:7" ht="12" customHeight="1">
      <c r="A42" s="178"/>
      <c r="B42" s="184"/>
      <c r="C42" s="185">
        <v>4110</v>
      </c>
      <c r="D42" s="160" t="s">
        <v>142</v>
      </c>
      <c r="E42" s="82"/>
      <c r="F42" s="187">
        <v>21142</v>
      </c>
      <c r="G42" s="177"/>
    </row>
    <row r="43" spans="1:7" ht="12" customHeight="1">
      <c r="A43" s="178"/>
      <c r="B43" s="184"/>
      <c r="C43" s="185">
        <v>4120</v>
      </c>
      <c r="D43" s="137" t="s">
        <v>143</v>
      </c>
      <c r="E43" s="82"/>
      <c r="F43" s="187">
        <v>3293</v>
      </c>
      <c r="G43" s="177"/>
    </row>
    <row r="44" spans="1:7" ht="12" customHeight="1">
      <c r="A44" s="178"/>
      <c r="B44" s="184"/>
      <c r="C44" s="185">
        <v>4210</v>
      </c>
      <c r="D44" s="160" t="s">
        <v>144</v>
      </c>
      <c r="E44" s="82"/>
      <c r="F44" s="187">
        <v>41130</v>
      </c>
      <c r="G44" s="177"/>
    </row>
    <row r="45" spans="1:7" ht="12" customHeight="1">
      <c r="A45" s="178"/>
      <c r="B45" s="184"/>
      <c r="C45" s="185">
        <v>4240</v>
      </c>
      <c r="D45" s="160" t="s">
        <v>145</v>
      </c>
      <c r="E45" s="82"/>
      <c r="F45" s="187">
        <v>3208</v>
      </c>
      <c r="G45" s="177"/>
    </row>
    <row r="46" spans="1:7" ht="12" customHeight="1">
      <c r="A46" s="178"/>
      <c r="B46" s="184"/>
      <c r="C46" s="185">
        <v>4260</v>
      </c>
      <c r="D46" s="160" t="s">
        <v>146</v>
      </c>
      <c r="E46" s="82"/>
      <c r="F46" s="187">
        <v>22451</v>
      </c>
      <c r="G46" s="177"/>
    </row>
    <row r="47" spans="1:7" ht="12" customHeight="1">
      <c r="A47" s="178"/>
      <c r="B47" s="184"/>
      <c r="C47" s="185">
        <v>4280</v>
      </c>
      <c r="D47" s="160" t="s">
        <v>147</v>
      </c>
      <c r="E47" s="82"/>
      <c r="F47" s="187">
        <v>1100</v>
      </c>
      <c r="G47" s="177"/>
    </row>
    <row r="48" spans="1:7" ht="12" customHeight="1">
      <c r="A48" s="178"/>
      <c r="B48" s="184"/>
      <c r="C48" s="185">
        <v>4300</v>
      </c>
      <c r="D48" s="160" t="s">
        <v>148</v>
      </c>
      <c r="E48" s="82"/>
      <c r="F48" s="187">
        <v>28900</v>
      </c>
      <c r="G48" s="177"/>
    </row>
    <row r="49" spans="1:7" ht="12.75" customHeight="1">
      <c r="A49" s="178"/>
      <c r="B49" s="184"/>
      <c r="C49" s="188">
        <v>4350</v>
      </c>
      <c r="D49" s="189" t="s">
        <v>149</v>
      </c>
      <c r="E49" s="82"/>
      <c r="F49" s="187">
        <v>1088</v>
      </c>
      <c r="G49" s="177"/>
    </row>
    <row r="50" spans="1:7" ht="12.75" customHeight="1">
      <c r="A50" s="178"/>
      <c r="B50" s="184"/>
      <c r="C50" s="185">
        <v>4370</v>
      </c>
      <c r="D50" s="189" t="s">
        <v>150</v>
      </c>
      <c r="E50" s="82"/>
      <c r="F50" s="187">
        <v>2264</v>
      </c>
      <c r="G50" s="177"/>
    </row>
    <row r="51" spans="1:7" ht="12.75" customHeight="1">
      <c r="A51" s="178"/>
      <c r="B51" s="184"/>
      <c r="C51" s="185">
        <v>4740</v>
      </c>
      <c r="D51" s="190" t="s">
        <v>151</v>
      </c>
      <c r="E51" s="82"/>
      <c r="F51" s="187">
        <v>930</v>
      </c>
      <c r="G51" s="177"/>
    </row>
    <row r="52" spans="1:7" ht="12.75" customHeight="1">
      <c r="A52" s="178"/>
      <c r="B52" s="184"/>
      <c r="C52" s="188">
        <v>4750</v>
      </c>
      <c r="D52" s="189" t="s">
        <v>152</v>
      </c>
      <c r="E52" s="82"/>
      <c r="F52" s="187">
        <v>1000</v>
      </c>
      <c r="G52" s="177"/>
    </row>
    <row r="53" spans="1:7" ht="12" customHeight="1">
      <c r="A53" s="178"/>
      <c r="B53" s="184"/>
      <c r="C53" s="191"/>
      <c r="D53" s="192"/>
      <c r="E53" s="193"/>
      <c r="F53" s="186"/>
      <c r="G53" s="177"/>
    </row>
    <row r="54" spans="1:6" ht="12" customHeight="1">
      <c r="A54" s="194"/>
      <c r="B54" s="195">
        <v>85204</v>
      </c>
      <c r="C54" s="196"/>
      <c r="D54" s="197" t="s">
        <v>153</v>
      </c>
      <c r="E54" s="93" t="e">
        <f>E55</f>
        <v>#NAME?</v>
      </c>
      <c r="F54" s="198" t="e">
        <f>F59+F57</f>
        <v>#NAME?</v>
      </c>
    </row>
    <row r="55" spans="1:6" ht="12" customHeight="1">
      <c r="A55" s="199"/>
      <c r="B55" s="200"/>
      <c r="C55" s="185">
        <v>2310</v>
      </c>
      <c r="D55" s="160" t="s">
        <v>139</v>
      </c>
      <c r="E55" s="82" t="e">
        <f>"'[1]dochody-ukł.wykon.'!f179"</f>
        <v>#NAME?</v>
      </c>
      <c r="F55" s="187"/>
    </row>
    <row r="56" spans="1:6" ht="12" customHeight="1">
      <c r="A56" s="199"/>
      <c r="B56" s="200"/>
      <c r="C56" s="185"/>
      <c r="D56" s="137" t="s">
        <v>140</v>
      </c>
      <c r="E56" s="82"/>
      <c r="F56" s="187"/>
    </row>
    <row r="57" spans="1:6" ht="12" customHeight="1">
      <c r="A57" s="199"/>
      <c r="B57" s="200"/>
      <c r="C57" s="185">
        <v>2310</v>
      </c>
      <c r="D57" s="160" t="s">
        <v>125</v>
      </c>
      <c r="E57" s="82"/>
      <c r="F57" s="187" t="e">
        <f>"'[1]wydatki ukł.wyk.'!f441"</f>
        <v>#NAME?</v>
      </c>
    </row>
    <row r="58" spans="1:6" ht="12" customHeight="1">
      <c r="A58" s="199"/>
      <c r="B58" s="200"/>
      <c r="C58" s="185"/>
      <c r="D58" s="160" t="s">
        <v>124</v>
      </c>
      <c r="E58" s="82"/>
      <c r="F58" s="187"/>
    </row>
    <row r="59" spans="1:6" ht="12" customHeight="1">
      <c r="A59" s="199"/>
      <c r="B59" s="200"/>
      <c r="C59" s="185">
        <v>3110</v>
      </c>
      <c r="D59" s="137" t="s">
        <v>154</v>
      </c>
      <c r="E59" s="82"/>
      <c r="F59" s="187">
        <v>123000</v>
      </c>
    </row>
    <row r="60" spans="1:6" ht="12.75" customHeight="1">
      <c r="A60" s="199"/>
      <c r="B60" s="200"/>
      <c r="C60" s="185"/>
      <c r="D60" s="160"/>
      <c r="E60" s="82"/>
      <c r="F60" s="187"/>
    </row>
    <row r="61" spans="1:6" ht="13.5" customHeight="1">
      <c r="A61" s="201">
        <v>853</v>
      </c>
      <c r="B61" s="202"/>
      <c r="C61" s="172"/>
      <c r="D61" s="203" t="s">
        <v>155</v>
      </c>
      <c r="E61" s="204" t="e">
        <f>E62+E66</f>
        <v>#NAME?</v>
      </c>
      <c r="F61" s="176" t="e">
        <f>F62+F66</f>
        <v>#NAME?</v>
      </c>
    </row>
    <row r="62" spans="1:6" ht="12" customHeight="1">
      <c r="A62" s="199"/>
      <c r="B62" s="205">
        <v>85333</v>
      </c>
      <c r="C62" s="206"/>
      <c r="D62" s="207" t="s">
        <v>156</v>
      </c>
      <c r="E62" s="182"/>
      <c r="F62" s="183" t="e">
        <f>F63</f>
        <v>#NAME?</v>
      </c>
    </row>
    <row r="63" spans="1:6" ht="12" customHeight="1">
      <c r="A63" s="199"/>
      <c r="B63" s="200"/>
      <c r="C63" s="185">
        <v>2310</v>
      </c>
      <c r="D63" s="160" t="s">
        <v>125</v>
      </c>
      <c r="E63" s="82"/>
      <c r="F63" s="187" t="e">
        <f>"'[1]wydatki ukł.wyk.'!f520"</f>
        <v>#NAME?</v>
      </c>
    </row>
    <row r="64" spans="1:6" ht="12" customHeight="1">
      <c r="A64" s="199"/>
      <c r="B64" s="200"/>
      <c r="C64" s="185"/>
      <c r="D64" s="160" t="s">
        <v>124</v>
      </c>
      <c r="E64" s="82"/>
      <c r="F64" s="187"/>
    </row>
    <row r="65" spans="1:6" ht="12" customHeight="1">
      <c r="A65" s="199"/>
      <c r="B65" s="200"/>
      <c r="C65" s="185"/>
      <c r="D65" s="208"/>
      <c r="E65" s="82"/>
      <c r="F65" s="187"/>
    </row>
    <row r="66" spans="1:6" ht="12" customHeight="1">
      <c r="A66" s="199"/>
      <c r="B66" s="209">
        <v>85395</v>
      </c>
      <c r="C66" s="210"/>
      <c r="D66" s="197" t="s">
        <v>157</v>
      </c>
      <c r="E66" s="93" t="e">
        <f>SUM(E67:E69)</f>
        <v>#NAME?</v>
      </c>
      <c r="F66" s="198" t="e">
        <f>SUM(F70:F95)</f>
        <v>#NAME?</v>
      </c>
    </row>
    <row r="67" spans="1:6" ht="12" customHeight="1">
      <c r="A67" s="199"/>
      <c r="B67" s="211"/>
      <c r="C67" s="164" t="s">
        <v>158</v>
      </c>
      <c r="D67" s="160" t="s">
        <v>159</v>
      </c>
      <c r="E67" s="82" t="e">
        <f>"'[1]dochody-ukł.wykon.'!f211"+354715</f>
        <v>#NAME?</v>
      </c>
      <c r="F67" s="187"/>
    </row>
    <row r="68" spans="1:6" ht="12" customHeight="1">
      <c r="A68" s="199"/>
      <c r="B68" s="211"/>
      <c r="C68" s="164"/>
      <c r="D68" s="160" t="s">
        <v>160</v>
      </c>
      <c r="E68" s="82"/>
      <c r="F68" s="187"/>
    </row>
    <row r="69" spans="1:6" ht="12" customHeight="1">
      <c r="A69" s="199"/>
      <c r="B69" s="211"/>
      <c r="C69" s="164" t="s">
        <v>161</v>
      </c>
      <c r="D69" s="160" t="s">
        <v>159</v>
      </c>
      <c r="E69" s="82" t="e">
        <f>"'[1]dochody-ukł.wykon.'!f213"</f>
        <v>#NAME?</v>
      </c>
      <c r="F69" s="187"/>
    </row>
    <row r="70" spans="1:6" ht="12.75" customHeight="1">
      <c r="A70" s="199"/>
      <c r="B70" s="200"/>
      <c r="C70" s="188">
        <v>4118</v>
      </c>
      <c r="D70" s="189" t="s">
        <v>162</v>
      </c>
      <c r="E70" s="82"/>
      <c r="F70" s="187" t="e">
        <f>"'[1]wydatki ukł.wyk.'!f526"+23543</f>
        <v>#NAME?</v>
      </c>
    </row>
    <row r="71" spans="1:6" ht="12.75" customHeight="1">
      <c r="A71" s="199"/>
      <c r="B71" s="200"/>
      <c r="C71" s="188">
        <v>4119</v>
      </c>
      <c r="D71" s="189" t="s">
        <v>162</v>
      </c>
      <c r="E71" s="82"/>
      <c r="F71" s="187" t="e">
        <f>"'[1]wydatki ukł.wyk.'!f527"+1715</f>
        <v>#NAME?</v>
      </c>
    </row>
    <row r="72" spans="1:6" ht="12.75" customHeight="1">
      <c r="A72" s="199"/>
      <c r="B72" s="200"/>
      <c r="C72" s="188">
        <v>4128</v>
      </c>
      <c r="D72" s="189" t="s">
        <v>143</v>
      </c>
      <c r="E72" s="82"/>
      <c r="F72" s="187" t="e">
        <f>"'[1]wydatki ukł.wyk.'!f528"+3762</f>
        <v>#NAME?</v>
      </c>
    </row>
    <row r="73" spans="1:6" ht="12.75" customHeight="1">
      <c r="A73" s="199"/>
      <c r="B73" s="200"/>
      <c r="C73" s="188">
        <v>4129</v>
      </c>
      <c r="D73" s="189" t="s">
        <v>143</v>
      </c>
      <c r="E73" s="82"/>
      <c r="F73" s="187" t="e">
        <f>"'[1]wydatki ukł.wyk.'!f529"+273</f>
        <v>#NAME?</v>
      </c>
    </row>
    <row r="74" spans="1:6" ht="12.75" customHeight="1">
      <c r="A74" s="199"/>
      <c r="B74" s="200"/>
      <c r="C74" s="188">
        <v>4178</v>
      </c>
      <c r="D74" s="189" t="s">
        <v>163</v>
      </c>
      <c r="E74" s="82"/>
      <c r="F74" s="187" t="e">
        <f>"'[1]wydatki ukł.wyk.'!f530"+155676</f>
        <v>#NAME?</v>
      </c>
    </row>
    <row r="75" spans="1:6" ht="12.75" customHeight="1">
      <c r="A75" s="199"/>
      <c r="B75" s="200"/>
      <c r="C75" s="188">
        <v>4179</v>
      </c>
      <c r="D75" s="189" t="s">
        <v>163</v>
      </c>
      <c r="E75" s="82"/>
      <c r="F75" s="187" t="e">
        <f>"'[1]wydatki ukł.wyk.'!f531"+11491</f>
        <v>#NAME?</v>
      </c>
    </row>
    <row r="76" spans="1:6" ht="12.75" customHeight="1">
      <c r="A76" s="199"/>
      <c r="B76" s="200"/>
      <c r="C76" s="188">
        <v>4218</v>
      </c>
      <c r="D76" s="189" t="s">
        <v>144</v>
      </c>
      <c r="E76" s="82"/>
      <c r="F76" s="187" t="e">
        <f>"'[1]wydatki ukł.wyk.'!f532"+30997</f>
        <v>#NAME?</v>
      </c>
    </row>
    <row r="77" spans="1:6" ht="12.75" customHeight="1">
      <c r="A77" s="199"/>
      <c r="B77" s="200"/>
      <c r="C77" s="188">
        <v>4219</v>
      </c>
      <c r="D77" s="189" t="s">
        <v>144</v>
      </c>
      <c r="E77" s="82"/>
      <c r="F77" s="187" t="e">
        <f>"'[1]wydatki ukł.wyk.'!f533"+3484</f>
        <v>#NAME?</v>
      </c>
    </row>
    <row r="78" spans="1:6" ht="12.75" customHeight="1">
      <c r="A78" s="199"/>
      <c r="B78" s="200"/>
      <c r="C78" s="188">
        <v>4228</v>
      </c>
      <c r="D78" s="189" t="s">
        <v>164</v>
      </c>
      <c r="E78" s="82"/>
      <c r="F78" s="187">
        <v>5219</v>
      </c>
    </row>
    <row r="79" spans="1:6" ht="12.75" customHeight="1">
      <c r="A79" s="199"/>
      <c r="B79" s="200"/>
      <c r="C79" s="188">
        <v>4229</v>
      </c>
      <c r="D79" s="189" t="s">
        <v>164</v>
      </c>
      <c r="E79" s="82"/>
      <c r="F79" s="187">
        <v>781</v>
      </c>
    </row>
    <row r="80" spans="1:6" ht="12.75" customHeight="1">
      <c r="A80" s="199"/>
      <c r="B80" s="200"/>
      <c r="C80" s="188">
        <v>4248</v>
      </c>
      <c r="D80" s="189" t="s">
        <v>165</v>
      </c>
      <c r="E80" s="82"/>
      <c r="F80" s="187" t="e">
        <f>"'[1]wydatki ukł.wyk.'!f534"+4187</f>
        <v>#NAME?</v>
      </c>
    </row>
    <row r="81" spans="1:6" ht="12.75" customHeight="1">
      <c r="A81" s="199"/>
      <c r="B81" s="200"/>
      <c r="C81" s="188">
        <v>4249</v>
      </c>
      <c r="D81" s="189" t="s">
        <v>165</v>
      </c>
      <c r="E81" s="82"/>
      <c r="F81" s="187" t="e">
        <f>"'[1]wydatki ukł.wyk.'!f535"+664</f>
        <v>#NAME?</v>
      </c>
    </row>
    <row r="82" spans="1:6" ht="12.75" customHeight="1">
      <c r="A82" s="199"/>
      <c r="B82" s="200"/>
      <c r="C82" s="188">
        <v>4268</v>
      </c>
      <c r="D82" s="189" t="s">
        <v>146</v>
      </c>
      <c r="E82" s="82"/>
      <c r="F82" s="187" t="e">
        <f>"'[1]wydatki ukł.wyk.'!f536"+13208</f>
        <v>#NAME?</v>
      </c>
    </row>
    <row r="83" spans="1:6" ht="12.75" customHeight="1">
      <c r="A83" s="199"/>
      <c r="B83" s="200"/>
      <c r="C83" s="188">
        <v>4269</v>
      </c>
      <c r="D83" s="189" t="s">
        <v>146</v>
      </c>
      <c r="E83" s="82"/>
      <c r="F83" s="187">
        <v>112</v>
      </c>
    </row>
    <row r="84" spans="1:6" ht="12.75" customHeight="1">
      <c r="A84" s="199"/>
      <c r="B84" s="200"/>
      <c r="C84" s="188">
        <v>4308</v>
      </c>
      <c r="D84" s="189" t="s">
        <v>148</v>
      </c>
      <c r="E84" s="82"/>
      <c r="F84" s="187" t="e">
        <f>"'[1]wydatki ukł.wyk.'!f538"+110045</f>
        <v>#NAME?</v>
      </c>
    </row>
    <row r="85" spans="1:6" ht="12.75" customHeight="1">
      <c r="A85" s="199"/>
      <c r="B85" s="200"/>
      <c r="C85" s="188">
        <v>4309</v>
      </c>
      <c r="D85" s="189" t="s">
        <v>148</v>
      </c>
      <c r="E85" s="82"/>
      <c r="F85" s="187" t="e">
        <f>"'[1]wydatki ukł.wyk.'!f539"+14041</f>
        <v>#NAME?</v>
      </c>
    </row>
    <row r="86" spans="1:6" ht="12.75" customHeight="1">
      <c r="A86" s="199"/>
      <c r="B86" s="200"/>
      <c r="C86" s="188">
        <v>4358</v>
      </c>
      <c r="D86" s="189" t="s">
        <v>149</v>
      </c>
      <c r="E86" s="82"/>
      <c r="F86" s="187">
        <v>23</v>
      </c>
    </row>
    <row r="87" spans="1:6" ht="12.75" customHeight="1">
      <c r="A87" s="199"/>
      <c r="B87" s="200"/>
      <c r="C87" s="188">
        <v>4359</v>
      </c>
      <c r="D87" s="189" t="s">
        <v>149</v>
      </c>
      <c r="E87" s="82"/>
      <c r="F87" s="187">
        <v>3</v>
      </c>
    </row>
    <row r="88" spans="1:6" ht="12.75" customHeight="1">
      <c r="A88" s="199"/>
      <c r="B88" s="200"/>
      <c r="C88" s="188">
        <v>4378</v>
      </c>
      <c r="D88" s="189" t="s">
        <v>150</v>
      </c>
      <c r="E88" s="82"/>
      <c r="F88" s="187" t="e">
        <f>"'[1]wydatki ukł.wyk.'!f541"+2161</f>
        <v>#NAME?</v>
      </c>
    </row>
    <row r="89" spans="1:6" ht="12.75" customHeight="1">
      <c r="A89" s="199"/>
      <c r="B89" s="200"/>
      <c r="C89" s="188">
        <v>4379</v>
      </c>
      <c r="D89" s="189" t="s">
        <v>150</v>
      </c>
      <c r="E89" s="82"/>
      <c r="F89" s="187" t="e">
        <f>"'[1]wydatki ukł.wyk.'!f542"+38</f>
        <v>#NAME?</v>
      </c>
    </row>
    <row r="90" spans="1:6" ht="12.75" customHeight="1">
      <c r="A90" s="199"/>
      <c r="B90" s="200"/>
      <c r="C90" s="188">
        <v>4438</v>
      </c>
      <c r="D90" s="189" t="s">
        <v>166</v>
      </c>
      <c r="E90" s="82"/>
      <c r="F90" s="187" t="e">
        <f>"'[1]wydatki ukł.wyk.'!f543"+1611</f>
        <v>#NAME?</v>
      </c>
    </row>
    <row r="91" spans="1:6" ht="12.75" customHeight="1">
      <c r="A91" s="199"/>
      <c r="B91" s="200"/>
      <c r="C91" s="188">
        <v>4439</v>
      </c>
      <c r="D91" s="189" t="s">
        <v>166</v>
      </c>
      <c r="E91" s="82"/>
      <c r="F91" s="187">
        <v>143</v>
      </c>
    </row>
    <row r="92" spans="1:6" ht="12.75" customHeight="1">
      <c r="A92" s="199"/>
      <c r="B92" s="200"/>
      <c r="C92" s="188">
        <v>4748</v>
      </c>
      <c r="D92" s="189" t="s">
        <v>167</v>
      </c>
      <c r="E92" s="82"/>
      <c r="F92" s="187" t="e">
        <f>"'[1]wydatki ukł.wyk.'!f544"+1497</f>
        <v>#NAME?</v>
      </c>
    </row>
    <row r="93" spans="1:6" ht="12.75" customHeight="1">
      <c r="A93" s="199"/>
      <c r="B93" s="200"/>
      <c r="C93" s="188">
        <v>4749</v>
      </c>
      <c r="D93" s="189" t="s">
        <v>167</v>
      </c>
      <c r="E93" s="82"/>
      <c r="F93" s="187" t="e">
        <f>"'[1]wydatki ukł.wyk.'!f545"+237</f>
        <v>#NAME?</v>
      </c>
    </row>
    <row r="94" spans="1:6" ht="12.75" customHeight="1">
      <c r="A94" s="199"/>
      <c r="B94" s="200"/>
      <c r="C94" s="188">
        <v>4758</v>
      </c>
      <c r="D94" s="189" t="s">
        <v>152</v>
      </c>
      <c r="E94" s="82"/>
      <c r="F94" s="187" t="e">
        <f>"'[1]wydatki ukł.wyk.'!f546"+2786</f>
        <v>#NAME?</v>
      </c>
    </row>
    <row r="95" spans="1:6" ht="12.75" customHeight="1">
      <c r="A95" s="199"/>
      <c r="B95" s="200"/>
      <c r="C95" s="188">
        <v>4759</v>
      </c>
      <c r="D95" s="189" t="s">
        <v>152</v>
      </c>
      <c r="E95" s="82"/>
      <c r="F95" s="187" t="e">
        <f>"'[1]wydatki ukł.wyk.'!f547"+415</f>
        <v>#NAME?</v>
      </c>
    </row>
    <row r="96" spans="1:6" ht="12.75" customHeight="1">
      <c r="A96" s="199"/>
      <c r="B96" s="200"/>
      <c r="C96" s="185"/>
      <c r="D96" s="208"/>
      <c r="E96" s="82"/>
      <c r="F96" s="187"/>
    </row>
    <row r="97" spans="1:6" ht="13.5" customHeight="1">
      <c r="A97" s="201">
        <v>854</v>
      </c>
      <c r="B97" s="202"/>
      <c r="C97" s="172"/>
      <c r="D97" s="203" t="s">
        <v>168</v>
      </c>
      <c r="E97" s="204"/>
      <c r="F97" s="176" t="e">
        <f>F98</f>
        <v>#NAME?</v>
      </c>
    </row>
    <row r="98" spans="1:6" ht="12.75" customHeight="1">
      <c r="A98" s="199"/>
      <c r="B98" s="205">
        <v>85406</v>
      </c>
      <c r="C98" s="206"/>
      <c r="D98" s="212" t="s">
        <v>169</v>
      </c>
      <c r="E98" s="182"/>
      <c r="F98" s="183" t="e">
        <f>F99</f>
        <v>#NAME?</v>
      </c>
    </row>
    <row r="99" spans="1:6" ht="12" customHeight="1">
      <c r="A99" s="199"/>
      <c r="B99" s="200"/>
      <c r="C99" s="185">
        <v>2310</v>
      </c>
      <c r="D99" s="160" t="s">
        <v>125</v>
      </c>
      <c r="E99" s="82"/>
      <c r="F99" s="187" t="e">
        <f>"'[1]wydatki ukł.wyk.'!f563"</f>
        <v>#NAME?</v>
      </c>
    </row>
    <row r="100" spans="1:6" ht="12" customHeight="1">
      <c r="A100" s="199"/>
      <c r="B100" s="200"/>
      <c r="C100" s="185"/>
      <c r="D100" s="160" t="s">
        <v>124</v>
      </c>
      <c r="E100" s="82"/>
      <c r="F100" s="187"/>
    </row>
    <row r="101" spans="1:6" ht="12.75" customHeight="1">
      <c r="A101" s="199"/>
      <c r="B101" s="200"/>
      <c r="C101" s="185"/>
      <c r="D101" s="160"/>
      <c r="E101" s="82"/>
      <c r="F101" s="187"/>
    </row>
    <row r="102" spans="1:6" ht="13.5" customHeight="1">
      <c r="A102" s="201">
        <v>921</v>
      </c>
      <c r="B102" s="202"/>
      <c r="C102" s="172"/>
      <c r="D102" s="213" t="s">
        <v>170</v>
      </c>
      <c r="E102" s="204">
        <f>E103</f>
        <v>0</v>
      </c>
      <c r="F102" s="176" t="e">
        <f>F103</f>
        <v>#NAME?</v>
      </c>
    </row>
    <row r="103" spans="1:6" ht="12.75" customHeight="1">
      <c r="A103" s="199"/>
      <c r="B103" s="205">
        <v>92116</v>
      </c>
      <c r="C103" s="206"/>
      <c r="D103" s="214" t="s">
        <v>171</v>
      </c>
      <c r="E103" s="182">
        <f>E106</f>
        <v>0</v>
      </c>
      <c r="F103" s="183" t="e">
        <f>F104+F106</f>
        <v>#NAME?</v>
      </c>
    </row>
    <row r="104" spans="1:6" ht="12" customHeight="1">
      <c r="A104" s="199"/>
      <c r="B104" s="200"/>
      <c r="C104" s="185">
        <v>2310</v>
      </c>
      <c r="D104" s="160" t="s">
        <v>125</v>
      </c>
      <c r="E104" s="82"/>
      <c r="F104" s="187" t="e">
        <f>"'[1]wydatki ukł.wyk.'!f653"</f>
        <v>#NAME?</v>
      </c>
    </row>
    <row r="105" spans="1:6" ht="12" customHeight="1">
      <c r="A105" s="199"/>
      <c r="B105" s="200"/>
      <c r="C105" s="185"/>
      <c r="D105" s="160" t="s">
        <v>124</v>
      </c>
      <c r="E105" s="82"/>
      <c r="F105" s="187"/>
    </row>
    <row r="106" spans="1:6" ht="12" customHeight="1">
      <c r="A106" s="199"/>
      <c r="B106" s="200"/>
      <c r="C106" s="215">
        <v>2330</v>
      </c>
      <c r="D106" s="160" t="s">
        <v>129</v>
      </c>
      <c r="E106" s="70"/>
      <c r="F106" s="187" t="e">
        <f>"'[1]wydatki ukł.wyk.'!f654"</f>
        <v>#NAME?</v>
      </c>
    </row>
    <row r="107" spans="1:6" ht="12.75" customHeight="1">
      <c r="A107" s="216"/>
      <c r="B107" s="217"/>
      <c r="C107" s="218"/>
      <c r="D107" s="219" t="s">
        <v>130</v>
      </c>
      <c r="E107" s="220"/>
      <c r="F107" s="221"/>
    </row>
    <row r="108" spans="1:7" ht="12" customHeight="1">
      <c r="A108" s="27"/>
      <c r="B108" s="27"/>
      <c r="C108" s="27"/>
      <c r="D108" s="222" t="s">
        <v>172</v>
      </c>
      <c r="E108" s="223" t="e">
        <f>E102+E97+E61+E35</f>
        <v>#NAME?</v>
      </c>
      <c r="F108" s="224" t="e">
        <f>F102+F97+F61+F35+F14+F22+F30</f>
        <v>#NAME?</v>
      </c>
      <c r="G108" s="27"/>
    </row>
    <row r="109" spans="1:7" ht="12.75" customHeight="1">
      <c r="A109" s="27"/>
      <c r="B109" s="27"/>
      <c r="C109" s="27"/>
      <c r="D109" s="225" t="s">
        <v>173</v>
      </c>
      <c r="E109" s="226"/>
      <c r="F109" s="227" t="e">
        <f>SUM(F18,F40:F52,F57,F59,F63,F70:F95,F99,F104,F106,F24,F32,F20)</f>
        <v>#NAME?</v>
      </c>
      <c r="G109" s="27"/>
    </row>
    <row r="110" spans="1:7" ht="12.75" customHeight="1">
      <c r="A110" s="27"/>
      <c r="B110" s="27"/>
      <c r="C110" s="27"/>
      <c r="D110" s="228" t="s">
        <v>174</v>
      </c>
      <c r="E110" s="229"/>
      <c r="F110" s="230" t="e">
        <f>F41+F42+F43+F70+F71+F72+F73+F74+F75</f>
        <v>#NAME?</v>
      </c>
      <c r="G110" s="27"/>
    </row>
    <row r="111" spans="1:7" ht="12.75" customHeight="1">
      <c r="A111" s="27"/>
      <c r="B111" s="27"/>
      <c r="C111" s="27"/>
      <c r="D111" s="231" t="s">
        <v>175</v>
      </c>
      <c r="E111" s="232"/>
      <c r="F111" s="233" t="e">
        <f>F18+F40+F57+F63+F99+F104+F106+F32+F24</f>
        <v>#NAME?</v>
      </c>
      <c r="G111" s="27"/>
    </row>
    <row r="112" spans="1:7" ht="13.5" customHeight="1">
      <c r="A112" s="27"/>
      <c r="B112" s="27"/>
      <c r="C112" s="27"/>
      <c r="D112" s="234" t="s">
        <v>176</v>
      </c>
      <c r="E112" s="235"/>
      <c r="F112" s="236" t="e">
        <f>F26</f>
        <v>#NAME?</v>
      </c>
      <c r="G112" s="27"/>
    </row>
    <row r="113" spans="1:7" ht="12" customHeight="1">
      <c r="A113" s="27"/>
      <c r="B113" s="27"/>
      <c r="C113" s="27"/>
      <c r="D113" s="27"/>
      <c r="E113" s="27"/>
      <c r="F113" s="27"/>
      <c r="G113" s="27"/>
    </row>
    <row r="114" spans="1:7" ht="12" customHeight="1">
      <c r="A114" s="27" t="s">
        <v>177</v>
      </c>
      <c r="B114" s="27"/>
      <c r="C114" s="27"/>
      <c r="D114" s="27"/>
      <c r="E114" s="27"/>
      <c r="F114" s="27"/>
      <c r="G114" s="27"/>
    </row>
    <row r="115" spans="1:7" ht="12" customHeight="1">
      <c r="A115" s="27" t="s">
        <v>178</v>
      </c>
      <c r="B115" s="27"/>
      <c r="C115" s="27"/>
      <c r="D115" s="27"/>
      <c r="E115" s="27"/>
      <c r="F115" s="27"/>
      <c r="G115" s="27"/>
    </row>
    <row r="116" spans="1:7" ht="12" customHeight="1">
      <c r="A116" s="27"/>
      <c r="B116" s="27"/>
      <c r="C116" s="27"/>
      <c r="D116" s="27"/>
      <c r="E116" s="27"/>
      <c r="F116" s="27"/>
      <c r="G116" s="27"/>
    </row>
    <row r="117" spans="1:7" ht="12" customHeight="1">
      <c r="A117" s="27"/>
      <c r="B117" s="27"/>
      <c r="C117" s="27"/>
      <c r="D117" s="27"/>
      <c r="E117" s="27"/>
      <c r="F117" s="27"/>
      <c r="G117" s="27"/>
    </row>
    <row r="118" spans="1:7" ht="12" customHeight="1">
      <c r="A118" s="27"/>
      <c r="B118" s="27"/>
      <c r="C118" s="27"/>
      <c r="D118" s="27"/>
      <c r="E118" s="27"/>
      <c r="F118" s="27"/>
      <c r="G118" s="27"/>
    </row>
    <row r="119" spans="1:7" ht="12" customHeight="1">
      <c r="A119" s="27"/>
      <c r="B119" s="27"/>
      <c r="C119" s="27"/>
      <c r="D119" s="27"/>
      <c r="E119" s="27"/>
      <c r="F119" s="27"/>
      <c r="G119" s="27"/>
    </row>
    <row r="120" spans="1:7" ht="12" customHeight="1">
      <c r="A120" s="27"/>
      <c r="B120" s="27"/>
      <c r="C120" s="27"/>
      <c r="D120" s="27"/>
      <c r="E120" s="27"/>
      <c r="F120" s="27"/>
      <c r="G120" s="27"/>
    </row>
    <row r="121" spans="1:7" ht="12" customHeight="1">
      <c r="A121" s="27"/>
      <c r="B121" s="27"/>
      <c r="C121" s="27"/>
      <c r="D121" s="27"/>
      <c r="E121" s="27"/>
      <c r="F121" s="27"/>
      <c r="G121" s="27"/>
    </row>
    <row r="122" spans="1:7" ht="12" customHeight="1">
      <c r="A122" s="27"/>
      <c r="B122" s="27"/>
      <c r="C122" s="27"/>
      <c r="D122" s="27"/>
      <c r="E122" s="27"/>
      <c r="F122" s="27"/>
      <c r="G122" s="27"/>
    </row>
    <row r="123" spans="1:7" ht="12" customHeight="1">
      <c r="A123" s="27"/>
      <c r="B123" s="27"/>
      <c r="C123" s="27"/>
      <c r="D123" s="27"/>
      <c r="E123" s="27"/>
      <c r="F123" s="27"/>
      <c r="G123" s="27"/>
    </row>
    <row r="124" spans="1:7" ht="12" customHeight="1">
      <c r="A124" s="27"/>
      <c r="B124" s="27"/>
      <c r="C124" s="27"/>
      <c r="D124" s="27"/>
      <c r="E124" s="27"/>
      <c r="F124" s="27"/>
      <c r="G124" s="27"/>
    </row>
    <row r="125" spans="1:7" ht="12" customHeight="1">
      <c r="A125" s="27"/>
      <c r="B125" s="27"/>
      <c r="C125" s="27"/>
      <c r="D125" s="27"/>
      <c r="E125" s="27"/>
      <c r="F125" s="27"/>
      <c r="G125" s="27"/>
    </row>
    <row r="126" spans="1:7" ht="12" customHeight="1">
      <c r="A126" s="27"/>
      <c r="B126" s="27"/>
      <c r="C126" s="27"/>
      <c r="D126" s="27"/>
      <c r="E126" s="27"/>
      <c r="F126" s="27"/>
      <c r="G126" s="27"/>
    </row>
    <row r="127" spans="1:7" ht="12" customHeight="1">
      <c r="A127" s="27"/>
      <c r="B127" s="27"/>
      <c r="C127" s="27"/>
      <c r="D127" s="27"/>
      <c r="E127" s="27"/>
      <c r="F127" s="27"/>
      <c r="G127" s="27"/>
    </row>
    <row r="128" spans="1:7" ht="12" customHeight="1">
      <c r="A128" s="27"/>
      <c r="B128" s="27"/>
      <c r="C128" s="27"/>
      <c r="D128" s="27"/>
      <c r="E128" s="27"/>
      <c r="F128" s="27"/>
      <c r="G128" s="27"/>
    </row>
    <row r="129" spans="1:7" ht="12" customHeight="1">
      <c r="A129" s="27"/>
      <c r="B129" s="27"/>
      <c r="C129" s="27"/>
      <c r="D129" s="27"/>
      <c r="E129" s="27"/>
      <c r="F129" s="27"/>
      <c r="G129" s="27"/>
    </row>
    <row r="130" spans="1:7" ht="12" customHeight="1">
      <c r="A130" s="27"/>
      <c r="B130" s="27"/>
      <c r="C130" s="27"/>
      <c r="D130" s="27"/>
      <c r="E130" s="27"/>
      <c r="F130" s="27"/>
      <c r="G130" s="27"/>
    </row>
    <row r="131" spans="1:7" ht="12" customHeight="1">
      <c r="A131" s="27"/>
      <c r="B131" s="27"/>
      <c r="C131" s="27"/>
      <c r="D131" s="27"/>
      <c r="E131" s="27"/>
      <c r="F131" s="27"/>
      <c r="G131" s="27"/>
    </row>
    <row r="132" spans="1:7" ht="12" customHeight="1">
      <c r="A132" s="27"/>
      <c r="B132" s="27"/>
      <c r="C132" s="27"/>
      <c r="D132" s="27"/>
      <c r="E132" s="27"/>
      <c r="F132" s="27"/>
      <c r="G132" s="27"/>
    </row>
    <row r="133" spans="1:7" ht="12" customHeight="1">
      <c r="A133" s="27"/>
      <c r="B133" s="27"/>
      <c r="C133" s="27"/>
      <c r="D133" s="27"/>
      <c r="E133" s="27"/>
      <c r="F133" s="27"/>
      <c r="G133" s="27"/>
    </row>
    <row r="134" spans="1:7" ht="12" customHeight="1">
      <c r="A134" s="27"/>
      <c r="B134" s="27"/>
      <c r="C134" s="27"/>
      <c r="D134" s="27"/>
      <c r="E134" s="27"/>
      <c r="F134" s="27"/>
      <c r="G134" s="27"/>
    </row>
    <row r="135" spans="1:7" ht="12" customHeight="1">
      <c r="A135" s="27"/>
      <c r="B135" s="27"/>
      <c r="C135" s="27"/>
      <c r="D135" s="27"/>
      <c r="E135" s="27"/>
      <c r="F135" s="27"/>
      <c r="G135" s="27"/>
    </row>
    <row r="136" spans="1:7" ht="12" customHeight="1">
      <c r="A136" s="27"/>
      <c r="B136" s="27"/>
      <c r="C136" s="27"/>
      <c r="D136" s="27"/>
      <c r="E136" s="27"/>
      <c r="F136" s="27"/>
      <c r="G136" s="27"/>
    </row>
    <row r="137" spans="1:7" ht="12" customHeight="1">
      <c r="A137" s="27"/>
      <c r="B137" s="27"/>
      <c r="C137" s="27"/>
      <c r="D137" s="27"/>
      <c r="E137" s="27"/>
      <c r="F137" s="27"/>
      <c r="G137" s="27"/>
    </row>
    <row r="138" spans="1:7" ht="12" customHeight="1">
      <c r="A138" s="27"/>
      <c r="B138" s="27"/>
      <c r="C138" s="27"/>
      <c r="D138" s="27"/>
      <c r="E138" s="27"/>
      <c r="F138" s="27"/>
      <c r="G138" s="27"/>
    </row>
    <row r="139" spans="1:7" ht="12" customHeight="1">
      <c r="A139" s="27"/>
      <c r="B139" s="27"/>
      <c r="C139" s="27"/>
      <c r="D139" s="27"/>
      <c r="E139" s="27"/>
      <c r="F139" s="27"/>
      <c r="G139" s="27"/>
    </row>
    <row r="140" spans="1:7" ht="12" customHeight="1">
      <c r="A140" s="27"/>
      <c r="B140" s="27"/>
      <c r="C140" s="27"/>
      <c r="D140" s="27"/>
      <c r="E140" s="27"/>
      <c r="F140" s="27"/>
      <c r="G140" s="27"/>
    </row>
    <row r="141" spans="1:7" ht="12" customHeight="1">
      <c r="A141" s="27"/>
      <c r="B141" s="27"/>
      <c r="C141" s="27"/>
      <c r="D141" s="27"/>
      <c r="E141" s="27"/>
      <c r="F141" s="27"/>
      <c r="G141" s="27"/>
    </row>
    <row r="142" spans="1:7" ht="12" customHeight="1">
      <c r="A142" s="27"/>
      <c r="B142" s="27"/>
      <c r="C142" s="27"/>
      <c r="D142" s="27"/>
      <c r="E142" s="27"/>
      <c r="F142" s="27"/>
      <c r="G142" s="27"/>
    </row>
    <row r="143" spans="1:7" ht="12" customHeight="1">
      <c r="A143" s="27"/>
      <c r="B143" s="27"/>
      <c r="C143" s="27"/>
      <c r="D143" s="27"/>
      <c r="E143" s="27"/>
      <c r="F143" s="27"/>
      <c r="G143" s="27"/>
    </row>
    <row r="144" spans="1:7" ht="12" customHeight="1">
      <c r="A144" s="27"/>
      <c r="B144" s="27"/>
      <c r="C144" s="27"/>
      <c r="D144" s="27"/>
      <c r="E144" s="27"/>
      <c r="F144" s="27"/>
      <c r="G144" s="27"/>
    </row>
    <row r="145" spans="1:7" ht="12" customHeight="1">
      <c r="A145" s="27"/>
      <c r="B145" s="27"/>
      <c r="C145" s="27"/>
      <c r="D145" s="27"/>
      <c r="E145" s="27"/>
      <c r="F145" s="27"/>
      <c r="G145" s="27"/>
    </row>
    <row r="146" spans="1:7" ht="12" customHeight="1">
      <c r="A146" s="27"/>
      <c r="B146" s="27"/>
      <c r="C146" s="27"/>
      <c r="D146" s="27"/>
      <c r="E146" s="27"/>
      <c r="F146" s="27"/>
      <c r="G146" s="27"/>
    </row>
    <row r="147" spans="1:7" ht="12" customHeight="1">
      <c r="A147" s="27"/>
      <c r="B147" s="27"/>
      <c r="C147" s="27"/>
      <c r="D147" s="27"/>
      <c r="E147" s="27"/>
      <c r="F147" s="27"/>
      <c r="G147" s="27"/>
    </row>
    <row r="148" spans="1:7" ht="12" customHeight="1">
      <c r="A148" s="27"/>
      <c r="B148" s="27"/>
      <c r="C148" s="27"/>
      <c r="D148" s="27"/>
      <c r="E148" s="27"/>
      <c r="F148" s="27"/>
      <c r="G148" s="27"/>
    </row>
    <row r="149" spans="1:7" ht="12" customHeight="1">
      <c r="A149" s="27"/>
      <c r="B149" s="27"/>
      <c r="C149" s="27"/>
      <c r="D149" s="27"/>
      <c r="E149" s="27"/>
      <c r="F149" s="27"/>
      <c r="G149" s="27"/>
    </row>
    <row r="150" spans="1:7" ht="12" customHeight="1">
      <c r="A150" s="27"/>
      <c r="B150" s="27"/>
      <c r="C150" s="27"/>
      <c r="D150" s="27"/>
      <c r="E150" s="27"/>
      <c r="F150" s="27"/>
      <c r="G150" s="27"/>
    </row>
    <row r="151" spans="1:7" ht="12" customHeight="1">
      <c r="A151" s="27"/>
      <c r="B151" s="27"/>
      <c r="C151" s="27"/>
      <c r="D151" s="27"/>
      <c r="E151" s="27"/>
      <c r="F151" s="27"/>
      <c r="G151" s="27"/>
    </row>
    <row r="152" spans="1:7" ht="12" customHeight="1">
      <c r="A152" s="27"/>
      <c r="B152" s="27"/>
      <c r="C152" s="27"/>
      <c r="D152" s="27"/>
      <c r="E152" s="27"/>
      <c r="F152" s="27"/>
      <c r="G152" s="27"/>
    </row>
    <row r="153" spans="1:7" ht="12" customHeight="1">
      <c r="A153" s="27"/>
      <c r="B153" s="27"/>
      <c r="C153" s="27"/>
      <c r="D153" s="27"/>
      <c r="E153" s="27"/>
      <c r="F153" s="27"/>
      <c r="G153" s="27"/>
    </row>
    <row r="154" spans="1:7" ht="12" customHeight="1">
      <c r="A154" s="27"/>
      <c r="B154" s="27"/>
      <c r="C154" s="27"/>
      <c r="D154" s="27"/>
      <c r="E154" s="27"/>
      <c r="F154" s="27"/>
      <c r="G154" s="27"/>
    </row>
    <row r="155" spans="1:7" ht="12" customHeight="1">
      <c r="A155" s="27"/>
      <c r="B155" s="27"/>
      <c r="C155" s="27"/>
      <c r="D155" s="27"/>
      <c r="E155" s="27"/>
      <c r="F155" s="27"/>
      <c r="G155" s="27"/>
    </row>
    <row r="156" spans="1:7" ht="12" customHeight="1">
      <c r="A156" s="27"/>
      <c r="B156" s="27"/>
      <c r="C156" s="27"/>
      <c r="D156" s="27"/>
      <c r="E156" s="27"/>
      <c r="F156" s="27"/>
      <c r="G156" s="27"/>
    </row>
    <row r="157" spans="1:7" ht="12" customHeight="1">
      <c r="A157" s="27"/>
      <c r="B157" s="27"/>
      <c r="C157" s="27"/>
      <c r="D157" s="27"/>
      <c r="E157" s="27"/>
      <c r="F157" s="27"/>
      <c r="G157" s="27"/>
    </row>
    <row r="158" spans="1:7" ht="12" customHeight="1">
      <c r="A158" s="27"/>
      <c r="B158" s="27"/>
      <c r="C158" s="27"/>
      <c r="D158" s="27"/>
      <c r="E158" s="27"/>
      <c r="F158" s="27"/>
      <c r="G158" s="27"/>
    </row>
    <row r="159" spans="1:7" ht="12" customHeight="1">
      <c r="A159" s="27"/>
      <c r="B159" s="27"/>
      <c r="C159" s="27"/>
      <c r="D159" s="27"/>
      <c r="E159" s="27"/>
      <c r="F159" s="27"/>
      <c r="G159" s="27"/>
    </row>
    <row r="160" spans="1:7" ht="12" customHeight="1">
      <c r="A160" s="27"/>
      <c r="B160" s="27"/>
      <c r="C160" s="27"/>
      <c r="D160" s="27"/>
      <c r="E160" s="27"/>
      <c r="F160" s="27"/>
      <c r="G160" s="27"/>
    </row>
    <row r="161" spans="1:7" ht="12" customHeight="1">
      <c r="A161" s="27"/>
      <c r="B161" s="27"/>
      <c r="C161" s="27"/>
      <c r="D161" s="27"/>
      <c r="E161" s="27"/>
      <c r="F161" s="27"/>
      <c r="G161" s="27"/>
    </row>
    <row r="162" spans="1:7" ht="12" customHeight="1">
      <c r="A162" s="27"/>
      <c r="B162" s="27"/>
      <c r="C162" s="27"/>
      <c r="D162" s="27"/>
      <c r="E162" s="27"/>
      <c r="F162" s="27"/>
      <c r="G162" s="27"/>
    </row>
    <row r="163" spans="1:7" ht="12" customHeight="1">
      <c r="A163" s="27"/>
      <c r="B163" s="27"/>
      <c r="C163" s="27"/>
      <c r="D163" s="27"/>
      <c r="E163" s="27"/>
      <c r="F163" s="27"/>
      <c r="G163" s="27"/>
    </row>
    <row r="164" spans="1:7" ht="12" customHeight="1">
      <c r="A164" s="27"/>
      <c r="B164" s="27"/>
      <c r="C164" s="27"/>
      <c r="D164" s="27"/>
      <c r="E164" s="27"/>
      <c r="F164" s="27"/>
      <c r="G164" s="27"/>
    </row>
    <row r="165" spans="1:7" ht="12" customHeight="1">
      <c r="A165" s="27"/>
      <c r="B165" s="27"/>
      <c r="C165" s="27"/>
      <c r="D165" s="27"/>
      <c r="E165" s="27"/>
      <c r="F165" s="27"/>
      <c r="G165" s="27"/>
    </row>
    <row r="166" spans="1:7" ht="12" customHeight="1">
      <c r="A166" s="27"/>
      <c r="B166" s="27"/>
      <c r="C166" s="27"/>
      <c r="D166" s="27"/>
      <c r="E166" s="27"/>
      <c r="F166" s="27"/>
      <c r="G166" s="27"/>
    </row>
    <row r="167" spans="1:7" ht="12" customHeight="1">
      <c r="A167" s="27"/>
      <c r="B167" s="27"/>
      <c r="C167" s="27"/>
      <c r="D167" s="27"/>
      <c r="E167" s="27"/>
      <c r="F167" s="27"/>
      <c r="G167" s="27"/>
    </row>
    <row r="168" spans="1:7" ht="12" customHeight="1">
      <c r="A168" s="27"/>
      <c r="B168" s="27"/>
      <c r="C168" s="27"/>
      <c r="D168" s="27"/>
      <c r="E168" s="27"/>
      <c r="F168" s="27"/>
      <c r="G168" s="27"/>
    </row>
    <row r="169" spans="1:7" ht="12" customHeight="1">
      <c r="A169" s="27"/>
      <c r="B169" s="27"/>
      <c r="C169" s="27"/>
      <c r="D169" s="27"/>
      <c r="E169" s="27"/>
      <c r="F169" s="27"/>
      <c r="G169" s="27"/>
    </row>
    <row r="170" spans="1:7" ht="12" customHeight="1">
      <c r="A170" s="27"/>
      <c r="B170" s="27"/>
      <c r="C170" s="27"/>
      <c r="D170" s="27"/>
      <c r="E170" s="27"/>
      <c r="F170" s="27"/>
      <c r="G170" s="27"/>
    </row>
    <row r="171" spans="1:7" ht="12" customHeight="1">
      <c r="A171" s="27"/>
      <c r="B171" s="27"/>
      <c r="C171" s="27"/>
      <c r="D171" s="27"/>
      <c r="E171" s="27"/>
      <c r="F171" s="27"/>
      <c r="G171" s="27"/>
    </row>
    <row r="172" spans="1:7" ht="12" customHeight="1">
      <c r="A172" s="27"/>
      <c r="B172" s="27"/>
      <c r="C172" s="27"/>
      <c r="D172" s="27"/>
      <c r="E172" s="27"/>
      <c r="F172" s="27"/>
      <c r="G172" s="27"/>
    </row>
    <row r="173" spans="1:7" ht="12" customHeight="1">
      <c r="A173" s="27"/>
      <c r="B173" s="27"/>
      <c r="C173" s="27"/>
      <c r="D173" s="27"/>
      <c r="E173" s="27"/>
      <c r="F173" s="27"/>
      <c r="G173" s="27"/>
    </row>
    <row r="174" spans="1:7" ht="12" customHeight="1">
      <c r="A174" s="27"/>
      <c r="B174" s="27"/>
      <c r="C174" s="27"/>
      <c r="D174" s="27"/>
      <c r="E174" s="27"/>
      <c r="F174" s="27"/>
      <c r="G174" s="27"/>
    </row>
    <row r="175" spans="1:7" ht="12" customHeight="1">
      <c r="A175" s="27"/>
      <c r="B175" s="27"/>
      <c r="C175" s="27"/>
      <c r="D175" s="27"/>
      <c r="E175" s="27"/>
      <c r="F175" s="27"/>
      <c r="G175" s="27"/>
    </row>
    <row r="176" spans="1:7" ht="12" customHeight="1">
      <c r="A176" s="27"/>
      <c r="B176" s="27"/>
      <c r="C176" s="27"/>
      <c r="D176" s="27"/>
      <c r="E176" s="27"/>
      <c r="F176" s="27"/>
      <c r="G176" s="27"/>
    </row>
    <row r="177" spans="1:7" ht="12" customHeight="1">
      <c r="A177" s="27"/>
      <c r="B177" s="27"/>
      <c r="C177" s="27"/>
      <c r="D177" s="27"/>
      <c r="E177" s="27"/>
      <c r="F177" s="27"/>
      <c r="G177" s="27"/>
    </row>
    <row r="178" spans="1:7" ht="12" customHeight="1">
      <c r="A178" s="27"/>
      <c r="B178" s="27"/>
      <c r="C178" s="27"/>
      <c r="D178" s="27"/>
      <c r="E178" s="27"/>
      <c r="F178" s="27"/>
      <c r="G178" s="27"/>
    </row>
    <row r="179" spans="1:7" ht="12" customHeight="1">
      <c r="A179" s="27"/>
      <c r="B179" s="27"/>
      <c r="C179" s="27"/>
      <c r="D179" s="27"/>
      <c r="E179" s="27"/>
      <c r="F179" s="27"/>
      <c r="G179" s="27"/>
    </row>
    <row r="180" spans="1:7" ht="12" customHeight="1">
      <c r="A180" s="27"/>
      <c r="B180" s="27"/>
      <c r="C180" s="27"/>
      <c r="D180" s="27"/>
      <c r="E180" s="27"/>
      <c r="F180" s="27"/>
      <c r="G180" s="27"/>
    </row>
    <row r="181" spans="1:7" ht="12" customHeight="1">
      <c r="A181" s="27"/>
      <c r="B181" s="27"/>
      <c r="C181" s="27"/>
      <c r="D181" s="27"/>
      <c r="E181" s="27"/>
      <c r="F181" s="27"/>
      <c r="G181" s="27"/>
    </row>
    <row r="182" spans="1:7" ht="12" customHeight="1">
      <c r="A182" s="27"/>
      <c r="B182" s="27"/>
      <c r="C182" s="27"/>
      <c r="D182" s="27"/>
      <c r="E182" s="27"/>
      <c r="F182" s="27"/>
      <c r="G182" s="27"/>
    </row>
    <row r="183" spans="1:7" ht="12" customHeight="1">
      <c r="A183" s="27"/>
      <c r="B183" s="27"/>
      <c r="C183" s="27"/>
      <c r="D183" s="27"/>
      <c r="E183" s="27"/>
      <c r="F183" s="27"/>
      <c r="G183" s="27"/>
    </row>
    <row r="184" spans="1:7" ht="12" customHeight="1">
      <c r="A184" s="27"/>
      <c r="B184" s="27"/>
      <c r="C184" s="27"/>
      <c r="D184" s="27"/>
      <c r="E184" s="27"/>
      <c r="F184" s="27"/>
      <c r="G184" s="27"/>
    </row>
    <row r="185" spans="1:7" ht="12" customHeight="1">
      <c r="A185" s="27"/>
      <c r="B185" s="27"/>
      <c r="C185" s="27"/>
      <c r="D185" s="27"/>
      <c r="E185" s="27"/>
      <c r="F185" s="27"/>
      <c r="G185" s="27"/>
    </row>
    <row r="186" spans="1:7" ht="12" customHeight="1">
      <c r="A186" s="27"/>
      <c r="B186" s="27"/>
      <c r="C186" s="27"/>
      <c r="D186" s="27"/>
      <c r="E186" s="27"/>
      <c r="F186" s="27"/>
      <c r="G186" s="27"/>
    </row>
    <row r="187" spans="1:7" ht="12" customHeight="1">
      <c r="A187" s="27"/>
      <c r="B187" s="27"/>
      <c r="C187" s="27"/>
      <c r="D187" s="27"/>
      <c r="E187" s="27"/>
      <c r="F187" s="27"/>
      <c r="G187" s="27"/>
    </row>
    <row r="188" spans="1:7" ht="12" customHeight="1">
      <c r="A188" s="27"/>
      <c r="B188" s="27"/>
      <c r="C188" s="27"/>
      <c r="D188" s="27"/>
      <c r="E188" s="27"/>
      <c r="F188" s="27"/>
      <c r="G188" s="27"/>
    </row>
    <row r="189" spans="1:7" ht="12" customHeight="1">
      <c r="A189" s="27"/>
      <c r="B189" s="27"/>
      <c r="C189" s="27"/>
      <c r="D189" s="27"/>
      <c r="E189" s="27"/>
      <c r="F189" s="27"/>
      <c r="G189" s="27"/>
    </row>
    <row r="190" spans="1:7" ht="12" customHeight="1">
      <c r="A190" s="27"/>
      <c r="B190" s="27"/>
      <c r="C190" s="27"/>
      <c r="D190" s="27"/>
      <c r="E190" s="27"/>
      <c r="F190" s="27"/>
      <c r="G190" s="27"/>
    </row>
    <row r="191" spans="1:7" ht="12" customHeight="1">
      <c r="A191" s="27"/>
      <c r="B191" s="27"/>
      <c r="C191" s="27"/>
      <c r="D191" s="27"/>
      <c r="E191" s="27"/>
      <c r="F191" s="27"/>
      <c r="G191" s="27"/>
    </row>
    <row r="192" spans="1:7" ht="12" customHeight="1">
      <c r="A192" s="27"/>
      <c r="B192" s="27"/>
      <c r="C192" s="27"/>
      <c r="D192" s="27"/>
      <c r="E192" s="27"/>
      <c r="F192" s="27"/>
      <c r="G192" s="27"/>
    </row>
    <row r="193" spans="1:7" ht="12" customHeight="1">
      <c r="A193" s="27"/>
      <c r="B193" s="27"/>
      <c r="C193" s="27"/>
      <c r="D193" s="27"/>
      <c r="E193" s="27"/>
      <c r="F193" s="27"/>
      <c r="G193" s="27"/>
    </row>
    <row r="194" spans="1:7" ht="12" customHeight="1">
      <c r="A194" s="27"/>
      <c r="B194" s="27"/>
      <c r="C194" s="27"/>
      <c r="D194" s="27"/>
      <c r="E194" s="27"/>
      <c r="F194" s="27"/>
      <c r="G194" s="27"/>
    </row>
    <row r="195" spans="1:7" ht="12" customHeight="1">
      <c r="A195" s="27"/>
      <c r="B195" s="27"/>
      <c r="C195" s="27"/>
      <c r="D195" s="27"/>
      <c r="E195" s="27"/>
      <c r="F195" s="27"/>
      <c r="G195" s="27"/>
    </row>
    <row r="196" spans="1:7" ht="12" customHeight="1">
      <c r="A196" s="27"/>
      <c r="B196" s="27"/>
      <c r="C196" s="27"/>
      <c r="D196" s="27"/>
      <c r="E196" s="27"/>
      <c r="F196" s="27"/>
      <c r="G196" s="27"/>
    </row>
    <row r="197" spans="1:7" ht="12" customHeight="1">
      <c r="A197" s="27"/>
      <c r="B197" s="27"/>
      <c r="C197" s="27"/>
      <c r="D197" s="27"/>
      <c r="E197" s="27"/>
      <c r="F197" s="27"/>
      <c r="G197" s="27"/>
    </row>
    <row r="198" spans="1:7" ht="12" customHeight="1">
      <c r="A198" s="27"/>
      <c r="B198" s="27"/>
      <c r="C198" s="27"/>
      <c r="D198" s="27"/>
      <c r="E198" s="27"/>
      <c r="F198" s="27"/>
      <c r="G198" s="27"/>
    </row>
    <row r="199" spans="1:7" ht="12" customHeight="1">
      <c r="A199" s="27"/>
      <c r="B199" s="27"/>
      <c r="C199" s="27"/>
      <c r="D199" s="27"/>
      <c r="E199" s="27"/>
      <c r="F199" s="27"/>
      <c r="G199" s="27"/>
    </row>
    <row r="200" spans="1:7" ht="12" customHeight="1">
      <c r="A200" s="27"/>
      <c r="B200" s="27"/>
      <c r="C200" s="27"/>
      <c r="D200" s="27"/>
      <c r="E200" s="27"/>
      <c r="F200" s="27"/>
      <c r="G200" s="27"/>
    </row>
    <row r="201" spans="1:7" ht="12" customHeight="1">
      <c r="A201" s="27"/>
      <c r="B201" s="27"/>
      <c r="C201" s="27"/>
      <c r="D201" s="27"/>
      <c r="E201" s="27"/>
      <c r="F201" s="27"/>
      <c r="G201" s="27"/>
    </row>
    <row r="202" spans="1:7" ht="12" customHeight="1">
      <c r="A202" s="27"/>
      <c r="B202" s="27"/>
      <c r="C202" s="27"/>
      <c r="D202" s="27"/>
      <c r="E202" s="27"/>
      <c r="F202" s="27"/>
      <c r="G202" s="27"/>
    </row>
    <row r="203" spans="1:7" ht="12" customHeight="1">
      <c r="A203" s="27"/>
      <c r="B203" s="27"/>
      <c r="C203" s="27"/>
      <c r="D203" s="27"/>
      <c r="E203" s="27"/>
      <c r="F203" s="27"/>
      <c r="G203" s="27"/>
    </row>
    <row r="204" spans="1:7" ht="12" customHeight="1">
      <c r="A204" s="27"/>
      <c r="B204" s="27"/>
      <c r="C204" s="27"/>
      <c r="D204" s="27"/>
      <c r="E204" s="27"/>
      <c r="F204" s="27"/>
      <c r="G204" s="27"/>
    </row>
    <row r="205" spans="1:7" ht="12" customHeight="1">
      <c r="A205" s="27"/>
      <c r="B205" s="27"/>
      <c r="C205" s="27"/>
      <c r="D205" s="27"/>
      <c r="E205" s="27"/>
      <c r="F205" s="27"/>
      <c r="G205" s="27"/>
    </row>
    <row r="206" spans="1:7" ht="12" customHeight="1">
      <c r="A206" s="27"/>
      <c r="B206" s="27"/>
      <c r="C206" s="27"/>
      <c r="D206" s="27"/>
      <c r="E206" s="27"/>
      <c r="F206" s="27"/>
      <c r="G206" s="27"/>
    </row>
    <row r="207" spans="1:7" ht="12" customHeight="1">
      <c r="A207" s="27"/>
      <c r="B207" s="27"/>
      <c r="C207" s="27"/>
      <c r="D207" s="27"/>
      <c r="E207" s="27"/>
      <c r="F207" s="27"/>
      <c r="G207" s="27"/>
    </row>
    <row r="208" spans="1:7" ht="12" customHeight="1">
      <c r="A208" s="27"/>
      <c r="B208" s="27"/>
      <c r="C208" s="27"/>
      <c r="D208" s="27"/>
      <c r="E208" s="27"/>
      <c r="F208" s="27"/>
      <c r="G208" s="27"/>
    </row>
    <row r="209" spans="1:7" ht="12" customHeight="1">
      <c r="A209" s="27"/>
      <c r="B209" s="27"/>
      <c r="C209" s="27"/>
      <c r="D209" s="27"/>
      <c r="E209" s="27"/>
      <c r="F209" s="27"/>
      <c r="G209" s="27"/>
    </row>
    <row r="210" spans="1:7" ht="12" customHeight="1">
      <c r="A210" s="27"/>
      <c r="B210" s="27"/>
      <c r="C210" s="27"/>
      <c r="D210" s="27"/>
      <c r="E210" s="27"/>
      <c r="F210" s="27"/>
      <c r="G210" s="27"/>
    </row>
    <row r="211" spans="1:7" ht="12" customHeight="1">
      <c r="A211" s="27"/>
      <c r="B211" s="27"/>
      <c r="C211" s="27"/>
      <c r="D211" s="27"/>
      <c r="E211" s="27"/>
      <c r="F211" s="27"/>
      <c r="G211" s="27"/>
    </row>
    <row r="212" spans="1:7" ht="12" customHeight="1">
      <c r="A212" s="27"/>
      <c r="B212" s="27"/>
      <c r="C212" s="27"/>
      <c r="D212" s="27"/>
      <c r="E212" s="27"/>
      <c r="F212" s="27"/>
      <c r="G212" s="27"/>
    </row>
    <row r="213" spans="1:7" ht="12" customHeight="1">
      <c r="A213" s="27"/>
      <c r="B213" s="27"/>
      <c r="C213" s="27"/>
      <c r="D213" s="27"/>
      <c r="E213" s="27"/>
      <c r="F213" s="27"/>
      <c r="G213" s="27"/>
    </row>
    <row r="214" spans="1:7" ht="12" customHeight="1">
      <c r="A214" s="27"/>
      <c r="B214" s="27"/>
      <c r="C214" s="27"/>
      <c r="D214" s="27"/>
      <c r="E214" s="27"/>
      <c r="F214" s="27"/>
      <c r="G214" s="27"/>
    </row>
    <row r="215" spans="1:7" ht="12" customHeight="1">
      <c r="A215" s="27"/>
      <c r="B215" s="27"/>
      <c r="C215" s="27"/>
      <c r="D215" s="27"/>
      <c r="E215" s="27"/>
      <c r="F215" s="27"/>
      <c r="G215" s="27"/>
    </row>
    <row r="216" spans="1:7" ht="12" customHeight="1">
      <c r="A216" s="27"/>
      <c r="B216" s="27"/>
      <c r="C216" s="27"/>
      <c r="D216" s="27"/>
      <c r="E216" s="27"/>
      <c r="F216" s="27"/>
      <c r="G216" s="27"/>
    </row>
    <row r="217" spans="1:7" ht="12" customHeight="1">
      <c r="A217" s="27"/>
      <c r="B217" s="27"/>
      <c r="C217" s="27"/>
      <c r="D217" s="27"/>
      <c r="E217" s="27"/>
      <c r="F217" s="27"/>
      <c r="G217" s="27"/>
    </row>
    <row r="218" spans="1:7" ht="12" customHeight="1">
      <c r="A218" s="27"/>
      <c r="B218" s="27"/>
      <c r="C218" s="27"/>
      <c r="D218" s="27"/>
      <c r="E218" s="27"/>
      <c r="F218" s="27"/>
      <c r="G218" s="27"/>
    </row>
    <row r="219" spans="1:7" ht="12" customHeight="1">
      <c r="A219" s="27"/>
      <c r="B219" s="27"/>
      <c r="C219" s="27"/>
      <c r="D219" s="27"/>
      <c r="E219" s="27"/>
      <c r="F219" s="27"/>
      <c r="G219" s="27"/>
    </row>
    <row r="220" spans="1:7" ht="12" customHeight="1">
      <c r="A220" s="27"/>
      <c r="B220" s="27"/>
      <c r="C220" s="27"/>
      <c r="D220" s="27"/>
      <c r="E220" s="27"/>
      <c r="F220" s="27"/>
      <c r="G220" s="27"/>
    </row>
    <row r="221" spans="1:7" ht="12" customHeight="1">
      <c r="A221" s="27"/>
      <c r="B221" s="27"/>
      <c r="C221" s="27"/>
      <c r="D221" s="27"/>
      <c r="E221" s="27"/>
      <c r="F221" s="27"/>
      <c r="G221" s="27"/>
    </row>
    <row r="222" spans="1:7" ht="12" customHeight="1">
      <c r="A222" s="27"/>
      <c r="B222" s="27"/>
      <c r="C222" s="27"/>
      <c r="D222" s="27"/>
      <c r="E222" s="27"/>
      <c r="F222" s="27"/>
      <c r="G222" s="27"/>
    </row>
    <row r="223" spans="1:7" ht="12" customHeight="1">
      <c r="A223" s="27"/>
      <c r="B223" s="27"/>
      <c r="C223" s="27"/>
      <c r="D223" s="27"/>
      <c r="E223" s="27"/>
      <c r="F223" s="27"/>
      <c r="G223" s="27"/>
    </row>
    <row r="224" spans="1:7" ht="12" customHeight="1">
      <c r="A224" s="27"/>
      <c r="B224" s="27"/>
      <c r="C224" s="27"/>
      <c r="D224" s="27"/>
      <c r="E224" s="27"/>
      <c r="F224" s="27"/>
      <c r="G224" s="27"/>
    </row>
    <row r="225" spans="1:7" ht="12" customHeight="1">
      <c r="A225" s="27"/>
      <c r="B225" s="27"/>
      <c r="C225" s="27"/>
      <c r="D225" s="27"/>
      <c r="E225" s="27"/>
      <c r="F225" s="27"/>
      <c r="G225" s="27"/>
    </row>
    <row r="226" spans="1:7" ht="12" customHeight="1">
      <c r="A226" s="27"/>
      <c r="B226" s="27"/>
      <c r="C226" s="27"/>
      <c r="D226" s="27"/>
      <c r="E226" s="27"/>
      <c r="F226" s="27"/>
      <c r="G226" s="27"/>
    </row>
    <row r="227" spans="1:7" ht="12" customHeight="1">
      <c r="A227" s="27"/>
      <c r="B227" s="27"/>
      <c r="C227" s="27"/>
      <c r="D227" s="27"/>
      <c r="E227" s="27"/>
      <c r="F227" s="27"/>
      <c r="G227" s="27"/>
    </row>
    <row r="228" spans="1:7" ht="12" customHeight="1">
      <c r="A228" s="27"/>
      <c r="B228" s="27"/>
      <c r="C228" s="27"/>
      <c r="D228" s="27"/>
      <c r="E228" s="27"/>
      <c r="F228" s="27"/>
      <c r="G228" s="27"/>
    </row>
    <row r="229" spans="1:7" ht="12" customHeight="1">
      <c r="A229" s="27"/>
      <c r="B229" s="27"/>
      <c r="C229" s="27"/>
      <c r="D229" s="27"/>
      <c r="E229" s="27"/>
      <c r="F229" s="27"/>
      <c r="G229" s="27"/>
    </row>
    <row r="230" spans="1:7" ht="12" customHeight="1">
      <c r="A230" s="27"/>
      <c r="B230" s="27"/>
      <c r="C230" s="27"/>
      <c r="D230" s="27"/>
      <c r="E230" s="27"/>
      <c r="F230" s="27"/>
      <c r="G230" s="27"/>
    </row>
    <row r="231" spans="1:7" ht="12" customHeight="1">
      <c r="A231" s="27"/>
      <c r="B231" s="27"/>
      <c r="C231" s="27"/>
      <c r="D231" s="27"/>
      <c r="E231" s="27"/>
      <c r="F231" s="27"/>
      <c r="G231" s="27"/>
    </row>
    <row r="232" spans="1:7" ht="12" customHeight="1">
      <c r="A232" s="27"/>
      <c r="B232" s="27"/>
      <c r="C232" s="27"/>
      <c r="D232" s="27"/>
      <c r="E232" s="27"/>
      <c r="F232" s="27"/>
      <c r="G232" s="27"/>
    </row>
    <row r="233" spans="1:7" ht="12" customHeight="1">
      <c r="A233" s="27"/>
      <c r="B233" s="27"/>
      <c r="C233" s="27"/>
      <c r="D233" s="27"/>
      <c r="E233" s="27"/>
      <c r="F233" s="27"/>
      <c r="G233" s="27"/>
    </row>
    <row r="234" spans="1:7" ht="12" customHeight="1">
      <c r="A234" s="27"/>
      <c r="B234" s="27"/>
      <c r="C234" s="27"/>
      <c r="D234" s="27"/>
      <c r="E234" s="27"/>
      <c r="F234" s="27"/>
      <c r="G234" s="27"/>
    </row>
    <row r="235" spans="1:7" ht="12" customHeight="1">
      <c r="A235" s="27"/>
      <c r="B235" s="27"/>
      <c r="C235" s="27"/>
      <c r="D235" s="27"/>
      <c r="E235" s="27"/>
      <c r="F235" s="27"/>
      <c r="G235" s="27"/>
    </row>
    <row r="236" spans="1:7" ht="12" customHeight="1">
      <c r="A236" s="27"/>
      <c r="B236" s="27"/>
      <c r="C236" s="27"/>
      <c r="D236" s="27"/>
      <c r="E236" s="27"/>
      <c r="F236" s="27"/>
      <c r="G236" s="27"/>
    </row>
    <row r="237" spans="1:7" ht="12" customHeight="1">
      <c r="A237" s="27"/>
      <c r="B237" s="27"/>
      <c r="C237" s="27"/>
      <c r="D237" s="27"/>
      <c r="E237" s="27"/>
      <c r="F237" s="27"/>
      <c r="G237" s="27"/>
    </row>
    <row r="238" spans="1:7" ht="12" customHeight="1">
      <c r="A238" s="27"/>
      <c r="B238" s="27"/>
      <c r="C238" s="27"/>
      <c r="D238" s="27"/>
      <c r="E238" s="27"/>
      <c r="F238" s="27"/>
      <c r="G238" s="27"/>
    </row>
    <row r="239" spans="1:7" ht="12" customHeight="1">
      <c r="A239" s="27"/>
      <c r="B239" s="27"/>
      <c r="C239" s="27"/>
      <c r="D239" s="27"/>
      <c r="E239" s="27"/>
      <c r="F239" s="27"/>
      <c r="G239" s="27"/>
    </row>
    <row r="240" spans="1:7" ht="12" customHeight="1">
      <c r="A240" s="27"/>
      <c r="B240" s="27"/>
      <c r="C240" s="27"/>
      <c r="D240" s="27"/>
      <c r="E240" s="27"/>
      <c r="F240" s="27"/>
      <c r="G240" s="27"/>
    </row>
    <row r="241" spans="1:7" ht="12" customHeight="1">
      <c r="A241" s="27"/>
      <c r="B241" s="27"/>
      <c r="C241" s="27"/>
      <c r="D241" s="27"/>
      <c r="E241" s="27"/>
      <c r="F241" s="27"/>
      <c r="G241" s="27"/>
    </row>
    <row r="242" spans="1:7" ht="12" customHeight="1">
      <c r="A242" s="27"/>
      <c r="B242" s="27"/>
      <c r="C242" s="27"/>
      <c r="D242" s="27"/>
      <c r="E242" s="27"/>
      <c r="F242" s="27"/>
      <c r="G242" s="27"/>
    </row>
    <row r="243" spans="1:7" ht="12" customHeight="1">
      <c r="A243" s="27"/>
      <c r="B243" s="27"/>
      <c r="C243" s="27"/>
      <c r="D243" s="27"/>
      <c r="E243" s="27"/>
      <c r="F243" s="27"/>
      <c r="G243" s="27"/>
    </row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</sheetData>
  <mergeCells count="10">
    <mergeCell ref="A6:F6"/>
    <mergeCell ref="A7:F7"/>
    <mergeCell ref="A8:F8"/>
    <mergeCell ref="A10:C10"/>
    <mergeCell ref="D10:D12"/>
    <mergeCell ref="E10:E12"/>
    <mergeCell ref="F10:F12"/>
    <mergeCell ref="A11:A12"/>
    <mergeCell ref="B11:B12"/>
    <mergeCell ref="C11:C12"/>
  </mergeCells>
  <printOptions/>
  <pageMargins left="0.39375" right="0.39375" top="0.27569444444444446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6"/>
  <sheetViews>
    <sheetView zoomScaleSheetLayoutView="100" workbookViewId="0" topLeftCell="A157">
      <selection activeCell="F110" sqref="F110"/>
    </sheetView>
  </sheetViews>
  <sheetFormatPr defaultColWidth="10.28125" defaultRowHeight="9.75" customHeight="1"/>
  <cols>
    <col min="1" max="1" width="5.00390625" style="115" customWidth="1"/>
    <col min="2" max="2" width="6.7109375" style="115" customWidth="1"/>
    <col min="3" max="3" width="5.57421875" style="115" customWidth="1"/>
    <col min="4" max="4" width="51.7109375" style="115" customWidth="1"/>
    <col min="5" max="5" width="14.28125" style="115" customWidth="1"/>
    <col min="6" max="6" width="12.140625" style="115" customWidth="1"/>
    <col min="7" max="16384" width="10.140625" style="115" customWidth="1"/>
  </cols>
  <sheetData>
    <row r="1" spans="5:6" ht="12" customHeight="1">
      <c r="E1" s="237"/>
      <c r="F1" s="208" t="s">
        <v>179</v>
      </c>
    </row>
    <row r="2" spans="5:6" ht="12" customHeight="1">
      <c r="E2" s="237"/>
      <c r="F2" s="208" t="s">
        <v>180</v>
      </c>
    </row>
    <row r="3" spans="5:6" ht="12" customHeight="1">
      <c r="E3" s="237"/>
      <c r="F3" s="208" t="s">
        <v>2</v>
      </c>
    </row>
    <row r="4" spans="5:6" ht="12" customHeight="1">
      <c r="E4" s="237"/>
      <c r="F4" s="208" t="s">
        <v>181</v>
      </c>
    </row>
    <row r="9" spans="1:6" ht="16.5" customHeight="1">
      <c r="A9" s="238" t="s">
        <v>182</v>
      </c>
      <c r="B9" s="238"/>
      <c r="C9" s="238"/>
      <c r="D9" s="238"/>
      <c r="E9" s="238"/>
      <c r="F9" s="238"/>
    </row>
    <row r="10" spans="1:6" ht="15.75" customHeight="1">
      <c r="A10" s="116" t="s">
        <v>183</v>
      </c>
      <c r="B10" s="116"/>
      <c r="C10" s="116"/>
      <c r="D10" s="116"/>
      <c r="E10" s="116"/>
      <c r="F10" s="116"/>
    </row>
    <row r="11" spans="1:6" ht="20.25" customHeight="1">
      <c r="A11" s="116" t="s">
        <v>184</v>
      </c>
      <c r="B11" s="116"/>
      <c r="C11" s="116"/>
      <c r="D11" s="116"/>
      <c r="E11" s="116"/>
      <c r="F11" s="116"/>
    </row>
    <row r="12" spans="2:6" ht="9.75" customHeight="1">
      <c r="B12" s="239"/>
      <c r="C12" s="239"/>
      <c r="D12" s="239"/>
      <c r="E12" s="239"/>
      <c r="F12" s="239"/>
    </row>
    <row r="13" spans="5:7" ht="10.5" customHeight="1">
      <c r="E13" s="240"/>
      <c r="F13" s="240"/>
      <c r="G13" s="241"/>
    </row>
    <row r="14" spans="1:7" ht="11.25" customHeight="1">
      <c r="A14" s="242"/>
      <c r="B14" s="243"/>
      <c r="C14" s="243"/>
      <c r="D14" s="244"/>
      <c r="E14" s="245"/>
      <c r="F14" s="246"/>
      <c r="G14" s="247" t="s">
        <v>185</v>
      </c>
    </row>
    <row r="15" spans="1:7" ht="11.25" customHeight="1">
      <c r="A15" s="248" t="s">
        <v>118</v>
      </c>
      <c r="B15" s="249" t="s">
        <v>119</v>
      </c>
      <c r="C15" s="250" t="s">
        <v>120</v>
      </c>
      <c r="D15" s="250" t="s">
        <v>186</v>
      </c>
      <c r="E15" s="250" t="s">
        <v>116</v>
      </c>
      <c r="F15" s="251" t="s">
        <v>117</v>
      </c>
      <c r="G15" s="252" t="s">
        <v>187</v>
      </c>
    </row>
    <row r="16" spans="1:7" ht="11.25" customHeight="1">
      <c r="A16" s="248"/>
      <c r="B16" s="249"/>
      <c r="C16" s="250"/>
      <c r="D16" s="250"/>
      <c r="E16" s="250"/>
      <c r="F16" s="251"/>
      <c r="G16" s="252" t="s">
        <v>188</v>
      </c>
    </row>
    <row r="17" spans="1:7" ht="12" customHeight="1">
      <c r="A17" s="253"/>
      <c r="B17" s="254"/>
      <c r="C17" s="255"/>
      <c r="D17" s="256"/>
      <c r="E17" s="256"/>
      <c r="F17" s="257"/>
      <c r="G17" s="258" t="s">
        <v>189</v>
      </c>
    </row>
    <row r="18" spans="1:7" s="264" customFormat="1" ht="10.5" customHeight="1">
      <c r="A18" s="259">
        <v>1</v>
      </c>
      <c r="B18" s="260">
        <v>2</v>
      </c>
      <c r="C18" s="261">
        <v>3</v>
      </c>
      <c r="D18" s="261">
        <v>4</v>
      </c>
      <c r="E18" s="261">
        <v>5</v>
      </c>
      <c r="F18" s="262">
        <v>6</v>
      </c>
      <c r="G18" s="263">
        <v>7</v>
      </c>
    </row>
    <row r="19" spans="1:7" ht="13.5" customHeight="1">
      <c r="A19" s="265" t="s">
        <v>190</v>
      </c>
      <c r="B19" s="266"/>
      <c r="C19" s="267"/>
      <c r="D19" s="268" t="s">
        <v>191</v>
      </c>
      <c r="E19" s="269" t="e">
        <f>E20</f>
        <v>#NAME?</v>
      </c>
      <c r="F19" s="270" t="e">
        <f>F20</f>
        <v>#NAME?</v>
      </c>
      <c r="G19" s="271">
        <f>G20</f>
        <v>2066</v>
      </c>
    </row>
    <row r="20" spans="1:7" ht="12.75" customHeight="1">
      <c r="A20" s="272"/>
      <c r="B20" s="273" t="s">
        <v>192</v>
      </c>
      <c r="C20" s="274"/>
      <c r="D20" s="275" t="s">
        <v>193</v>
      </c>
      <c r="E20" s="276" t="e">
        <f>E21</f>
        <v>#NAME?</v>
      </c>
      <c r="F20" s="277" t="e">
        <f>SUM(F21:F22)</f>
        <v>#NAME?</v>
      </c>
      <c r="G20" s="278">
        <f>G25</f>
        <v>2066</v>
      </c>
    </row>
    <row r="21" spans="1:7" ht="12.75" customHeight="1">
      <c r="A21" s="272"/>
      <c r="B21" s="279"/>
      <c r="C21" s="280" t="s">
        <v>194</v>
      </c>
      <c r="D21" s="281" t="s">
        <v>195</v>
      </c>
      <c r="E21" s="282" t="e">
        <f>"'[1]dochody-ukł.wykon.'!f14"</f>
        <v>#NAME?</v>
      </c>
      <c r="F21" s="283"/>
      <c r="G21" s="284"/>
    </row>
    <row r="22" spans="1:7" ht="12.75" customHeight="1">
      <c r="A22" s="272"/>
      <c r="B22" s="279"/>
      <c r="C22" s="280" t="s">
        <v>196</v>
      </c>
      <c r="D22" s="281" t="s">
        <v>148</v>
      </c>
      <c r="E22" s="282"/>
      <c r="F22" s="283" t="e">
        <f>"'[1]wydatki ukł.wyk.'!f17"</f>
        <v>#NAME?</v>
      </c>
      <c r="G22" s="284"/>
    </row>
    <row r="23" spans="1:7" ht="12.75" customHeight="1">
      <c r="A23" s="272"/>
      <c r="B23" s="279"/>
      <c r="C23" s="280"/>
      <c r="D23" s="281"/>
      <c r="E23" s="282"/>
      <c r="F23" s="283"/>
      <c r="G23" s="284"/>
    </row>
    <row r="24" spans="1:7" ht="12.75" customHeight="1">
      <c r="A24" s="272"/>
      <c r="B24" s="273" t="s">
        <v>197</v>
      </c>
      <c r="C24" s="285"/>
      <c r="D24" s="286" t="s">
        <v>198</v>
      </c>
      <c r="E24" s="287"/>
      <c r="F24" s="277"/>
      <c r="G24" s="288">
        <f>G25</f>
        <v>2066</v>
      </c>
    </row>
    <row r="25" spans="1:7" ht="12.75" customHeight="1">
      <c r="A25" s="272"/>
      <c r="B25" s="279"/>
      <c r="C25" s="280" t="s">
        <v>199</v>
      </c>
      <c r="D25" s="281" t="s">
        <v>200</v>
      </c>
      <c r="E25" s="282"/>
      <c r="F25" s="283"/>
      <c r="G25" s="284">
        <v>2066</v>
      </c>
    </row>
    <row r="26" spans="1:7" ht="12.75" customHeight="1">
      <c r="A26" s="289"/>
      <c r="B26" s="279"/>
      <c r="C26" s="188"/>
      <c r="D26" s="281"/>
      <c r="E26" s="282"/>
      <c r="F26" s="283"/>
      <c r="G26" s="284"/>
    </row>
    <row r="27" spans="1:7" ht="13.5" customHeight="1">
      <c r="A27" s="290">
        <v>700</v>
      </c>
      <c r="B27" s="266"/>
      <c r="C27" s="267"/>
      <c r="D27" s="291" t="s">
        <v>201</v>
      </c>
      <c r="E27" s="269" t="e">
        <f>E28</f>
        <v>#NAME?</v>
      </c>
      <c r="F27" s="270">
        <f>F28</f>
        <v>25000</v>
      </c>
      <c r="G27" s="292">
        <f>G28</f>
        <v>412000</v>
      </c>
    </row>
    <row r="28" spans="1:7" ht="12.75" customHeight="1">
      <c r="A28" s="289"/>
      <c r="B28" s="293">
        <v>70005</v>
      </c>
      <c r="C28" s="274"/>
      <c r="D28" s="286" t="s">
        <v>202</v>
      </c>
      <c r="E28" s="276" t="e">
        <f>E29</f>
        <v>#NAME?</v>
      </c>
      <c r="F28" s="277">
        <f>SUM(F31:F35)</f>
        <v>25000</v>
      </c>
      <c r="G28" s="278">
        <f>G30</f>
        <v>412000</v>
      </c>
    </row>
    <row r="29" spans="1:7" ht="12.75" customHeight="1">
      <c r="A29" s="289"/>
      <c r="B29" s="279"/>
      <c r="C29" s="280" t="s">
        <v>194</v>
      </c>
      <c r="D29" s="281" t="s">
        <v>195</v>
      </c>
      <c r="E29" s="282" t="e">
        <f>"'[1]dochody-ukł.wykon.'!f48"</f>
        <v>#NAME?</v>
      </c>
      <c r="F29" s="283"/>
      <c r="G29" s="284"/>
    </row>
    <row r="30" spans="1:7" ht="12.75" customHeight="1">
      <c r="A30" s="289"/>
      <c r="B30" s="279"/>
      <c r="C30" s="280" t="s">
        <v>199</v>
      </c>
      <c r="D30" s="281" t="s">
        <v>200</v>
      </c>
      <c r="E30" s="282"/>
      <c r="F30" s="283"/>
      <c r="G30" s="284">
        <v>412000</v>
      </c>
    </row>
    <row r="31" spans="1:7" ht="12.75" customHeight="1">
      <c r="A31" s="289"/>
      <c r="B31" s="279"/>
      <c r="C31" s="294">
        <v>4210</v>
      </c>
      <c r="D31" s="189" t="s">
        <v>144</v>
      </c>
      <c r="E31" s="282"/>
      <c r="F31" s="283">
        <v>500</v>
      </c>
      <c r="G31" s="284"/>
    </row>
    <row r="32" spans="1:7" ht="12.75" customHeight="1">
      <c r="A32" s="289"/>
      <c r="B32" s="279"/>
      <c r="C32" s="280" t="s">
        <v>203</v>
      </c>
      <c r="D32" s="281" t="s">
        <v>126</v>
      </c>
      <c r="E32" s="282"/>
      <c r="F32" s="295">
        <v>4000</v>
      </c>
      <c r="G32" s="284"/>
    </row>
    <row r="33" spans="1:7" ht="12.75" customHeight="1">
      <c r="A33" s="289"/>
      <c r="B33" s="279"/>
      <c r="C33" s="280" t="s">
        <v>196</v>
      </c>
      <c r="D33" s="281" t="s">
        <v>148</v>
      </c>
      <c r="E33" s="282"/>
      <c r="F33" s="295">
        <f>15000-500</f>
        <v>14500</v>
      </c>
      <c r="G33" s="284"/>
    </row>
    <row r="34" spans="1:7" ht="12.75" customHeight="1">
      <c r="A34" s="289"/>
      <c r="B34" s="279"/>
      <c r="C34" s="280" t="s">
        <v>204</v>
      </c>
      <c r="D34" s="281" t="s">
        <v>205</v>
      </c>
      <c r="E34" s="282"/>
      <c r="F34" s="295">
        <v>4000</v>
      </c>
      <c r="G34" s="296"/>
    </row>
    <row r="35" spans="1:7" ht="12.75" customHeight="1">
      <c r="A35" s="289"/>
      <c r="B35" s="279"/>
      <c r="C35" s="280" t="s">
        <v>206</v>
      </c>
      <c r="D35" s="189" t="s">
        <v>207</v>
      </c>
      <c r="E35" s="282"/>
      <c r="F35" s="295">
        <v>2000</v>
      </c>
      <c r="G35" s="296"/>
    </row>
    <row r="36" spans="1:7" ht="12.75" customHeight="1">
      <c r="A36" s="289"/>
      <c r="B36" s="279"/>
      <c r="C36" s="280"/>
      <c r="D36" s="281"/>
      <c r="E36" s="282"/>
      <c r="F36" s="283"/>
      <c r="G36" s="296"/>
    </row>
    <row r="37" spans="1:7" ht="13.5" customHeight="1">
      <c r="A37" s="290">
        <v>710</v>
      </c>
      <c r="B37" s="266"/>
      <c r="C37" s="297"/>
      <c r="D37" s="291" t="s">
        <v>208</v>
      </c>
      <c r="E37" s="269" t="e">
        <f>E38+E43+E47</f>
        <v>#NAME?</v>
      </c>
      <c r="F37" s="270" t="e">
        <f>F38+F43+F47</f>
        <v>#NAME?</v>
      </c>
      <c r="G37" s="296"/>
    </row>
    <row r="38" spans="1:7" ht="12.75" customHeight="1">
      <c r="A38" s="289"/>
      <c r="B38" s="293">
        <v>71013</v>
      </c>
      <c r="C38" s="285"/>
      <c r="D38" s="286" t="s">
        <v>209</v>
      </c>
      <c r="E38" s="276" t="e">
        <f>E39</f>
        <v>#NAME?</v>
      </c>
      <c r="F38" s="277" t="e">
        <f>SUM(F40:F41)</f>
        <v>#NAME?</v>
      </c>
      <c r="G38" s="296"/>
    </row>
    <row r="39" spans="1:7" ht="12.75" customHeight="1">
      <c r="A39" s="289"/>
      <c r="B39" s="279"/>
      <c r="C39" s="280" t="s">
        <v>194</v>
      </c>
      <c r="D39" s="281" t="s">
        <v>195</v>
      </c>
      <c r="E39" s="282" t="e">
        <f>"'[1]dochody-ukł.wykon.'!f56"</f>
        <v>#NAME?</v>
      </c>
      <c r="F39" s="283"/>
      <c r="G39" s="296"/>
    </row>
    <row r="40" spans="1:7" ht="12.75" customHeight="1">
      <c r="A40" s="289"/>
      <c r="B40" s="279"/>
      <c r="C40" s="280" t="s">
        <v>196</v>
      </c>
      <c r="D40" s="281" t="s">
        <v>148</v>
      </c>
      <c r="E40" s="282"/>
      <c r="F40" s="283" t="e">
        <f>"'[1]wydatki ukł.wyk.'!f91"</f>
        <v>#NAME?</v>
      </c>
      <c r="G40" s="296"/>
    </row>
    <row r="41" spans="1:7" ht="12.75" customHeight="1">
      <c r="A41" s="289"/>
      <c r="B41" s="279"/>
      <c r="C41" s="280" t="s">
        <v>206</v>
      </c>
      <c r="D41" s="189" t="s">
        <v>210</v>
      </c>
      <c r="E41" s="282"/>
      <c r="F41" s="283" t="e">
        <f>"'[1]wydatki ukł.wyk.'!f92"</f>
        <v>#NAME?</v>
      </c>
      <c r="G41" s="296"/>
    </row>
    <row r="42" spans="1:7" ht="12.75" customHeight="1">
      <c r="A42" s="289"/>
      <c r="B42" s="279"/>
      <c r="C42" s="280"/>
      <c r="D42" s="281"/>
      <c r="E42" s="282"/>
      <c r="F42" s="283"/>
      <c r="G42" s="296"/>
    </row>
    <row r="43" spans="1:7" ht="12.75" customHeight="1">
      <c r="A43" s="289"/>
      <c r="B43" s="293">
        <v>71014</v>
      </c>
      <c r="C43" s="285"/>
      <c r="D43" s="286" t="s">
        <v>211</v>
      </c>
      <c r="E43" s="276" t="e">
        <f>E44</f>
        <v>#NAME?</v>
      </c>
      <c r="F43" s="277" t="e">
        <f>SUM(F45)</f>
        <v>#NAME?</v>
      </c>
      <c r="G43" s="296"/>
    </row>
    <row r="44" spans="1:7" ht="12.75" customHeight="1">
      <c r="A44" s="289"/>
      <c r="B44" s="279"/>
      <c r="C44" s="280" t="s">
        <v>194</v>
      </c>
      <c r="D44" s="281" t="s">
        <v>195</v>
      </c>
      <c r="E44" s="282" t="e">
        <f>"'[1]dochody-ukł.wykon.'!f60"</f>
        <v>#NAME?</v>
      </c>
      <c r="F44" s="283"/>
      <c r="G44" s="296"/>
    </row>
    <row r="45" spans="1:7" ht="12.75" customHeight="1">
      <c r="A45" s="289"/>
      <c r="B45" s="279"/>
      <c r="C45" s="280" t="s">
        <v>196</v>
      </c>
      <c r="D45" s="281" t="s">
        <v>148</v>
      </c>
      <c r="E45" s="282"/>
      <c r="F45" s="283" t="e">
        <f>"'[1]wydatki ukł.wyk.'!f95"</f>
        <v>#NAME?</v>
      </c>
      <c r="G45" s="296"/>
    </row>
    <row r="46" spans="1:7" ht="12.75" customHeight="1">
      <c r="A46" s="289"/>
      <c r="B46" s="279"/>
      <c r="C46" s="280"/>
      <c r="D46" s="281"/>
      <c r="E46" s="282"/>
      <c r="F46" s="283"/>
      <c r="G46" s="296"/>
    </row>
    <row r="47" spans="1:7" ht="12.75" customHeight="1">
      <c r="A47" s="289"/>
      <c r="B47" s="293">
        <v>71015</v>
      </c>
      <c r="C47" s="274"/>
      <c r="D47" s="286" t="s">
        <v>212</v>
      </c>
      <c r="E47" s="276" t="e">
        <f>SUM(E48:E48)</f>
        <v>#NAME?</v>
      </c>
      <c r="F47" s="277" t="e">
        <f>SUM(F49:F70)</f>
        <v>#NAME?</v>
      </c>
      <c r="G47" s="296"/>
    </row>
    <row r="48" spans="1:7" ht="12.75" customHeight="1">
      <c r="A48" s="289"/>
      <c r="B48" s="279"/>
      <c r="C48" s="298">
        <v>2110</v>
      </c>
      <c r="D48" s="281" t="s">
        <v>195</v>
      </c>
      <c r="E48" s="282" t="e">
        <f>"'[1]dochody-ukł.wykon.'!f64"</f>
        <v>#NAME?</v>
      </c>
      <c r="F48" s="283"/>
      <c r="G48" s="296"/>
    </row>
    <row r="49" spans="1:7" ht="12.75" customHeight="1">
      <c r="A49" s="289"/>
      <c r="B49" s="279"/>
      <c r="C49" s="294">
        <v>4010</v>
      </c>
      <c r="D49" s="189" t="s">
        <v>141</v>
      </c>
      <c r="E49" s="282"/>
      <c r="F49" s="283" t="e">
        <f>"'[1]wydatki ukł.wyk.'!f98"</f>
        <v>#NAME?</v>
      </c>
      <c r="G49" s="296"/>
    </row>
    <row r="50" spans="1:7" ht="12.75" customHeight="1">
      <c r="A50" s="289"/>
      <c r="B50" s="279"/>
      <c r="C50" s="294">
        <v>4020</v>
      </c>
      <c r="D50" s="189" t="s">
        <v>213</v>
      </c>
      <c r="E50" s="282"/>
      <c r="F50" s="283" t="e">
        <f>"'[1]wydatki ukł.wyk.'!f99"</f>
        <v>#NAME?</v>
      </c>
      <c r="G50" s="296"/>
    </row>
    <row r="51" spans="1:7" ht="12.75" customHeight="1">
      <c r="A51" s="289"/>
      <c r="B51" s="279"/>
      <c r="C51" s="294">
        <v>4040</v>
      </c>
      <c r="D51" s="189" t="s">
        <v>214</v>
      </c>
      <c r="E51" s="282"/>
      <c r="F51" s="283" t="e">
        <f>"'[1]wydatki ukł.wyk.'!f100"</f>
        <v>#NAME?</v>
      </c>
      <c r="G51" s="296"/>
    </row>
    <row r="52" spans="1:7" ht="12.75" customHeight="1">
      <c r="A52" s="289"/>
      <c r="B52" s="279"/>
      <c r="C52" s="294">
        <v>4110</v>
      </c>
      <c r="D52" s="189" t="s">
        <v>162</v>
      </c>
      <c r="E52" s="282"/>
      <c r="F52" s="283" t="e">
        <f>"'[1]wydatki ukł.wyk.'!f101"</f>
        <v>#NAME?</v>
      </c>
      <c r="G52" s="296"/>
    </row>
    <row r="53" spans="1:7" ht="12.75" customHeight="1">
      <c r="A53" s="289"/>
      <c r="B53" s="279"/>
      <c r="C53" s="294">
        <v>4120</v>
      </c>
      <c r="D53" s="189" t="s">
        <v>215</v>
      </c>
      <c r="E53" s="282"/>
      <c r="F53" s="283" t="e">
        <f>"'[1]wydatki ukł.wyk.'!f102"</f>
        <v>#NAME?</v>
      </c>
      <c r="G53" s="296"/>
    </row>
    <row r="54" spans="1:7" ht="12.75" customHeight="1">
      <c r="A54" s="289"/>
      <c r="B54" s="279"/>
      <c r="C54" s="294">
        <v>4170</v>
      </c>
      <c r="D54" s="189" t="s">
        <v>163</v>
      </c>
      <c r="E54" s="282"/>
      <c r="F54" s="283" t="e">
        <f>"'[1]wydatki ukł.wyk.'!f103"</f>
        <v>#NAME?</v>
      </c>
      <c r="G54" s="296"/>
    </row>
    <row r="55" spans="1:7" ht="12.75" customHeight="1">
      <c r="A55" s="289"/>
      <c r="B55" s="279"/>
      <c r="C55" s="294">
        <v>4210</v>
      </c>
      <c r="D55" s="189" t="s">
        <v>144</v>
      </c>
      <c r="E55" s="282"/>
      <c r="F55" s="283" t="e">
        <f>"'[1]wydatki ukł.wyk.'!f104"</f>
        <v>#NAME?</v>
      </c>
      <c r="G55" s="296"/>
    </row>
    <row r="56" spans="1:7" ht="12.75" customHeight="1">
      <c r="A56" s="289"/>
      <c r="B56" s="279"/>
      <c r="C56" s="188">
        <v>4270</v>
      </c>
      <c r="D56" s="189" t="s">
        <v>126</v>
      </c>
      <c r="E56" s="282"/>
      <c r="F56" s="283" t="e">
        <f>"'[1]wydatki ukł.wyk.'!f105"</f>
        <v>#NAME?</v>
      </c>
      <c r="G56" s="296"/>
    </row>
    <row r="57" spans="1:7" ht="12.75" customHeight="1">
      <c r="A57" s="289"/>
      <c r="B57" s="279"/>
      <c r="C57" s="294">
        <v>4280</v>
      </c>
      <c r="D57" s="189" t="s">
        <v>147</v>
      </c>
      <c r="E57" s="282"/>
      <c r="F57" s="283" t="e">
        <f>"'[1]wydatki ukł.wyk.'!f106"</f>
        <v>#NAME?</v>
      </c>
      <c r="G57" s="296"/>
    </row>
    <row r="58" spans="1:7" ht="12.75" customHeight="1">
      <c r="A58" s="289"/>
      <c r="B58" s="279"/>
      <c r="C58" s="299" t="s">
        <v>196</v>
      </c>
      <c r="D58" s="189" t="s">
        <v>148</v>
      </c>
      <c r="E58" s="282"/>
      <c r="F58" s="283" t="e">
        <f>"'[1]wydatki ukł.wyk.'!f107"</f>
        <v>#NAME?</v>
      </c>
      <c r="G58" s="296"/>
    </row>
    <row r="59" spans="1:7" ht="12.75" customHeight="1">
      <c r="A59" s="289"/>
      <c r="B59" s="279"/>
      <c r="C59" s="188">
        <v>4350</v>
      </c>
      <c r="D59" s="189" t="s">
        <v>149</v>
      </c>
      <c r="E59" s="282"/>
      <c r="F59" s="283" t="e">
        <f>"'[1]wydatki ukł.wyk.'!f108"</f>
        <v>#NAME?</v>
      </c>
      <c r="G59" s="296"/>
    </row>
    <row r="60" spans="1:7" ht="12.75" customHeight="1">
      <c r="A60" s="289"/>
      <c r="B60" s="279"/>
      <c r="C60" s="188">
        <v>4360</v>
      </c>
      <c r="D60" s="189" t="s">
        <v>216</v>
      </c>
      <c r="E60" s="282"/>
      <c r="F60" s="283" t="e">
        <f>"'[1]wydatki ukł.wyk.'!f109"</f>
        <v>#NAME?</v>
      </c>
      <c r="G60" s="296"/>
    </row>
    <row r="61" spans="1:7" ht="12.75" customHeight="1">
      <c r="A61" s="289"/>
      <c r="B61" s="279"/>
      <c r="C61" s="188">
        <v>4370</v>
      </c>
      <c r="D61" s="189" t="s">
        <v>217</v>
      </c>
      <c r="E61" s="282"/>
      <c r="F61" s="283" t="e">
        <f>"'[1]wydatki ukł.wyk.'!f110"</f>
        <v>#NAME?</v>
      </c>
      <c r="G61" s="296"/>
    </row>
    <row r="62" spans="1:7" ht="12.75" customHeight="1">
      <c r="A62" s="289"/>
      <c r="B62" s="279"/>
      <c r="C62" s="188">
        <v>4400</v>
      </c>
      <c r="D62" s="189" t="s">
        <v>218</v>
      </c>
      <c r="E62" s="282"/>
      <c r="F62" s="283" t="e">
        <f>"'[1]wydatki ukł.wyk.'!f111"</f>
        <v>#NAME?</v>
      </c>
      <c r="G62" s="296"/>
    </row>
    <row r="63" spans="1:7" ht="12.75" customHeight="1">
      <c r="A63" s="289"/>
      <c r="B63" s="279"/>
      <c r="C63" s="188">
        <v>4410</v>
      </c>
      <c r="D63" s="189" t="s">
        <v>219</v>
      </c>
      <c r="E63" s="282"/>
      <c r="F63" s="283" t="e">
        <f>"'[1]wydatki ukł.wyk.'!f112"</f>
        <v>#NAME?</v>
      </c>
      <c r="G63" s="296"/>
    </row>
    <row r="64" spans="1:7" ht="12.75" customHeight="1">
      <c r="A64" s="289"/>
      <c r="B64" s="279"/>
      <c r="C64" s="299" t="s">
        <v>220</v>
      </c>
      <c r="D64" s="189" t="s">
        <v>166</v>
      </c>
      <c r="E64" s="282"/>
      <c r="F64" s="283" t="e">
        <f>"'[1]wydatki ukł.wyk.'!f113"</f>
        <v>#NAME?</v>
      </c>
      <c r="G64" s="296"/>
    </row>
    <row r="65" spans="1:7" ht="12.75" customHeight="1">
      <c r="A65" s="289"/>
      <c r="B65" s="279"/>
      <c r="C65" s="299" t="s">
        <v>221</v>
      </c>
      <c r="D65" s="189" t="s">
        <v>222</v>
      </c>
      <c r="E65" s="282"/>
      <c r="F65" s="283" t="e">
        <f>"'[1]wydatki ukł.wyk.'!f114"</f>
        <v>#NAME?</v>
      </c>
      <c r="G65" s="296"/>
    </row>
    <row r="66" spans="1:7" ht="12.75" customHeight="1">
      <c r="A66" s="289"/>
      <c r="B66" s="279"/>
      <c r="C66" s="300" t="s">
        <v>223</v>
      </c>
      <c r="D66" s="189" t="s">
        <v>224</v>
      </c>
      <c r="E66" s="282"/>
      <c r="F66" s="283" t="e">
        <f>"'[1]wydatki ukł.wyk.'!f115"</f>
        <v>#NAME?</v>
      </c>
      <c r="G66" s="296"/>
    </row>
    <row r="67" spans="1:7" ht="12.75" customHeight="1">
      <c r="A67" s="289"/>
      <c r="B67" s="279"/>
      <c r="C67" s="300" t="s">
        <v>225</v>
      </c>
      <c r="D67" s="189" t="s">
        <v>226</v>
      </c>
      <c r="E67" s="282"/>
      <c r="F67" s="283" t="e">
        <f>"'[1]wydatki ukł.wyk.'!f116"</f>
        <v>#NAME?</v>
      </c>
      <c r="G67" s="296"/>
    </row>
    <row r="68" spans="1:7" ht="12.75" customHeight="1">
      <c r="A68" s="289"/>
      <c r="B68" s="279"/>
      <c r="C68" s="300" t="s">
        <v>206</v>
      </c>
      <c r="D68" s="189" t="s">
        <v>210</v>
      </c>
      <c r="E68" s="282"/>
      <c r="F68" s="283" t="e">
        <f>"'[1]wydatki ukł.wyk.'!f117"</f>
        <v>#NAME?</v>
      </c>
      <c r="G68" s="296"/>
    </row>
    <row r="69" spans="1:7" ht="12.75" customHeight="1">
      <c r="A69" s="289"/>
      <c r="B69" s="279"/>
      <c r="C69" s="300" t="s">
        <v>227</v>
      </c>
      <c r="D69" s="281" t="s">
        <v>228</v>
      </c>
      <c r="E69" s="282"/>
      <c r="F69" s="283" t="e">
        <f>"'[1]wydatki ukł.wyk.'!f118"</f>
        <v>#NAME?</v>
      </c>
      <c r="G69" s="296"/>
    </row>
    <row r="70" spans="1:7" ht="12.75" customHeight="1">
      <c r="A70" s="289"/>
      <c r="B70" s="279"/>
      <c r="C70" s="300" t="s">
        <v>229</v>
      </c>
      <c r="D70" s="189" t="s">
        <v>152</v>
      </c>
      <c r="E70" s="282"/>
      <c r="F70" s="283" t="e">
        <f>"'[1]wydatki ukł.wyk.'!f119"</f>
        <v>#NAME?</v>
      </c>
      <c r="G70" s="296"/>
    </row>
    <row r="71" spans="1:7" ht="12.75" customHeight="1">
      <c r="A71" s="272"/>
      <c r="B71" s="301"/>
      <c r="C71" s="188"/>
      <c r="D71" s="281"/>
      <c r="E71" s="282"/>
      <c r="F71" s="283"/>
      <c r="G71" s="296"/>
    </row>
    <row r="72" spans="1:7" ht="13.5" customHeight="1">
      <c r="A72" s="290">
        <v>750</v>
      </c>
      <c r="B72" s="266"/>
      <c r="C72" s="267"/>
      <c r="D72" s="291" t="s">
        <v>135</v>
      </c>
      <c r="E72" s="269" t="e">
        <f>E73+E93</f>
        <v>#NAME?</v>
      </c>
      <c r="F72" s="270" t="e">
        <f>F73+F93</f>
        <v>#NAME?</v>
      </c>
      <c r="G72" s="296"/>
    </row>
    <row r="73" spans="1:7" ht="12.75" customHeight="1">
      <c r="A73" s="289"/>
      <c r="B73" s="293">
        <v>75011</v>
      </c>
      <c r="C73" s="274"/>
      <c r="D73" s="286" t="s">
        <v>230</v>
      </c>
      <c r="E73" s="276" t="e">
        <f>E74</f>
        <v>#NAME?</v>
      </c>
      <c r="F73" s="277">
        <f>SUM(F75:F92)</f>
        <v>160300</v>
      </c>
      <c r="G73" s="296"/>
    </row>
    <row r="74" spans="1:7" ht="12.75" customHeight="1">
      <c r="A74" s="289"/>
      <c r="B74" s="279"/>
      <c r="C74" s="188">
        <v>2110</v>
      </c>
      <c r="D74" s="281" t="s">
        <v>195</v>
      </c>
      <c r="E74" s="282" t="e">
        <f>"'[1]dochody-ukł.wykon.'!i69"</f>
        <v>#NAME?</v>
      </c>
      <c r="F74" s="283"/>
      <c r="G74" s="296"/>
    </row>
    <row r="75" spans="1:7" ht="12.75" customHeight="1">
      <c r="A75" s="289"/>
      <c r="B75" s="279"/>
      <c r="C75" s="294">
        <v>3020</v>
      </c>
      <c r="D75" s="302" t="s">
        <v>231</v>
      </c>
      <c r="E75" s="303"/>
      <c r="F75" s="295">
        <f>218+546</f>
        <v>764</v>
      </c>
      <c r="G75" s="296"/>
    </row>
    <row r="76" spans="1:7" ht="12.75" customHeight="1">
      <c r="A76" s="289"/>
      <c r="B76" s="279"/>
      <c r="C76" s="294">
        <v>4010</v>
      </c>
      <c r="D76" s="189" t="s">
        <v>141</v>
      </c>
      <c r="E76" s="282"/>
      <c r="F76" s="295">
        <f>47377+37060</f>
        <v>84437</v>
      </c>
      <c r="G76" s="296"/>
    </row>
    <row r="77" spans="1:7" ht="12.75" customHeight="1">
      <c r="A77" s="289"/>
      <c r="B77" s="279"/>
      <c r="C77" s="294">
        <v>4040</v>
      </c>
      <c r="D77" s="189" t="s">
        <v>214</v>
      </c>
      <c r="E77" s="282"/>
      <c r="F77" s="295">
        <f>4027+12032</f>
        <v>16059</v>
      </c>
      <c r="G77" s="296"/>
    </row>
    <row r="78" spans="1:7" ht="12.75" customHeight="1">
      <c r="A78" s="289"/>
      <c r="B78" s="279"/>
      <c r="C78" s="294">
        <v>4110</v>
      </c>
      <c r="D78" s="189" t="s">
        <v>162</v>
      </c>
      <c r="E78" s="282"/>
      <c r="F78" s="295">
        <f>7809+4020</f>
        <v>11829</v>
      </c>
      <c r="G78" s="296"/>
    </row>
    <row r="79" spans="1:7" ht="12.75" customHeight="1">
      <c r="A79" s="289"/>
      <c r="B79" s="279"/>
      <c r="C79" s="294">
        <v>4120</v>
      </c>
      <c r="D79" s="189" t="s">
        <v>143</v>
      </c>
      <c r="E79" s="282"/>
      <c r="F79" s="295">
        <f>1260+1006</f>
        <v>2266</v>
      </c>
      <c r="G79" s="296"/>
    </row>
    <row r="80" spans="1:7" ht="12.75" customHeight="1">
      <c r="A80" s="289"/>
      <c r="B80" s="279"/>
      <c r="C80" s="294">
        <v>4170</v>
      </c>
      <c r="D80" s="189" t="s">
        <v>163</v>
      </c>
      <c r="E80" s="282"/>
      <c r="F80" s="295">
        <f>0+6000</f>
        <v>6000</v>
      </c>
      <c r="G80" s="296"/>
    </row>
    <row r="81" spans="1:7" ht="12.75" customHeight="1">
      <c r="A81" s="289"/>
      <c r="B81" s="279"/>
      <c r="C81" s="294">
        <v>4210</v>
      </c>
      <c r="D81" s="189" t="s">
        <v>144</v>
      </c>
      <c r="E81" s="282"/>
      <c r="F81" s="295">
        <f>800+3140</f>
        <v>3940</v>
      </c>
      <c r="G81" s="296"/>
    </row>
    <row r="82" spans="1:7" ht="12.75" customHeight="1">
      <c r="A82" s="289"/>
      <c r="B82" s="279"/>
      <c r="C82" s="294">
        <v>4260</v>
      </c>
      <c r="D82" s="189" t="s">
        <v>146</v>
      </c>
      <c r="E82" s="282"/>
      <c r="F82" s="295">
        <f>4200+4200</f>
        <v>8400</v>
      </c>
      <c r="G82" s="296"/>
    </row>
    <row r="83" spans="1:7" ht="12.75" customHeight="1">
      <c r="A83" s="289"/>
      <c r="B83" s="279"/>
      <c r="C83" s="294">
        <v>4270</v>
      </c>
      <c r="D83" s="189" t="s">
        <v>126</v>
      </c>
      <c r="E83" s="282"/>
      <c r="F83" s="295">
        <f>1000+2000</f>
        <v>3000</v>
      </c>
      <c r="G83" s="296"/>
    </row>
    <row r="84" spans="1:7" ht="12.75" customHeight="1">
      <c r="A84" s="289"/>
      <c r="B84" s="279"/>
      <c r="C84" s="294">
        <v>4280</v>
      </c>
      <c r="D84" s="189" t="s">
        <v>147</v>
      </c>
      <c r="E84" s="282"/>
      <c r="F84" s="295">
        <f>70+240</f>
        <v>310</v>
      </c>
      <c r="G84" s="296"/>
    </row>
    <row r="85" spans="1:7" ht="12.75" customHeight="1">
      <c r="A85" s="289"/>
      <c r="B85" s="279"/>
      <c r="C85" s="299" t="s">
        <v>196</v>
      </c>
      <c r="D85" s="189" t="s">
        <v>148</v>
      </c>
      <c r="E85" s="282"/>
      <c r="F85" s="295">
        <f>1186+1284</f>
        <v>2470</v>
      </c>
      <c r="G85" s="296"/>
    </row>
    <row r="86" spans="1:7" ht="12.75" customHeight="1">
      <c r="A86" s="289"/>
      <c r="B86" s="279"/>
      <c r="C86" s="299" t="s">
        <v>232</v>
      </c>
      <c r="D86" s="189" t="s">
        <v>149</v>
      </c>
      <c r="E86" s="282"/>
      <c r="F86" s="295">
        <f>1000+2000</f>
        <v>3000</v>
      </c>
      <c r="G86" s="296"/>
    </row>
    <row r="87" spans="1:7" ht="12.75" customHeight="1">
      <c r="A87" s="289"/>
      <c r="B87" s="279"/>
      <c r="C87" s="299" t="s">
        <v>233</v>
      </c>
      <c r="D87" s="189" t="s">
        <v>234</v>
      </c>
      <c r="E87" s="282"/>
      <c r="F87" s="295">
        <f>840+2752</f>
        <v>3592</v>
      </c>
      <c r="G87" s="296"/>
    </row>
    <row r="88" spans="1:7" ht="12.75" customHeight="1">
      <c r="A88" s="289"/>
      <c r="B88" s="279"/>
      <c r="C88" s="299" t="s">
        <v>235</v>
      </c>
      <c r="D88" s="189" t="s">
        <v>219</v>
      </c>
      <c r="E88" s="282"/>
      <c r="F88" s="295">
        <f>1200+500</f>
        <v>1700</v>
      </c>
      <c r="G88" s="296"/>
    </row>
    <row r="89" spans="1:7" ht="12.75" customHeight="1">
      <c r="A89" s="289"/>
      <c r="B89" s="279"/>
      <c r="C89" s="299" t="s">
        <v>221</v>
      </c>
      <c r="D89" s="189" t="s">
        <v>222</v>
      </c>
      <c r="E89" s="282"/>
      <c r="F89" s="295">
        <f>1813+6120</f>
        <v>7933</v>
      </c>
      <c r="G89" s="296"/>
    </row>
    <row r="90" spans="1:7" ht="12.75" customHeight="1">
      <c r="A90" s="289"/>
      <c r="B90" s="279"/>
      <c r="C90" s="300" t="s">
        <v>206</v>
      </c>
      <c r="D90" s="281" t="s">
        <v>236</v>
      </c>
      <c r="E90" s="282"/>
      <c r="F90" s="295">
        <f>0+500</f>
        <v>500</v>
      </c>
      <c r="G90" s="296"/>
    </row>
    <row r="91" spans="1:7" ht="12.75" customHeight="1">
      <c r="A91" s="289"/>
      <c r="B91" s="279"/>
      <c r="C91" s="300" t="s">
        <v>227</v>
      </c>
      <c r="D91" s="281" t="s">
        <v>228</v>
      </c>
      <c r="E91" s="282"/>
      <c r="F91" s="295">
        <f>500+1100</f>
        <v>1600</v>
      </c>
      <c r="G91" s="296"/>
    </row>
    <row r="92" spans="1:7" ht="12.75" customHeight="1">
      <c r="A92" s="289"/>
      <c r="B92" s="279"/>
      <c r="C92" s="300" t="s">
        <v>229</v>
      </c>
      <c r="D92" s="281" t="s">
        <v>237</v>
      </c>
      <c r="E92" s="282"/>
      <c r="F92" s="295">
        <f>500+2000</f>
        <v>2500</v>
      </c>
      <c r="G92" s="296"/>
    </row>
    <row r="93" spans="1:7" ht="12.75" customHeight="1">
      <c r="A93" s="289"/>
      <c r="B93" s="293">
        <v>75045</v>
      </c>
      <c r="C93" s="274"/>
      <c r="D93" s="286" t="s">
        <v>238</v>
      </c>
      <c r="E93" s="276" t="e">
        <f>E94</f>
        <v>#NAME?</v>
      </c>
      <c r="F93" s="277" t="e">
        <f>SUM(F95:F105)</f>
        <v>#NAME?</v>
      </c>
      <c r="G93" s="296"/>
    </row>
    <row r="94" spans="1:7" ht="12.75" customHeight="1">
      <c r="A94" s="289"/>
      <c r="B94" s="279"/>
      <c r="C94" s="188">
        <v>2110</v>
      </c>
      <c r="D94" s="281" t="s">
        <v>195</v>
      </c>
      <c r="E94" s="282" t="e">
        <f>"'[1]dochody-ukł.wykon.'!f84"</f>
        <v>#NAME?</v>
      </c>
      <c r="F94" s="283"/>
      <c r="G94" s="296"/>
    </row>
    <row r="95" spans="1:7" ht="12.75" customHeight="1">
      <c r="A95" s="289"/>
      <c r="B95" s="279"/>
      <c r="C95" s="299" t="s">
        <v>239</v>
      </c>
      <c r="D95" s="189" t="s">
        <v>240</v>
      </c>
      <c r="E95" s="282"/>
      <c r="F95" s="283" t="e">
        <f>"'[1]wydatki ukł.wyk.'!f179"</f>
        <v>#NAME?</v>
      </c>
      <c r="G95" s="296"/>
    </row>
    <row r="96" spans="1:7" ht="12.75" customHeight="1">
      <c r="A96" s="289"/>
      <c r="B96" s="279"/>
      <c r="C96" s="294">
        <v>4110</v>
      </c>
      <c r="D96" s="189" t="s">
        <v>162</v>
      </c>
      <c r="E96" s="282"/>
      <c r="F96" s="283" t="e">
        <f>"'[1]wydatki ukł.wyk.'!f180"</f>
        <v>#NAME?</v>
      </c>
      <c r="G96" s="296"/>
    </row>
    <row r="97" spans="1:7" ht="12.75" customHeight="1">
      <c r="A97" s="289"/>
      <c r="B97" s="279"/>
      <c r="C97" s="294">
        <v>4120</v>
      </c>
      <c r="D97" s="189" t="s">
        <v>215</v>
      </c>
      <c r="E97" s="282"/>
      <c r="F97" s="283" t="e">
        <f>"'[1]wydatki ukł.wyk.'!f181"</f>
        <v>#NAME?</v>
      </c>
      <c r="G97" s="296"/>
    </row>
    <row r="98" spans="1:7" ht="12.75" customHeight="1">
      <c r="A98" s="289"/>
      <c r="B98" s="279"/>
      <c r="C98" s="294">
        <v>4170</v>
      </c>
      <c r="D98" s="189" t="s">
        <v>163</v>
      </c>
      <c r="E98" s="282"/>
      <c r="F98" s="283" t="e">
        <f>"'[1]wydatki ukł.wyk.'!f182"</f>
        <v>#NAME?</v>
      </c>
      <c r="G98" s="296"/>
    </row>
    <row r="99" spans="1:7" ht="12.75" customHeight="1">
      <c r="A99" s="289"/>
      <c r="B99" s="279"/>
      <c r="C99" s="294">
        <v>4210</v>
      </c>
      <c r="D99" s="189" t="s">
        <v>144</v>
      </c>
      <c r="E99" s="282"/>
      <c r="F99" s="283" t="e">
        <f>"'[1]wydatki ukł.wyk.'!f183"</f>
        <v>#NAME?</v>
      </c>
      <c r="G99" s="296"/>
    </row>
    <row r="100" spans="1:7" ht="12.75" customHeight="1">
      <c r="A100" s="289"/>
      <c r="B100" s="279"/>
      <c r="C100" s="300" t="s">
        <v>196</v>
      </c>
      <c r="D100" s="189" t="s">
        <v>148</v>
      </c>
      <c r="E100" s="282"/>
      <c r="F100" s="283" t="e">
        <f>"'[1]wydatki ukł.wyk.'!f184"</f>
        <v>#NAME?</v>
      </c>
      <c r="G100" s="296"/>
    </row>
    <row r="101" spans="1:7" ht="12.75" customHeight="1">
      <c r="A101" s="289"/>
      <c r="B101" s="279"/>
      <c r="C101" s="188">
        <v>4370</v>
      </c>
      <c r="D101" s="189" t="s">
        <v>241</v>
      </c>
      <c r="E101" s="282"/>
      <c r="F101" s="283" t="e">
        <f>"'[1]wydatki ukł.wyk.'!f185"</f>
        <v>#NAME?</v>
      </c>
      <c r="G101" s="296"/>
    </row>
    <row r="102" spans="1:7" ht="12.75" customHeight="1">
      <c r="A102" s="289"/>
      <c r="B102" s="279"/>
      <c r="C102" s="188">
        <v>4400</v>
      </c>
      <c r="D102" s="189" t="s">
        <v>242</v>
      </c>
      <c r="E102" s="282"/>
      <c r="F102" s="283" t="e">
        <f>"'[1]wydatki ukł.wyk.'!f186"</f>
        <v>#NAME?</v>
      </c>
      <c r="G102" s="296"/>
    </row>
    <row r="103" spans="1:7" ht="12.75" customHeight="1">
      <c r="A103" s="289"/>
      <c r="B103" s="279"/>
      <c r="C103" s="300" t="s">
        <v>235</v>
      </c>
      <c r="D103" s="189" t="s">
        <v>219</v>
      </c>
      <c r="E103" s="282"/>
      <c r="F103" s="283" t="e">
        <f>"'[1]wydatki ukł.wyk.'!f187"</f>
        <v>#NAME?</v>
      </c>
      <c r="G103" s="296"/>
    </row>
    <row r="104" spans="1:7" ht="12.75" customHeight="1">
      <c r="A104" s="289"/>
      <c r="B104" s="279"/>
      <c r="C104" s="188">
        <v>4740</v>
      </c>
      <c r="D104" s="189" t="s">
        <v>243</v>
      </c>
      <c r="E104" s="282"/>
      <c r="F104" s="283" t="e">
        <f>"'[1]wydatki ukł.wyk.'!f188"</f>
        <v>#NAME?</v>
      </c>
      <c r="G104" s="296"/>
    </row>
    <row r="105" spans="1:7" ht="12.75" customHeight="1">
      <c r="A105" s="289"/>
      <c r="B105" s="279"/>
      <c r="C105" s="188">
        <v>4750</v>
      </c>
      <c r="D105" s="189" t="s">
        <v>237</v>
      </c>
      <c r="E105" s="282"/>
      <c r="F105" s="283" t="e">
        <f>"'[1]wydatki ukł.wyk.'!f189"</f>
        <v>#NAME?</v>
      </c>
      <c r="G105" s="296"/>
    </row>
    <row r="106" spans="1:7" ht="12.75" customHeight="1">
      <c r="A106" s="289"/>
      <c r="B106" s="279"/>
      <c r="C106" s="300"/>
      <c r="D106" s="189"/>
      <c r="E106" s="282"/>
      <c r="F106" s="283"/>
      <c r="G106" s="296"/>
    </row>
    <row r="107" spans="1:7" ht="13.5" customHeight="1">
      <c r="A107" s="290">
        <v>851</v>
      </c>
      <c r="B107" s="267"/>
      <c r="C107" s="266"/>
      <c r="D107" s="304" t="s">
        <v>244</v>
      </c>
      <c r="E107" s="269">
        <f>E108</f>
        <v>54945</v>
      </c>
      <c r="F107" s="270">
        <f>F108</f>
        <v>54945</v>
      </c>
      <c r="G107" s="296"/>
    </row>
    <row r="108" spans="1:7" ht="12.75" customHeight="1">
      <c r="A108" s="289"/>
      <c r="B108" s="293">
        <v>85156</v>
      </c>
      <c r="C108" s="274"/>
      <c r="D108" s="305" t="s">
        <v>245</v>
      </c>
      <c r="E108" s="276">
        <f>E109</f>
        <v>54945</v>
      </c>
      <c r="F108" s="277">
        <f>SUM(F110)</f>
        <v>54945</v>
      </c>
      <c r="G108" s="296"/>
    </row>
    <row r="109" spans="1:7" ht="12.75" customHeight="1">
      <c r="A109" s="289"/>
      <c r="B109" s="188"/>
      <c r="C109" s="279">
        <v>2110</v>
      </c>
      <c r="D109" s="281" t="s">
        <v>195</v>
      </c>
      <c r="E109" s="282">
        <v>54945</v>
      </c>
      <c r="F109" s="283"/>
      <c r="G109" s="296"/>
    </row>
    <row r="110" spans="1:7" ht="12.75" customHeight="1">
      <c r="A110" s="289"/>
      <c r="B110" s="279"/>
      <c r="C110" s="188">
        <v>4130</v>
      </c>
      <c r="D110" s="281" t="s">
        <v>246</v>
      </c>
      <c r="E110" s="282"/>
      <c r="F110" s="283">
        <v>54945</v>
      </c>
      <c r="G110" s="296"/>
    </row>
    <row r="111" spans="1:7" ht="12.75" customHeight="1">
      <c r="A111" s="289"/>
      <c r="B111" s="279"/>
      <c r="C111" s="188"/>
      <c r="D111" s="281"/>
      <c r="E111" s="282"/>
      <c r="F111" s="283"/>
      <c r="G111" s="296"/>
    </row>
    <row r="112" spans="1:7" ht="13.5" customHeight="1">
      <c r="A112" s="290">
        <v>852</v>
      </c>
      <c r="B112" s="266"/>
      <c r="C112" s="267"/>
      <c r="D112" s="291" t="s">
        <v>137</v>
      </c>
      <c r="E112" s="306" t="e">
        <f>E113+E138</f>
        <v>#NAME?</v>
      </c>
      <c r="F112" s="270" t="e">
        <f>F113+F138</f>
        <v>#NAME?</v>
      </c>
      <c r="G112" s="296"/>
    </row>
    <row r="113" spans="1:7" ht="12.75" customHeight="1">
      <c r="A113" s="289"/>
      <c r="B113" s="307">
        <v>85203</v>
      </c>
      <c r="C113" s="308"/>
      <c r="D113" s="309" t="s">
        <v>247</v>
      </c>
      <c r="E113" s="310">
        <f>E114</f>
        <v>380839</v>
      </c>
      <c r="F113" s="311" t="e">
        <f>SUM(F115:F136)</f>
        <v>#NAME?</v>
      </c>
      <c r="G113" s="296"/>
    </row>
    <row r="114" spans="1:7" ht="12.75" customHeight="1">
      <c r="A114" s="289"/>
      <c r="B114" s="279"/>
      <c r="C114" s="188">
        <v>2110</v>
      </c>
      <c r="D114" s="189" t="s">
        <v>195</v>
      </c>
      <c r="E114" s="282">
        <v>380839</v>
      </c>
      <c r="F114" s="283"/>
      <c r="G114" s="296"/>
    </row>
    <row r="115" spans="1:7" ht="12.75" customHeight="1">
      <c r="A115" s="289"/>
      <c r="B115" s="279"/>
      <c r="C115" s="188">
        <v>3020</v>
      </c>
      <c r="D115" s="189" t="s">
        <v>231</v>
      </c>
      <c r="E115" s="282"/>
      <c r="F115" s="283" t="e">
        <f>"'[1]wydatki ukł.wyk.'!f417"</f>
        <v>#NAME?</v>
      </c>
      <c r="G115" s="296"/>
    </row>
    <row r="116" spans="1:7" ht="12.75" customHeight="1">
      <c r="A116" s="289"/>
      <c r="B116" s="279"/>
      <c r="C116" s="188">
        <v>4010</v>
      </c>
      <c r="D116" s="189" t="s">
        <v>141</v>
      </c>
      <c r="E116" s="282"/>
      <c r="F116" s="283" t="e">
        <f>"'[1]wydatki ukł.wyk.'!f418"</f>
        <v>#NAME?</v>
      </c>
      <c r="G116" s="296"/>
    </row>
    <row r="117" spans="1:7" ht="12.75" customHeight="1">
      <c r="A117" s="289"/>
      <c r="B117" s="279"/>
      <c r="C117" s="188">
        <v>4040</v>
      </c>
      <c r="D117" s="189" t="s">
        <v>248</v>
      </c>
      <c r="E117" s="282"/>
      <c r="F117" s="283" t="e">
        <f>"'[1]wydatki ukł.wyk.'!f419"</f>
        <v>#NAME?</v>
      </c>
      <c r="G117" s="296"/>
    </row>
    <row r="118" spans="1:7" ht="12.75" customHeight="1">
      <c r="A118" s="289"/>
      <c r="B118" s="279"/>
      <c r="C118" s="188">
        <v>4110</v>
      </c>
      <c r="D118" s="189" t="s">
        <v>162</v>
      </c>
      <c r="E118" s="282"/>
      <c r="F118" s="283" t="e">
        <f>"'[1]wydatki ukł.wyk.'!f420"</f>
        <v>#NAME?</v>
      </c>
      <c r="G118" s="296"/>
    </row>
    <row r="119" spans="1:7" ht="12.75" customHeight="1">
      <c r="A119" s="289"/>
      <c r="B119" s="279"/>
      <c r="C119" s="188">
        <v>4120</v>
      </c>
      <c r="D119" s="189" t="s">
        <v>143</v>
      </c>
      <c r="E119" s="282"/>
      <c r="F119" s="283" t="e">
        <f>"'[1]wydatki ukł.wyk.'!f421"</f>
        <v>#NAME?</v>
      </c>
      <c r="G119" s="296"/>
    </row>
    <row r="120" spans="1:7" ht="12.75" customHeight="1">
      <c r="A120" s="289"/>
      <c r="B120" s="279"/>
      <c r="C120" s="188">
        <v>4170</v>
      </c>
      <c r="D120" s="189" t="s">
        <v>163</v>
      </c>
      <c r="E120" s="282"/>
      <c r="F120" s="283" t="e">
        <f>"'[1]wydatki ukł.wyk.'!f422"</f>
        <v>#NAME?</v>
      </c>
      <c r="G120" s="296"/>
    </row>
    <row r="121" spans="1:7" ht="12.75" customHeight="1">
      <c r="A121" s="289"/>
      <c r="B121" s="279"/>
      <c r="C121" s="188">
        <v>4210</v>
      </c>
      <c r="D121" s="189" t="s">
        <v>144</v>
      </c>
      <c r="E121" s="282"/>
      <c r="F121" s="283">
        <v>87293</v>
      </c>
      <c r="G121" s="296"/>
    </row>
    <row r="122" spans="1:7" ht="12.75" customHeight="1">
      <c r="A122" s="289"/>
      <c r="B122" s="279"/>
      <c r="C122" s="188">
        <v>4220</v>
      </c>
      <c r="D122" s="189" t="s">
        <v>164</v>
      </c>
      <c r="E122" s="282"/>
      <c r="F122" s="283" t="e">
        <f>"'[1]wydatki ukł.wyk.'!f424"</f>
        <v>#NAME?</v>
      </c>
      <c r="G122" s="296"/>
    </row>
    <row r="123" spans="1:7" ht="12.75" customHeight="1">
      <c r="A123" s="289"/>
      <c r="B123" s="279"/>
      <c r="C123" s="188">
        <v>4230</v>
      </c>
      <c r="D123" s="189" t="s">
        <v>249</v>
      </c>
      <c r="E123" s="282"/>
      <c r="F123" s="283" t="e">
        <f>"'[1]wydatki ukł.wyk.'!f425"</f>
        <v>#NAME?</v>
      </c>
      <c r="G123" s="296"/>
    </row>
    <row r="124" spans="1:7" ht="12.75" customHeight="1">
      <c r="A124" s="289"/>
      <c r="B124" s="279"/>
      <c r="C124" s="188">
        <v>4260</v>
      </c>
      <c r="D124" s="189" t="s">
        <v>146</v>
      </c>
      <c r="E124" s="282"/>
      <c r="F124" s="283" t="e">
        <f>"'[1]wydatki ukł.wyk.'!f426"</f>
        <v>#NAME?</v>
      </c>
      <c r="G124" s="296"/>
    </row>
    <row r="125" spans="1:7" ht="12.75" customHeight="1">
      <c r="A125" s="289"/>
      <c r="B125" s="279"/>
      <c r="C125" s="188">
        <v>4270</v>
      </c>
      <c r="D125" s="189" t="s">
        <v>126</v>
      </c>
      <c r="E125" s="282"/>
      <c r="F125" s="283" t="e">
        <f>"'[1]wydatki ukł.wyk.'!f427"</f>
        <v>#NAME?</v>
      </c>
      <c r="G125" s="296"/>
    </row>
    <row r="126" spans="1:7" ht="12.75" customHeight="1">
      <c r="A126" s="289"/>
      <c r="B126" s="279"/>
      <c r="C126" s="188">
        <v>4280</v>
      </c>
      <c r="D126" s="189" t="s">
        <v>147</v>
      </c>
      <c r="E126" s="282"/>
      <c r="F126" s="283" t="e">
        <f>"'[1]wydatki ukł.wyk.'!f428"</f>
        <v>#NAME?</v>
      </c>
      <c r="G126" s="296"/>
    </row>
    <row r="127" spans="1:7" ht="12.75" customHeight="1">
      <c r="A127" s="289"/>
      <c r="B127" s="279"/>
      <c r="C127" s="188">
        <v>4300</v>
      </c>
      <c r="D127" s="189" t="s">
        <v>148</v>
      </c>
      <c r="E127" s="282"/>
      <c r="F127" s="283" t="e">
        <f>"'[1]wydatki ukł.wyk.'!f429"</f>
        <v>#NAME?</v>
      </c>
      <c r="G127" s="296"/>
    </row>
    <row r="128" spans="1:7" ht="12.75" customHeight="1">
      <c r="A128" s="289"/>
      <c r="B128" s="279"/>
      <c r="C128" s="299" t="s">
        <v>232</v>
      </c>
      <c r="D128" s="189" t="s">
        <v>149</v>
      </c>
      <c r="E128" s="282"/>
      <c r="F128" s="283" t="e">
        <f>"'[1]wydatki ukł.wyk.'!f430"</f>
        <v>#NAME?</v>
      </c>
      <c r="G128" s="296"/>
    </row>
    <row r="129" spans="1:7" ht="12.75" customHeight="1">
      <c r="A129" s="289"/>
      <c r="B129" s="279"/>
      <c r="C129" s="188">
        <v>4360</v>
      </c>
      <c r="D129" s="189" t="s">
        <v>216</v>
      </c>
      <c r="E129" s="282"/>
      <c r="F129" s="283" t="e">
        <f>"'[1]wydatki ukł.wyk.'!f431"</f>
        <v>#NAME?</v>
      </c>
      <c r="G129" s="296"/>
    </row>
    <row r="130" spans="1:7" ht="12.75" customHeight="1">
      <c r="A130" s="289"/>
      <c r="B130" s="279"/>
      <c r="C130" s="188">
        <v>4370</v>
      </c>
      <c r="D130" s="189" t="s">
        <v>250</v>
      </c>
      <c r="E130" s="282"/>
      <c r="F130" s="283" t="e">
        <f>"'[1]wydatki ukł.wyk.'!f432"</f>
        <v>#NAME?</v>
      </c>
      <c r="G130" s="296"/>
    </row>
    <row r="131" spans="1:7" ht="12.75" customHeight="1">
      <c r="A131" s="289"/>
      <c r="B131" s="279"/>
      <c r="C131" s="188">
        <v>4410</v>
      </c>
      <c r="D131" s="189" t="s">
        <v>219</v>
      </c>
      <c r="E131" s="282"/>
      <c r="F131" s="283" t="e">
        <f>"'[1]wydatki ukł.wyk.'!f433"</f>
        <v>#NAME?</v>
      </c>
      <c r="G131" s="296"/>
    </row>
    <row r="132" spans="1:7" ht="12.75" customHeight="1">
      <c r="A132" s="289"/>
      <c r="B132" s="279"/>
      <c r="C132" s="188">
        <v>4430</v>
      </c>
      <c r="D132" s="189" t="s">
        <v>166</v>
      </c>
      <c r="E132" s="282"/>
      <c r="F132" s="283" t="e">
        <f>"'[1]wydatki ukł.wyk.'!f434"</f>
        <v>#NAME?</v>
      </c>
      <c r="G132" s="296"/>
    </row>
    <row r="133" spans="1:7" ht="12.75" customHeight="1">
      <c r="A133" s="289"/>
      <c r="B133" s="279"/>
      <c r="C133" s="188">
        <v>4440</v>
      </c>
      <c r="D133" s="189" t="s">
        <v>251</v>
      </c>
      <c r="E133" s="282"/>
      <c r="F133" s="283" t="e">
        <f>"'[1]wydatki ukł.wyk.'!f435"</f>
        <v>#NAME?</v>
      </c>
      <c r="G133" s="296"/>
    </row>
    <row r="134" spans="1:7" ht="12.75" customHeight="1">
      <c r="A134" s="289"/>
      <c r="B134" s="279"/>
      <c r="C134" s="188">
        <v>4700</v>
      </c>
      <c r="D134" s="189" t="s">
        <v>207</v>
      </c>
      <c r="E134" s="282"/>
      <c r="F134" s="283" t="e">
        <f>"'[1]wydatki ukł.wyk.'!f436"</f>
        <v>#NAME?</v>
      </c>
      <c r="G134" s="296"/>
    </row>
    <row r="135" spans="1:7" ht="12.75" customHeight="1">
      <c r="A135" s="289"/>
      <c r="B135" s="279"/>
      <c r="C135" s="188">
        <v>4740</v>
      </c>
      <c r="D135" s="189" t="s">
        <v>252</v>
      </c>
      <c r="E135" s="282"/>
      <c r="F135" s="283" t="e">
        <f>"'[1]wydatki ukł.wyk.'!f437"</f>
        <v>#NAME?</v>
      </c>
      <c r="G135" s="296"/>
    </row>
    <row r="136" spans="1:7" ht="12.75" customHeight="1">
      <c r="A136" s="289"/>
      <c r="B136" s="279"/>
      <c r="C136" s="188">
        <v>4750</v>
      </c>
      <c r="D136" s="189" t="s">
        <v>237</v>
      </c>
      <c r="E136" s="282"/>
      <c r="F136" s="283" t="e">
        <f>"'[1]wydatki ukł.wyk.'!f438"</f>
        <v>#NAME?</v>
      </c>
      <c r="G136" s="296"/>
    </row>
    <row r="137" spans="1:7" ht="12.75" customHeight="1">
      <c r="A137" s="289"/>
      <c r="B137" s="279"/>
      <c r="C137" s="188"/>
      <c r="D137" s="189"/>
      <c r="E137" s="282"/>
      <c r="F137" s="283"/>
      <c r="G137" s="296"/>
    </row>
    <row r="138" spans="1:7" ht="12.75" customHeight="1">
      <c r="A138" s="289"/>
      <c r="B138" s="293">
        <v>85295</v>
      </c>
      <c r="C138" s="274"/>
      <c r="D138" s="305" t="s">
        <v>157</v>
      </c>
      <c r="E138" s="287" t="e">
        <f>E139</f>
        <v>#NAME?</v>
      </c>
      <c r="F138" s="277" t="e">
        <f>F141+F140+F142</f>
        <v>#NAME?</v>
      </c>
      <c r="G138" s="296"/>
    </row>
    <row r="139" spans="1:7" ht="12.75" customHeight="1">
      <c r="A139" s="289"/>
      <c r="B139" s="279"/>
      <c r="C139" s="188">
        <v>2110</v>
      </c>
      <c r="D139" s="281" t="s">
        <v>195</v>
      </c>
      <c r="E139" s="282" t="e">
        <f>"'[1]dochody-ukł.wykon.'!f193"</f>
        <v>#NAME?</v>
      </c>
      <c r="F139" s="283"/>
      <c r="G139" s="296"/>
    </row>
    <row r="140" spans="1:7" ht="12.75" customHeight="1">
      <c r="A140" s="289"/>
      <c r="B140" s="279"/>
      <c r="C140" s="188">
        <v>4170</v>
      </c>
      <c r="D140" s="281" t="s">
        <v>163</v>
      </c>
      <c r="E140" s="282"/>
      <c r="F140" s="283" t="e">
        <f>"'[1]wydatki ukł.wyk.'!f486"</f>
        <v>#NAME?</v>
      </c>
      <c r="G140" s="296"/>
    </row>
    <row r="141" spans="1:7" ht="12.75" customHeight="1">
      <c r="A141" s="289"/>
      <c r="B141" s="279"/>
      <c r="C141" s="294">
        <v>4210</v>
      </c>
      <c r="D141" s="189" t="s">
        <v>144</v>
      </c>
      <c r="E141" s="282"/>
      <c r="F141" s="283" t="e">
        <f>"'[1]wydatki ukł.wyk.'!f487"</f>
        <v>#NAME?</v>
      </c>
      <c r="G141" s="296"/>
    </row>
    <row r="142" spans="1:7" ht="12.75" customHeight="1">
      <c r="A142" s="289"/>
      <c r="B142" s="279"/>
      <c r="C142" s="188">
        <v>4300</v>
      </c>
      <c r="D142" s="189" t="s">
        <v>148</v>
      </c>
      <c r="E142" s="282"/>
      <c r="F142" s="283" t="e">
        <f>"'[1]wydatki ukł.wyk.'!f489"</f>
        <v>#NAME?</v>
      </c>
      <c r="G142" s="296"/>
    </row>
    <row r="143" spans="1:7" ht="12.75" customHeight="1">
      <c r="A143" s="289"/>
      <c r="B143" s="279"/>
      <c r="C143" s="280"/>
      <c r="D143" s="189"/>
      <c r="E143" s="282"/>
      <c r="F143" s="283"/>
      <c r="G143" s="296"/>
    </row>
    <row r="144" spans="1:7" ht="13.5" customHeight="1">
      <c r="A144" s="290">
        <v>853</v>
      </c>
      <c r="B144" s="266"/>
      <c r="C144" s="267"/>
      <c r="D144" s="291" t="s">
        <v>155</v>
      </c>
      <c r="E144" s="269">
        <f>E145</f>
        <v>487000</v>
      </c>
      <c r="F144" s="270" t="e">
        <f>F145</f>
        <v>#NAME?</v>
      </c>
      <c r="G144" s="296"/>
    </row>
    <row r="145" spans="1:7" ht="12.75" customHeight="1">
      <c r="A145" s="289"/>
      <c r="B145" s="293">
        <v>85321</v>
      </c>
      <c r="C145" s="274"/>
      <c r="D145" s="286" t="s">
        <v>253</v>
      </c>
      <c r="E145" s="276">
        <f>E146</f>
        <v>487000</v>
      </c>
      <c r="F145" s="277" t="e">
        <f>SUM(F147:F167)</f>
        <v>#NAME?</v>
      </c>
      <c r="G145" s="296"/>
    </row>
    <row r="146" spans="1:7" ht="12.75" customHeight="1">
      <c r="A146" s="289"/>
      <c r="B146" s="279"/>
      <c r="C146" s="188">
        <v>2110</v>
      </c>
      <c r="D146" s="281" t="s">
        <v>195</v>
      </c>
      <c r="E146" s="282">
        <v>487000</v>
      </c>
      <c r="F146" s="283"/>
      <c r="G146" s="296"/>
    </row>
    <row r="147" spans="1:7" ht="12.75" customHeight="1">
      <c r="A147" s="289"/>
      <c r="B147" s="279"/>
      <c r="C147" s="294">
        <v>4010</v>
      </c>
      <c r="D147" s="189" t="s">
        <v>141</v>
      </c>
      <c r="E147" s="282"/>
      <c r="F147" s="283" t="e">
        <f>"'[1]wydatki ukł.wyk.'!f497"</f>
        <v>#NAME?</v>
      </c>
      <c r="G147" s="296"/>
    </row>
    <row r="148" spans="1:7" ht="12.75" customHeight="1">
      <c r="A148" s="289"/>
      <c r="B148" s="279"/>
      <c r="C148" s="294">
        <v>4040</v>
      </c>
      <c r="D148" s="189" t="s">
        <v>214</v>
      </c>
      <c r="E148" s="282"/>
      <c r="F148" s="283" t="e">
        <f>"'[1]wydatki ukł.wyk.'!f498"</f>
        <v>#NAME?</v>
      </c>
      <c r="G148" s="296"/>
    </row>
    <row r="149" spans="1:7" ht="12.75" customHeight="1">
      <c r="A149" s="289"/>
      <c r="B149" s="279"/>
      <c r="C149" s="294">
        <v>4110</v>
      </c>
      <c r="D149" s="189" t="s">
        <v>162</v>
      </c>
      <c r="E149" s="282"/>
      <c r="F149" s="283" t="e">
        <f>"'[1]wydatki ukł.wyk.'!f499"</f>
        <v>#NAME?</v>
      </c>
      <c r="G149" s="296"/>
    </row>
    <row r="150" spans="1:7" ht="12.75" customHeight="1">
      <c r="A150" s="289"/>
      <c r="B150" s="279"/>
      <c r="C150" s="294">
        <v>4120</v>
      </c>
      <c r="D150" s="189" t="s">
        <v>215</v>
      </c>
      <c r="E150" s="282"/>
      <c r="F150" s="283" t="e">
        <f>"'[1]wydatki ukł.wyk.'!f500"</f>
        <v>#NAME?</v>
      </c>
      <c r="G150" s="296"/>
    </row>
    <row r="151" spans="1:7" ht="12.75" customHeight="1">
      <c r="A151" s="289"/>
      <c r="B151" s="279"/>
      <c r="C151" s="294">
        <v>4170</v>
      </c>
      <c r="D151" s="189" t="s">
        <v>163</v>
      </c>
      <c r="E151" s="282"/>
      <c r="F151" s="283" t="e">
        <f>"'[1]wydatki ukł.wyk.'!f501"</f>
        <v>#NAME?</v>
      </c>
      <c r="G151" s="296"/>
    </row>
    <row r="152" spans="1:7" ht="12.75" customHeight="1">
      <c r="A152" s="289"/>
      <c r="B152" s="279"/>
      <c r="C152" s="294">
        <v>4210</v>
      </c>
      <c r="D152" s="189" t="s">
        <v>144</v>
      </c>
      <c r="E152" s="282"/>
      <c r="F152" s="283">
        <v>34566</v>
      </c>
      <c r="G152" s="296"/>
    </row>
    <row r="153" spans="1:7" ht="12.75" customHeight="1">
      <c r="A153" s="289"/>
      <c r="B153" s="279"/>
      <c r="C153" s="294">
        <v>4230</v>
      </c>
      <c r="D153" s="189" t="s">
        <v>254</v>
      </c>
      <c r="E153" s="282"/>
      <c r="F153" s="283" t="e">
        <f>"'[1]wydatki ukł.wyk.'!f503"</f>
        <v>#NAME?</v>
      </c>
      <c r="G153" s="296"/>
    </row>
    <row r="154" spans="1:7" ht="12.75" customHeight="1">
      <c r="A154" s="289"/>
      <c r="B154" s="279"/>
      <c r="C154" s="294">
        <v>4260</v>
      </c>
      <c r="D154" s="189" t="s">
        <v>146</v>
      </c>
      <c r="E154" s="282"/>
      <c r="F154" s="283" t="e">
        <f>"'[1]wydatki ukł.wyk.'!f504"</f>
        <v>#NAME?</v>
      </c>
      <c r="G154" s="296"/>
    </row>
    <row r="155" spans="1:7" ht="12.75" customHeight="1">
      <c r="A155" s="289"/>
      <c r="B155" s="279"/>
      <c r="C155" s="294">
        <v>4270</v>
      </c>
      <c r="D155" s="189" t="s">
        <v>126</v>
      </c>
      <c r="E155" s="282"/>
      <c r="F155" s="283" t="e">
        <f>"'[1]wydatki ukł.wyk.'!f505"</f>
        <v>#NAME?</v>
      </c>
      <c r="G155" s="296"/>
    </row>
    <row r="156" spans="1:7" ht="12.75" customHeight="1">
      <c r="A156" s="289"/>
      <c r="B156" s="279"/>
      <c r="C156" s="294">
        <v>4280</v>
      </c>
      <c r="D156" s="189" t="s">
        <v>147</v>
      </c>
      <c r="E156" s="282"/>
      <c r="F156" s="283" t="e">
        <f>"'[1]wydatki ukł.wyk.'!f506"</f>
        <v>#NAME?</v>
      </c>
      <c r="G156" s="296"/>
    </row>
    <row r="157" spans="1:7" ht="12.75" customHeight="1">
      <c r="A157" s="289"/>
      <c r="B157" s="279"/>
      <c r="C157" s="299" t="s">
        <v>196</v>
      </c>
      <c r="D157" s="189" t="s">
        <v>148</v>
      </c>
      <c r="E157" s="282"/>
      <c r="F157" s="283" t="e">
        <f>"'[1]wydatki ukł.wyk.'!f507"</f>
        <v>#NAME?</v>
      </c>
      <c r="G157" s="296"/>
    </row>
    <row r="158" spans="1:7" ht="12.75" customHeight="1">
      <c r="A158" s="289"/>
      <c r="B158" s="279"/>
      <c r="C158" s="299" t="s">
        <v>232</v>
      </c>
      <c r="D158" s="189" t="s">
        <v>149</v>
      </c>
      <c r="E158" s="282"/>
      <c r="F158" s="283" t="e">
        <f>"'[1]wydatki ukł.wyk.'!f508"</f>
        <v>#NAME?</v>
      </c>
      <c r="G158" s="296"/>
    </row>
    <row r="159" spans="1:7" ht="12.75" customHeight="1">
      <c r="A159" s="289"/>
      <c r="B159" s="279"/>
      <c r="C159" s="188">
        <v>4370</v>
      </c>
      <c r="D159" s="189" t="s">
        <v>234</v>
      </c>
      <c r="E159" s="282"/>
      <c r="F159" s="283" t="e">
        <f>"'[1]wydatki ukł.wyk.'!f509"</f>
        <v>#NAME?</v>
      </c>
      <c r="G159" s="296"/>
    </row>
    <row r="160" spans="1:7" ht="12.75" customHeight="1">
      <c r="A160" s="289"/>
      <c r="B160" s="279"/>
      <c r="C160" s="294">
        <v>4410</v>
      </c>
      <c r="D160" s="189" t="s">
        <v>219</v>
      </c>
      <c r="E160" s="282"/>
      <c r="F160" s="283" t="e">
        <f>"'[1]wydatki ukł.wyk.'!f510"</f>
        <v>#NAME?</v>
      </c>
      <c r="G160" s="296"/>
    </row>
    <row r="161" spans="1:7" ht="12.75" customHeight="1">
      <c r="A161" s="289"/>
      <c r="B161" s="279"/>
      <c r="C161" s="188">
        <v>4430</v>
      </c>
      <c r="D161" s="189" t="s">
        <v>166</v>
      </c>
      <c r="E161" s="282"/>
      <c r="F161" s="283" t="e">
        <f>"'[1]wydatki ukł.wyk.'!f511"</f>
        <v>#NAME?</v>
      </c>
      <c r="G161" s="296"/>
    </row>
    <row r="162" spans="1:7" ht="12.75" customHeight="1">
      <c r="A162" s="289"/>
      <c r="B162" s="279"/>
      <c r="C162" s="299" t="s">
        <v>221</v>
      </c>
      <c r="D162" s="189" t="s">
        <v>222</v>
      </c>
      <c r="E162" s="282"/>
      <c r="F162" s="283" t="e">
        <f>"'[1]wydatki ukł.wyk.'!f512"</f>
        <v>#NAME?</v>
      </c>
      <c r="G162" s="296"/>
    </row>
    <row r="163" spans="1:7" ht="12.75" customHeight="1">
      <c r="A163" s="289"/>
      <c r="B163" s="279"/>
      <c r="C163" s="299" t="s">
        <v>204</v>
      </c>
      <c r="D163" s="189" t="s">
        <v>205</v>
      </c>
      <c r="E163" s="282"/>
      <c r="F163" s="283">
        <v>496</v>
      </c>
      <c r="G163" s="296"/>
    </row>
    <row r="164" spans="1:7" ht="12.75" customHeight="1">
      <c r="A164" s="289"/>
      <c r="B164" s="279"/>
      <c r="C164" s="299" t="s">
        <v>255</v>
      </c>
      <c r="D164" s="189" t="s">
        <v>256</v>
      </c>
      <c r="E164" s="282"/>
      <c r="F164" s="283" t="e">
        <f>"'[1]wydatki ukł.wyk.'!f514"</f>
        <v>#NAME?</v>
      </c>
      <c r="G164" s="296"/>
    </row>
    <row r="165" spans="1:7" ht="12.75" customHeight="1">
      <c r="A165" s="289"/>
      <c r="B165" s="279"/>
      <c r="C165" s="188">
        <v>4700</v>
      </c>
      <c r="D165" s="189" t="s">
        <v>207</v>
      </c>
      <c r="E165" s="282"/>
      <c r="F165" s="283" t="e">
        <f>"'[1]wydatki ukł.wyk.'!f515"</f>
        <v>#NAME?</v>
      </c>
      <c r="G165" s="296"/>
    </row>
    <row r="166" spans="1:7" ht="12.75" customHeight="1">
      <c r="A166" s="289"/>
      <c r="B166" s="279"/>
      <c r="C166" s="188">
        <v>4740</v>
      </c>
      <c r="D166" s="189" t="s">
        <v>252</v>
      </c>
      <c r="E166" s="282"/>
      <c r="F166" s="283" t="e">
        <f>"'[1]wydatki ukł.wyk.'!f516"</f>
        <v>#NAME?</v>
      </c>
      <c r="G166" s="296"/>
    </row>
    <row r="167" spans="1:7" ht="12.75" customHeight="1">
      <c r="A167" s="289"/>
      <c r="B167" s="279"/>
      <c r="C167" s="188">
        <v>4750</v>
      </c>
      <c r="D167" s="189" t="s">
        <v>237</v>
      </c>
      <c r="E167" s="282"/>
      <c r="F167" s="283" t="e">
        <f>"'[1]wydatki ukł.wyk.'!f517"</f>
        <v>#NAME?</v>
      </c>
      <c r="G167" s="296"/>
    </row>
    <row r="168" spans="1:7" ht="13.5" customHeight="1">
      <c r="A168" s="312"/>
      <c r="B168" s="313"/>
      <c r="C168" s="314"/>
      <c r="D168" s="315"/>
      <c r="E168" s="316"/>
      <c r="F168" s="317"/>
      <c r="G168" s="318"/>
    </row>
    <row r="169" spans="1:7" ht="13.5" customHeight="1">
      <c r="A169" s="319"/>
      <c r="B169" s="319"/>
      <c r="C169" s="319"/>
      <c r="D169" s="320" t="s">
        <v>172</v>
      </c>
      <c r="E169" s="321" t="e">
        <f>E144+E112+E107+E72+E37+E27+E19</f>
        <v>#NAME?</v>
      </c>
      <c r="F169" s="322" t="e">
        <f>F144+F112+F107+F72+F37+F27+F19</f>
        <v>#NAME?</v>
      </c>
      <c r="G169" s="271">
        <f>G144+G112+G107+G72+G37+G27+G19</f>
        <v>414066</v>
      </c>
    </row>
    <row r="170" spans="1:6" ht="13.5" customHeight="1">
      <c r="A170" s="319"/>
      <c r="B170" s="319"/>
      <c r="C170" s="319"/>
      <c r="D170" s="323" t="s">
        <v>173</v>
      </c>
      <c r="E170" s="324"/>
      <c r="F170" s="325" t="e">
        <f>F145+F138+F113+F108+F93+F73+F47+F43+F38+F28+F20</f>
        <v>#NAME?</v>
      </c>
    </row>
    <row r="171" spans="1:6" ht="13.5" customHeight="1">
      <c r="A171" s="319"/>
      <c r="B171" s="319"/>
      <c r="C171" s="319"/>
      <c r="D171" s="326" t="s">
        <v>174</v>
      </c>
      <c r="E171" s="327"/>
      <c r="F171" s="328" t="e">
        <f>F49+F51+F52+F53+F54+F76+F77+F78+F79+F80+F96+F97+F98+F116+F117+F118+F119+F120+F147+F148+F149+F150+F151+F50+F140</f>
        <v>#NAME?</v>
      </c>
    </row>
    <row r="172" spans="1:6" ht="13.5" customHeight="1">
      <c r="A172" s="319"/>
      <c r="B172" s="319"/>
      <c r="C172" s="319"/>
      <c r="D172" s="329" t="s">
        <v>257</v>
      </c>
      <c r="E172" s="330"/>
      <c r="F172" s="331">
        <v>0</v>
      </c>
    </row>
    <row r="173" spans="1:6" ht="13.5" customHeight="1">
      <c r="A173" s="319"/>
      <c r="B173" s="319"/>
      <c r="C173" s="319"/>
      <c r="D173" s="332" t="s">
        <v>176</v>
      </c>
      <c r="E173" s="333"/>
      <c r="F173" s="334">
        <v>0</v>
      </c>
    </row>
    <row r="174" spans="1:6" ht="13.5" customHeight="1">
      <c r="A174" s="319"/>
      <c r="B174" s="319"/>
      <c r="C174" s="319"/>
      <c r="D174" s="335"/>
      <c r="E174" s="319"/>
      <c r="F174" s="319"/>
    </row>
    <row r="175" ht="13.5" customHeight="1">
      <c r="D175" s="336"/>
    </row>
    <row r="176" ht="13.5" customHeight="1">
      <c r="D176" s="336"/>
    </row>
    <row r="177" ht="13.5" customHeight="1"/>
    <row r="178" ht="13.5" customHeight="1"/>
    <row r="179" ht="13.5" customHeight="1"/>
    <row r="180" ht="13.5" customHeight="1"/>
    <row r="181" ht="13.5" customHeight="1"/>
    <row r="182" ht="10.5" customHeight="1"/>
    <row r="183" ht="10.5" customHeight="1"/>
  </sheetData>
  <mergeCells count="3">
    <mergeCell ref="A9:F9"/>
    <mergeCell ref="A10:F10"/>
    <mergeCell ref="A11:F11"/>
  </mergeCells>
  <printOptions/>
  <pageMargins left="1.1701388888888888" right="0.39375" top="0.25" bottom="0.19027777777777777" header="0.5118055555555555" footer="0.5118055555555555"/>
  <pageSetup horizontalDpi="300" verticalDpi="300" orientation="portrait" paperSize="9" scale="72"/>
  <rowBreaks count="1" manualBreakCount="1"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E34" sqref="E34"/>
    </sheetView>
  </sheetViews>
  <sheetFormatPr defaultColWidth="10.28125" defaultRowHeight="12.75" customHeight="1"/>
  <cols>
    <col min="1" max="1" width="5.140625" style="1" customWidth="1"/>
    <col min="2" max="2" width="44.28125" style="1" customWidth="1"/>
    <col min="3" max="3" width="9.57421875" style="1" customWidth="1"/>
    <col min="4" max="4" width="0" style="1" hidden="1" customWidth="1"/>
    <col min="5" max="5" width="11.57421875" style="1" customWidth="1"/>
    <col min="6" max="16384" width="10.140625" style="1" customWidth="1"/>
  </cols>
  <sheetData>
    <row r="1" ht="12.75" customHeight="1">
      <c r="E1" s="337" t="s">
        <v>258</v>
      </c>
    </row>
    <row r="2" ht="12.75" customHeight="1">
      <c r="E2" s="1" t="s">
        <v>259</v>
      </c>
    </row>
    <row r="3" ht="12.75" customHeight="1">
      <c r="E3" s="1" t="s">
        <v>2</v>
      </c>
    </row>
    <row r="4" ht="12.75" customHeight="1">
      <c r="E4" s="1" t="s">
        <v>260</v>
      </c>
    </row>
    <row r="6" spans="1:5" ht="15" customHeight="1">
      <c r="A6" s="338" t="s">
        <v>261</v>
      </c>
      <c r="B6" s="338"/>
      <c r="C6" s="338"/>
      <c r="D6" s="338"/>
      <c r="E6" s="338"/>
    </row>
    <row r="7" ht="6.75" customHeight="1">
      <c r="A7" s="339"/>
    </row>
    <row r="8" ht="13.5" customHeight="1">
      <c r="E8" s="340" t="s">
        <v>5</v>
      </c>
    </row>
    <row r="9" spans="1:5" ht="15" customHeight="1">
      <c r="A9" s="341" t="s">
        <v>262</v>
      </c>
      <c r="B9" s="342" t="s">
        <v>263</v>
      </c>
      <c r="C9" s="343" t="s">
        <v>264</v>
      </c>
      <c r="D9" s="343" t="s">
        <v>265</v>
      </c>
      <c r="E9" s="343" t="s">
        <v>266</v>
      </c>
    </row>
    <row r="10" spans="1:5" ht="15" customHeight="1">
      <c r="A10" s="341"/>
      <c r="B10" s="342"/>
      <c r="C10" s="342"/>
      <c r="D10" s="343"/>
      <c r="E10" s="343"/>
    </row>
    <row r="11" spans="1:5" ht="15.75" customHeight="1">
      <c r="A11" s="341"/>
      <c r="B11" s="342"/>
      <c r="C11" s="342"/>
      <c r="D11" s="343"/>
      <c r="E11" s="343"/>
    </row>
    <row r="12" spans="1:5" s="346" customFormat="1" ht="6.75" customHeight="1">
      <c r="A12" s="344">
        <v>1</v>
      </c>
      <c r="B12" s="345">
        <v>2</v>
      </c>
      <c r="C12" s="345">
        <v>3</v>
      </c>
      <c r="D12" s="344">
        <v>4</v>
      </c>
      <c r="E12" s="345">
        <v>5</v>
      </c>
    </row>
    <row r="13" spans="1:5" s="346" customFormat="1" ht="13.5" customHeight="1">
      <c r="A13" s="347" t="s">
        <v>33</v>
      </c>
      <c r="B13" s="348" t="s">
        <v>267</v>
      </c>
      <c r="C13" s="345"/>
      <c r="D13" s="349" t="e">
        <f>"'[1]dochody-ukł.wykon.'!e249"</f>
        <v>#NAME?</v>
      </c>
      <c r="E13" s="349">
        <v>45077776</v>
      </c>
    </row>
    <row r="14" spans="1:5" s="346" customFormat="1" ht="13.5" customHeight="1">
      <c r="A14" s="350" t="s">
        <v>47</v>
      </c>
      <c r="B14" s="351" t="s">
        <v>268</v>
      </c>
      <c r="C14" s="345"/>
      <c r="D14" s="349" t="e">
        <f>"'[1]wydatki ukł.wyk.'!e674"</f>
        <v>#NAME?</v>
      </c>
      <c r="E14" s="349">
        <v>51534770</v>
      </c>
    </row>
    <row r="15" spans="1:5" s="346" customFormat="1" ht="13.5" customHeight="1">
      <c r="A15" s="350"/>
      <c r="B15" s="351" t="s">
        <v>269</v>
      </c>
      <c r="C15" s="345"/>
      <c r="D15" s="349" t="e">
        <f>D13-D14</f>
        <v>#NAME?</v>
      </c>
      <c r="E15" s="349">
        <f>E13-E14</f>
        <v>-6456994</v>
      </c>
    </row>
    <row r="16" spans="1:7" s="346" customFormat="1" ht="13.5" customHeight="1">
      <c r="A16" s="352"/>
      <c r="B16" s="353" t="s">
        <v>270</v>
      </c>
      <c r="C16" s="345"/>
      <c r="D16" s="349">
        <f>D17-D26</f>
        <v>-471485</v>
      </c>
      <c r="E16" s="349">
        <f>E17-E26</f>
        <v>6456994</v>
      </c>
      <c r="G16" s="354"/>
    </row>
    <row r="17" spans="1:5" ht="18.75" customHeight="1">
      <c r="A17" s="355" t="s">
        <v>49</v>
      </c>
      <c r="B17" s="356" t="s">
        <v>271</v>
      </c>
      <c r="C17" s="357"/>
      <c r="D17" s="358">
        <f>SUM(D18:D25)</f>
        <v>2426327</v>
      </c>
      <c r="E17" s="358">
        <f>SUM(E18:E25)</f>
        <v>7593881</v>
      </c>
    </row>
    <row r="18" spans="1:5" ht="18.75" customHeight="1">
      <c r="A18" s="359" t="s">
        <v>37</v>
      </c>
      <c r="B18" s="360" t="s">
        <v>89</v>
      </c>
      <c r="C18" s="361" t="s">
        <v>272</v>
      </c>
      <c r="D18" s="362"/>
      <c r="E18" s="363">
        <v>5400000</v>
      </c>
    </row>
    <row r="19" spans="1:5" ht="18.75" customHeight="1">
      <c r="A19" s="364" t="s">
        <v>39</v>
      </c>
      <c r="B19" s="365" t="s">
        <v>90</v>
      </c>
      <c r="C19" s="366" t="s">
        <v>272</v>
      </c>
      <c r="D19" s="367"/>
      <c r="E19" s="368"/>
    </row>
    <row r="20" spans="1:5" ht="51" customHeight="1">
      <c r="A20" s="364" t="s">
        <v>41</v>
      </c>
      <c r="B20" s="369" t="s">
        <v>273</v>
      </c>
      <c r="C20" s="366" t="s">
        <v>274</v>
      </c>
      <c r="D20" s="367"/>
      <c r="E20" s="368"/>
    </row>
    <row r="21" spans="1:5" ht="18.75" customHeight="1">
      <c r="A21" s="364" t="s">
        <v>91</v>
      </c>
      <c r="B21" s="365" t="s">
        <v>275</v>
      </c>
      <c r="C21" s="366" t="s">
        <v>276</v>
      </c>
      <c r="D21" s="367"/>
      <c r="E21" s="368"/>
    </row>
    <row r="22" spans="1:5" ht="18.75" customHeight="1">
      <c r="A22" s="364" t="s">
        <v>93</v>
      </c>
      <c r="B22" s="365" t="s">
        <v>277</v>
      </c>
      <c r="C22" s="366" t="s">
        <v>278</v>
      </c>
      <c r="D22" s="367"/>
      <c r="E22" s="368"/>
    </row>
    <row r="23" spans="1:5" ht="18.75" customHeight="1">
      <c r="A23" s="364" t="s">
        <v>101</v>
      </c>
      <c r="B23" s="365" t="s">
        <v>279</v>
      </c>
      <c r="C23" s="366" t="s">
        <v>280</v>
      </c>
      <c r="D23" s="367">
        <v>2426327</v>
      </c>
      <c r="E23" s="368">
        <v>2193881</v>
      </c>
    </row>
    <row r="24" spans="1:5" ht="18.75" customHeight="1">
      <c r="A24" s="364" t="s">
        <v>103</v>
      </c>
      <c r="B24" s="365" t="s">
        <v>281</v>
      </c>
      <c r="C24" s="366" t="s">
        <v>282</v>
      </c>
      <c r="D24" s="367"/>
      <c r="E24" s="368"/>
    </row>
    <row r="25" spans="1:5" ht="18.75" customHeight="1">
      <c r="A25" s="364" t="s">
        <v>105</v>
      </c>
      <c r="B25" s="370" t="s">
        <v>283</v>
      </c>
      <c r="C25" s="371" t="s">
        <v>284</v>
      </c>
      <c r="D25" s="372"/>
      <c r="E25" s="373"/>
    </row>
    <row r="26" spans="1:5" ht="18.75" customHeight="1">
      <c r="A26" s="355" t="s">
        <v>61</v>
      </c>
      <c r="B26" s="356" t="s">
        <v>285</v>
      </c>
      <c r="C26" s="357"/>
      <c r="D26" s="374">
        <f>SUM(D27:D33)</f>
        <v>2897812</v>
      </c>
      <c r="E26" s="358">
        <f>SUM(E27:E33)</f>
        <v>1136887</v>
      </c>
    </row>
    <row r="27" spans="1:5" ht="18.75" customHeight="1">
      <c r="A27" s="359" t="s">
        <v>37</v>
      </c>
      <c r="B27" s="360" t="s">
        <v>286</v>
      </c>
      <c r="C27" s="361" t="s">
        <v>287</v>
      </c>
      <c r="D27" s="362">
        <v>428767</v>
      </c>
      <c r="E27" s="363">
        <v>511338</v>
      </c>
    </row>
    <row r="28" spans="1:5" ht="18.75" customHeight="1">
      <c r="A28" s="364" t="s">
        <v>39</v>
      </c>
      <c r="B28" s="365" t="s">
        <v>288</v>
      </c>
      <c r="C28" s="366" t="s">
        <v>287</v>
      </c>
      <c r="D28" s="367">
        <v>10000</v>
      </c>
      <c r="E28" s="368"/>
    </row>
    <row r="29" spans="1:5" ht="38.25" customHeight="1">
      <c r="A29" s="364" t="s">
        <v>41</v>
      </c>
      <c r="B29" s="369" t="s">
        <v>289</v>
      </c>
      <c r="C29" s="366" t="s">
        <v>290</v>
      </c>
      <c r="D29" s="367"/>
      <c r="E29" s="368"/>
    </row>
    <row r="30" spans="1:5" ht="18.75" customHeight="1">
      <c r="A30" s="364" t="s">
        <v>91</v>
      </c>
      <c r="B30" s="365" t="s">
        <v>291</v>
      </c>
      <c r="C30" s="366" t="s">
        <v>292</v>
      </c>
      <c r="D30" s="367">
        <v>265164</v>
      </c>
      <c r="E30" s="368">
        <v>200000</v>
      </c>
    </row>
    <row r="31" spans="1:5" ht="18.75" customHeight="1">
      <c r="A31" s="364" t="s">
        <v>93</v>
      </c>
      <c r="B31" s="365" t="s">
        <v>293</v>
      </c>
      <c r="C31" s="366" t="s">
        <v>294</v>
      </c>
      <c r="D31" s="367">
        <v>2193881</v>
      </c>
      <c r="E31" s="368"/>
    </row>
    <row r="32" spans="1:5" ht="18.75" customHeight="1">
      <c r="A32" s="364" t="s">
        <v>101</v>
      </c>
      <c r="B32" s="365" t="s">
        <v>295</v>
      </c>
      <c r="C32" s="366" t="s">
        <v>296</v>
      </c>
      <c r="D32" s="367"/>
      <c r="E32" s="368"/>
    </row>
    <row r="33" spans="1:5" ht="18.75" customHeight="1">
      <c r="A33" s="375" t="s">
        <v>103</v>
      </c>
      <c r="B33" s="376" t="s">
        <v>297</v>
      </c>
      <c r="C33" s="377" t="s">
        <v>298</v>
      </c>
      <c r="D33" s="378"/>
      <c r="E33" s="379">
        <f>709692-284143</f>
        <v>425549</v>
      </c>
    </row>
    <row r="34" spans="1:5" ht="7.5" customHeight="1">
      <c r="A34" s="380"/>
      <c r="B34" s="381"/>
      <c r="C34" s="381"/>
      <c r="D34" s="381"/>
      <c r="E34" s="381"/>
    </row>
    <row r="35" spans="1:6" ht="12.75" customHeight="1">
      <c r="A35" s="382"/>
      <c r="B35" s="383"/>
      <c r="C35" s="383"/>
      <c r="D35" s="383"/>
      <c r="E35" s="383"/>
      <c r="F35" s="384"/>
    </row>
  </sheetData>
  <mergeCells count="6">
    <mergeCell ref="A6:E6"/>
    <mergeCell ref="A9:A11"/>
    <mergeCell ref="B9:B11"/>
    <mergeCell ref="C9:C11"/>
    <mergeCell ref="D9:D11"/>
    <mergeCell ref="E9:E11"/>
  </mergeCells>
  <printOptions horizontalCentered="1"/>
  <pageMargins left="0.7402777777777778" right="0.39375" top="0.5597222222222222" bottom="0.5902777777777778" header="0.5118055555555555" footer="0.5118055555555555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zoomScaleSheetLayoutView="75" workbookViewId="0" topLeftCell="A1">
      <pane ySplit="11" topLeftCell="A12" activePane="bottomLeft" state="frozen"/>
      <selection pane="topLeft" activeCell="A1" sqref="A1"/>
      <selection pane="bottomLeft" activeCell="J15" sqref="J15"/>
    </sheetView>
  </sheetViews>
  <sheetFormatPr defaultColWidth="10.28125" defaultRowHeight="12.75" customHeight="1"/>
  <cols>
    <col min="1" max="1" width="6.140625" style="1" customWidth="1"/>
    <col min="2" max="2" width="6.421875" style="1" customWidth="1"/>
    <col min="3" max="3" width="7.28125" style="1" customWidth="1"/>
    <col min="4" max="4" width="6.00390625" style="1" customWidth="1"/>
    <col min="5" max="5" width="50.421875" style="1" customWidth="1"/>
    <col min="6" max="6" width="13.28125" style="1" customWidth="1"/>
    <col min="7" max="7" width="14.00390625" style="1" customWidth="1"/>
    <col min="8" max="9" width="11.140625" style="1" customWidth="1"/>
    <col min="10" max="10" width="14.421875" style="1" customWidth="1"/>
    <col min="11" max="11" width="15.8515625" style="1" customWidth="1"/>
    <col min="12" max="12" width="18.421875" style="1" customWidth="1"/>
    <col min="13" max="16384" width="10.140625" style="1" customWidth="1"/>
  </cols>
  <sheetData>
    <row r="1" ht="12.75" customHeight="1">
      <c r="K1" s="1" t="s">
        <v>299</v>
      </c>
    </row>
    <row r="2" spans="5:11" ht="12.75" customHeight="1">
      <c r="E2" s="385"/>
      <c r="K2" s="1" t="s">
        <v>300</v>
      </c>
    </row>
    <row r="3" ht="12.75" customHeight="1">
      <c r="K3" s="1" t="s">
        <v>2</v>
      </c>
    </row>
    <row r="4" ht="12.75" customHeight="1">
      <c r="K4" s="1" t="s">
        <v>301</v>
      </c>
    </row>
    <row r="5" spans="1:12" ht="18" customHeight="1">
      <c r="A5" s="2" t="s">
        <v>302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0.5" customHeight="1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" t="s">
        <v>5</v>
      </c>
    </row>
    <row r="7" spans="1:12" s="388" customFormat="1" ht="19.5" customHeight="1">
      <c r="A7" s="341" t="s">
        <v>262</v>
      </c>
      <c r="B7" s="342" t="s">
        <v>303</v>
      </c>
      <c r="C7" s="342" t="s">
        <v>119</v>
      </c>
      <c r="D7" s="342" t="s">
        <v>120</v>
      </c>
      <c r="E7" s="343" t="s">
        <v>304</v>
      </c>
      <c r="F7" s="343" t="s">
        <v>305</v>
      </c>
      <c r="G7" s="343" t="s">
        <v>268</v>
      </c>
      <c r="H7" s="343"/>
      <c r="I7" s="343"/>
      <c r="J7" s="343"/>
      <c r="K7" s="343"/>
      <c r="L7" s="387" t="s">
        <v>306</v>
      </c>
    </row>
    <row r="8" spans="1:12" s="388" customFormat="1" ht="19.5" customHeight="1">
      <c r="A8" s="341"/>
      <c r="B8" s="342"/>
      <c r="C8" s="342"/>
      <c r="D8" s="342"/>
      <c r="E8" s="343"/>
      <c r="F8" s="343"/>
      <c r="G8" s="389" t="s">
        <v>307</v>
      </c>
      <c r="H8" s="389" t="s">
        <v>308</v>
      </c>
      <c r="I8" s="389"/>
      <c r="J8" s="389"/>
      <c r="K8" s="389"/>
      <c r="L8" s="387"/>
    </row>
    <row r="9" spans="1:12" s="388" customFormat="1" ht="29.25" customHeight="1">
      <c r="A9" s="341"/>
      <c r="B9" s="342"/>
      <c r="C9" s="342"/>
      <c r="D9" s="342"/>
      <c r="E9" s="343"/>
      <c r="F9" s="343"/>
      <c r="G9" s="343"/>
      <c r="H9" s="389" t="s">
        <v>309</v>
      </c>
      <c r="I9" s="389" t="s">
        <v>310</v>
      </c>
      <c r="J9" s="389" t="s">
        <v>311</v>
      </c>
      <c r="K9" s="389" t="s">
        <v>312</v>
      </c>
      <c r="L9" s="387"/>
    </row>
    <row r="10" spans="1:12" s="388" customFormat="1" ht="19.5" customHeight="1">
      <c r="A10" s="341"/>
      <c r="B10" s="342"/>
      <c r="C10" s="342"/>
      <c r="D10" s="342"/>
      <c r="E10" s="343"/>
      <c r="F10" s="343"/>
      <c r="G10" s="343"/>
      <c r="H10" s="343"/>
      <c r="I10" s="343"/>
      <c r="J10" s="343"/>
      <c r="K10" s="343"/>
      <c r="L10" s="387"/>
    </row>
    <row r="11" spans="1:12" s="388" customFormat="1" ht="19.5" customHeight="1">
      <c r="A11" s="341"/>
      <c r="B11" s="342"/>
      <c r="C11" s="342"/>
      <c r="D11" s="342"/>
      <c r="E11" s="343"/>
      <c r="F11" s="343"/>
      <c r="G11" s="343"/>
      <c r="H11" s="343"/>
      <c r="I11" s="343"/>
      <c r="J11" s="343"/>
      <c r="K11" s="343"/>
      <c r="L11" s="387"/>
    </row>
    <row r="12" spans="1:12" ht="7.5" customHeight="1">
      <c r="A12" s="390">
        <v>1</v>
      </c>
      <c r="B12" s="391">
        <v>2</v>
      </c>
      <c r="C12" s="391">
        <v>3</v>
      </c>
      <c r="D12" s="391">
        <v>4</v>
      </c>
      <c r="E12" s="391">
        <v>5</v>
      </c>
      <c r="F12" s="391">
        <v>6</v>
      </c>
      <c r="G12" s="391">
        <v>7</v>
      </c>
      <c r="H12" s="391">
        <v>8</v>
      </c>
      <c r="I12" s="391">
        <v>9</v>
      </c>
      <c r="J12" s="391">
        <v>10</v>
      </c>
      <c r="K12" s="391">
        <v>11</v>
      </c>
      <c r="L12" s="392">
        <v>12</v>
      </c>
    </row>
    <row r="13" spans="1:12" ht="33.75" customHeight="1">
      <c r="A13" s="355" t="s">
        <v>37</v>
      </c>
      <c r="B13" s="393">
        <v>750</v>
      </c>
      <c r="C13" s="393">
        <v>75020</v>
      </c>
      <c r="D13" s="393">
        <v>6050</v>
      </c>
      <c r="E13" s="155" t="s">
        <v>313</v>
      </c>
      <c r="F13" s="394">
        <v>37700</v>
      </c>
      <c r="G13" s="395">
        <f aca="true" t="shared" si="0" ref="G13:G16">SUM(H13:K13)</f>
        <v>37700</v>
      </c>
      <c r="H13" s="394">
        <v>37700</v>
      </c>
      <c r="I13" s="393"/>
      <c r="J13" s="393"/>
      <c r="K13" s="393"/>
      <c r="L13" s="396" t="s">
        <v>314</v>
      </c>
    </row>
    <row r="14" spans="1:12" ht="48" customHeight="1">
      <c r="A14" s="397" t="s">
        <v>39</v>
      </c>
      <c r="B14" s="398">
        <v>801</v>
      </c>
      <c r="C14" s="398">
        <v>80130</v>
      </c>
      <c r="D14" s="398">
        <v>6050</v>
      </c>
      <c r="E14" s="399" t="s">
        <v>315</v>
      </c>
      <c r="F14" s="400">
        <v>350000</v>
      </c>
      <c r="G14" s="400">
        <f t="shared" si="0"/>
        <v>350000</v>
      </c>
      <c r="H14" s="400">
        <v>350000</v>
      </c>
      <c r="I14" s="398">
        <v>0</v>
      </c>
      <c r="J14" s="401">
        <v>0</v>
      </c>
      <c r="K14" s="398">
        <v>0</v>
      </c>
      <c r="L14" s="402" t="s">
        <v>316</v>
      </c>
    </row>
    <row r="15" spans="1:12" ht="38.25" customHeight="1">
      <c r="A15" s="403" t="s">
        <v>41</v>
      </c>
      <c r="B15" s="404">
        <v>852</v>
      </c>
      <c r="C15" s="404">
        <v>85202</v>
      </c>
      <c r="D15" s="404">
        <v>6050</v>
      </c>
      <c r="E15" s="405" t="s">
        <v>317</v>
      </c>
      <c r="F15" s="400">
        <v>160000</v>
      </c>
      <c r="G15" s="400">
        <f t="shared" si="0"/>
        <v>160000</v>
      </c>
      <c r="H15" s="400">
        <v>160000</v>
      </c>
      <c r="I15" s="404">
        <v>0</v>
      </c>
      <c r="J15" s="406">
        <v>0</v>
      </c>
      <c r="K15" s="404">
        <v>0</v>
      </c>
      <c r="L15" s="407" t="s">
        <v>318</v>
      </c>
    </row>
    <row r="16" spans="1:12" ht="39" customHeight="1">
      <c r="A16" s="355" t="s">
        <v>91</v>
      </c>
      <c r="B16" s="408">
        <v>852</v>
      </c>
      <c r="C16" s="408">
        <v>85202</v>
      </c>
      <c r="D16" s="408">
        <v>6060</v>
      </c>
      <c r="E16" s="409" t="s">
        <v>319</v>
      </c>
      <c r="F16" s="410">
        <v>6000</v>
      </c>
      <c r="G16" s="400">
        <f t="shared" si="0"/>
        <v>6000</v>
      </c>
      <c r="H16" s="410">
        <v>6000</v>
      </c>
      <c r="I16" s="408"/>
      <c r="J16" s="411"/>
      <c r="K16" s="408"/>
      <c r="L16" s="412" t="s">
        <v>320</v>
      </c>
    </row>
    <row r="17" spans="1:12" ht="22.5" customHeight="1">
      <c r="A17" s="413" t="s">
        <v>321</v>
      </c>
      <c r="B17" s="413"/>
      <c r="C17" s="413"/>
      <c r="D17" s="413"/>
      <c r="E17" s="413"/>
      <c r="F17" s="414">
        <f>SUM(F13:F16)</f>
        <v>553700</v>
      </c>
      <c r="G17" s="414">
        <f aca="true" t="shared" si="1" ref="G17:K17">SUM(G13:G16)</f>
        <v>553700</v>
      </c>
      <c r="H17" s="414">
        <f t="shared" si="1"/>
        <v>553700</v>
      </c>
      <c r="I17" s="414">
        <f t="shared" si="1"/>
        <v>0</v>
      </c>
      <c r="J17" s="414">
        <f t="shared" si="1"/>
        <v>0</v>
      </c>
      <c r="K17" s="414">
        <f t="shared" si="1"/>
        <v>0</v>
      </c>
      <c r="L17" s="415" t="s">
        <v>322</v>
      </c>
    </row>
    <row r="19" ht="12.75" customHeight="1">
      <c r="A19" s="1" t="s">
        <v>323</v>
      </c>
    </row>
    <row r="20" ht="12.75" customHeight="1">
      <c r="A20" s="1" t="s">
        <v>324</v>
      </c>
    </row>
    <row r="21" ht="12.75" customHeight="1">
      <c r="A21" s="1" t="s">
        <v>325</v>
      </c>
    </row>
    <row r="22" ht="12.75" customHeight="1">
      <c r="A22" s="1" t="s">
        <v>326</v>
      </c>
    </row>
    <row r="24" ht="12.75" customHeight="1">
      <c r="A24" s="416" t="s">
        <v>327</v>
      </c>
    </row>
  </sheetData>
  <mergeCells count="16"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H8:K8"/>
    <mergeCell ref="H9:H11"/>
    <mergeCell ref="I9:I11"/>
    <mergeCell ref="J9:J11"/>
    <mergeCell ref="K9:K11"/>
    <mergeCell ref="A17:E17"/>
  </mergeCells>
  <printOptions horizontalCentered="1"/>
  <pageMargins left="0.2" right="0.3902777777777778" top="0.25" bottom="0.22013888888888888" header="0.5118055555555555" footer="0.5118055555555555"/>
  <pageSetup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75" zoomScaleNormal="75" workbookViewId="0" topLeftCell="E2">
      <pane ySplit="11" topLeftCell="A13" activePane="bottomLeft" state="frozen"/>
      <selection pane="topLeft" activeCell="E2" sqref="E2"/>
      <selection pane="bottomLeft" activeCell="N19" sqref="N19"/>
    </sheetView>
  </sheetViews>
  <sheetFormatPr defaultColWidth="10.28125" defaultRowHeight="12.75" customHeight="1"/>
  <cols>
    <col min="1" max="1" width="6.140625" style="1" customWidth="1"/>
    <col min="2" max="2" width="7.57421875" style="1" customWidth="1"/>
    <col min="3" max="3" width="8.57421875" style="1" customWidth="1"/>
    <col min="4" max="4" width="6.140625" style="1" customWidth="1"/>
    <col min="5" max="5" width="63.7109375" style="1" customWidth="1"/>
    <col min="6" max="6" width="18.00390625" style="1" customWidth="1"/>
    <col min="7" max="7" width="13.7109375" style="1" customWidth="1"/>
    <col min="8" max="8" width="13.57421875" style="1" customWidth="1"/>
    <col min="9" max="9" width="11.140625" style="1" customWidth="1"/>
    <col min="10" max="10" width="13.8515625" style="1" customWidth="1"/>
    <col min="11" max="11" width="15.8515625" style="1" customWidth="1"/>
    <col min="12" max="12" width="14.7109375" style="1" customWidth="1"/>
    <col min="13" max="13" width="15.421875" style="1" customWidth="1"/>
    <col min="14" max="14" width="23.421875" style="1" customWidth="1"/>
    <col min="15" max="16384" width="10.140625" style="1" customWidth="1"/>
  </cols>
  <sheetData>
    <row r="1" spans="13:14" ht="12.75" customHeight="1">
      <c r="M1" s="337" t="s">
        <v>328</v>
      </c>
      <c r="N1" s="337"/>
    </row>
    <row r="2" spans="13:14" ht="12.75" customHeight="1">
      <c r="M2" s="337" t="s">
        <v>329</v>
      </c>
      <c r="N2" s="337"/>
    </row>
    <row r="3" spans="7:14" ht="12.75" customHeight="1">
      <c r="G3" s="385"/>
      <c r="M3" s="337" t="s">
        <v>330</v>
      </c>
      <c r="N3" s="337"/>
    </row>
    <row r="4" spans="13:14" ht="12.75" customHeight="1">
      <c r="M4" s="337" t="s">
        <v>331</v>
      </c>
      <c r="N4" s="337"/>
    </row>
    <row r="6" spans="1:14" ht="18" customHeight="1">
      <c r="A6" s="2" t="s">
        <v>332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0.5" customHeight="1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" t="s">
        <v>5</v>
      </c>
    </row>
    <row r="8" spans="1:14" s="388" customFormat="1" ht="19.5" customHeight="1">
      <c r="A8" s="341" t="s">
        <v>262</v>
      </c>
      <c r="B8" s="342" t="s">
        <v>303</v>
      </c>
      <c r="C8" s="342" t="s">
        <v>119</v>
      </c>
      <c r="D8" s="342" t="s">
        <v>333</v>
      </c>
      <c r="E8" s="343" t="s">
        <v>334</v>
      </c>
      <c r="F8" s="343" t="s">
        <v>305</v>
      </c>
      <c r="G8" s="343" t="s">
        <v>268</v>
      </c>
      <c r="H8" s="343"/>
      <c r="I8" s="343"/>
      <c r="J8" s="343"/>
      <c r="K8" s="343"/>
      <c r="L8" s="343"/>
      <c r="M8" s="343"/>
      <c r="N8" s="387" t="s">
        <v>306</v>
      </c>
    </row>
    <row r="9" spans="1:14" s="388" customFormat="1" ht="19.5" customHeight="1">
      <c r="A9" s="341"/>
      <c r="B9" s="342"/>
      <c r="C9" s="342"/>
      <c r="D9" s="342"/>
      <c r="E9" s="343"/>
      <c r="F9" s="343"/>
      <c r="G9" s="389" t="s">
        <v>307</v>
      </c>
      <c r="H9" s="389" t="s">
        <v>308</v>
      </c>
      <c r="I9" s="389"/>
      <c r="J9" s="389"/>
      <c r="K9" s="389"/>
      <c r="L9" s="389" t="s">
        <v>13</v>
      </c>
      <c r="M9" s="389" t="s">
        <v>14</v>
      </c>
      <c r="N9" s="387"/>
    </row>
    <row r="10" spans="1:14" s="388" customFormat="1" ht="29.25" customHeight="1">
      <c r="A10" s="341"/>
      <c r="B10" s="342"/>
      <c r="C10" s="342"/>
      <c r="D10" s="342"/>
      <c r="E10" s="343"/>
      <c r="F10" s="343"/>
      <c r="G10" s="343"/>
      <c r="H10" s="389" t="s">
        <v>309</v>
      </c>
      <c r="I10" s="389" t="s">
        <v>310</v>
      </c>
      <c r="J10" s="389" t="s">
        <v>335</v>
      </c>
      <c r="K10" s="389" t="s">
        <v>312</v>
      </c>
      <c r="L10" s="389"/>
      <c r="M10" s="389"/>
      <c r="N10" s="387"/>
    </row>
    <row r="11" spans="1:14" s="388" customFormat="1" ht="19.5" customHeight="1">
      <c r="A11" s="341"/>
      <c r="B11" s="342"/>
      <c r="C11" s="342"/>
      <c r="D11" s="342"/>
      <c r="E11" s="343"/>
      <c r="F11" s="343"/>
      <c r="G11" s="343"/>
      <c r="H11" s="343"/>
      <c r="I11" s="343"/>
      <c r="J11" s="343"/>
      <c r="K11" s="343"/>
      <c r="L11" s="343"/>
      <c r="M11" s="343"/>
      <c r="N11" s="387"/>
    </row>
    <row r="12" spans="1:14" s="388" customFormat="1" ht="19.5" customHeight="1">
      <c r="A12" s="341"/>
      <c r="B12" s="342"/>
      <c r="C12" s="342"/>
      <c r="D12" s="342"/>
      <c r="E12" s="343"/>
      <c r="F12" s="343"/>
      <c r="G12" s="343"/>
      <c r="H12" s="343"/>
      <c r="I12" s="343"/>
      <c r="J12" s="343"/>
      <c r="K12" s="343"/>
      <c r="L12" s="343"/>
      <c r="M12" s="343"/>
      <c r="N12" s="387"/>
    </row>
    <row r="13" spans="1:14" ht="7.5" customHeight="1">
      <c r="A13" s="390">
        <v>1</v>
      </c>
      <c r="B13" s="391">
        <v>2</v>
      </c>
      <c r="C13" s="391">
        <v>3</v>
      </c>
      <c r="D13" s="391">
        <v>4</v>
      </c>
      <c r="E13" s="391">
        <v>5</v>
      </c>
      <c r="F13" s="391">
        <v>6</v>
      </c>
      <c r="G13" s="391">
        <v>7</v>
      </c>
      <c r="H13" s="391">
        <v>8</v>
      </c>
      <c r="I13" s="391">
        <v>9</v>
      </c>
      <c r="J13" s="391">
        <v>10</v>
      </c>
      <c r="K13" s="391">
        <v>11</v>
      </c>
      <c r="L13" s="391">
        <v>12</v>
      </c>
      <c r="M13" s="391">
        <v>13</v>
      </c>
      <c r="N13" s="392">
        <v>14</v>
      </c>
    </row>
    <row r="14" spans="1:14" ht="45.75" customHeight="1">
      <c r="A14" s="355" t="s">
        <v>37</v>
      </c>
      <c r="B14" s="417">
        <v>600</v>
      </c>
      <c r="C14" s="418">
        <v>60014</v>
      </c>
      <c r="D14" s="418">
        <v>6059</v>
      </c>
      <c r="E14" s="419" t="s">
        <v>336</v>
      </c>
      <c r="F14" s="420">
        <v>1616220</v>
      </c>
      <c r="G14" s="420">
        <f aca="true" t="shared" si="0" ref="G14:G21">SUM(H14:K14)</f>
        <v>1600000</v>
      </c>
      <c r="H14" s="420">
        <v>443032</v>
      </c>
      <c r="I14" s="420">
        <v>1156968</v>
      </c>
      <c r="J14" s="421"/>
      <c r="K14" s="420"/>
      <c r="L14" s="420">
        <v>0</v>
      </c>
      <c r="M14" s="420">
        <v>0</v>
      </c>
      <c r="N14" s="422" t="s">
        <v>337</v>
      </c>
    </row>
    <row r="15" spans="1:14" ht="49.5" customHeight="1">
      <c r="A15" s="355" t="s">
        <v>39</v>
      </c>
      <c r="B15" s="417">
        <v>600</v>
      </c>
      <c r="C15" s="418">
        <v>60014</v>
      </c>
      <c r="D15" s="418">
        <v>6050</v>
      </c>
      <c r="E15" s="419" t="s">
        <v>338</v>
      </c>
      <c r="F15" s="420">
        <v>6012607</v>
      </c>
      <c r="G15" s="420">
        <f t="shared" si="0"/>
        <v>215000</v>
      </c>
      <c r="H15" s="420">
        <v>215000</v>
      </c>
      <c r="I15" s="420"/>
      <c r="J15" s="421"/>
      <c r="K15" s="420"/>
      <c r="L15" s="420">
        <v>1425000</v>
      </c>
      <c r="M15" s="420">
        <v>4360000</v>
      </c>
      <c r="N15" s="422" t="s">
        <v>337</v>
      </c>
    </row>
    <row r="16" spans="1:14" ht="38.25" customHeight="1">
      <c r="A16" s="355" t="s">
        <v>41</v>
      </c>
      <c r="B16" s="417">
        <v>600</v>
      </c>
      <c r="C16" s="418">
        <v>60014</v>
      </c>
      <c r="D16" s="418">
        <v>6050</v>
      </c>
      <c r="E16" s="423" t="s">
        <v>339</v>
      </c>
      <c r="F16" s="420">
        <v>4000000</v>
      </c>
      <c r="G16" s="420">
        <f t="shared" si="0"/>
        <v>140000</v>
      </c>
      <c r="H16" s="420">
        <v>140000</v>
      </c>
      <c r="I16" s="420"/>
      <c r="J16" s="421"/>
      <c r="K16" s="420"/>
      <c r="L16" s="420">
        <v>1185000</v>
      </c>
      <c r="M16" s="420">
        <v>2668697</v>
      </c>
      <c r="N16" s="422" t="s">
        <v>337</v>
      </c>
    </row>
    <row r="17" spans="1:14" ht="55.5" customHeight="1">
      <c r="A17" s="355" t="s">
        <v>91</v>
      </c>
      <c r="B17" s="417">
        <v>600</v>
      </c>
      <c r="C17" s="418">
        <v>60014</v>
      </c>
      <c r="D17" s="424" t="s">
        <v>340</v>
      </c>
      <c r="E17" s="425" t="s">
        <v>341</v>
      </c>
      <c r="F17" s="420">
        <v>10639279</v>
      </c>
      <c r="G17" s="420">
        <f t="shared" si="0"/>
        <v>4141999</v>
      </c>
      <c r="H17" s="420"/>
      <c r="I17" s="420">
        <v>1242600</v>
      </c>
      <c r="J17" s="421"/>
      <c r="K17" s="420">
        <v>2899399</v>
      </c>
      <c r="L17" s="420">
        <v>6470690</v>
      </c>
      <c r="M17" s="420">
        <v>0</v>
      </c>
      <c r="N17" s="422" t="s">
        <v>337</v>
      </c>
    </row>
    <row r="18" spans="1:14" ht="55.5" customHeight="1">
      <c r="A18" s="355" t="s">
        <v>93</v>
      </c>
      <c r="B18" s="417">
        <v>600</v>
      </c>
      <c r="C18" s="418">
        <v>60014</v>
      </c>
      <c r="D18" s="418">
        <v>6059</v>
      </c>
      <c r="E18" s="425" t="s">
        <v>342</v>
      </c>
      <c r="F18" s="420">
        <v>6706671</v>
      </c>
      <c r="G18" s="420">
        <f t="shared" si="0"/>
        <v>109800</v>
      </c>
      <c r="H18" s="420">
        <v>32940</v>
      </c>
      <c r="I18" s="420">
        <v>76860</v>
      </c>
      <c r="J18" s="421"/>
      <c r="K18" s="420"/>
      <c r="L18" s="420"/>
      <c r="M18" s="420">
        <v>4992605</v>
      </c>
      <c r="N18" s="422" t="s">
        <v>337</v>
      </c>
    </row>
    <row r="19" spans="1:14" ht="55.5" customHeight="1">
      <c r="A19" s="355" t="s">
        <v>101</v>
      </c>
      <c r="B19" s="417">
        <v>600</v>
      </c>
      <c r="C19" s="418">
        <v>60014</v>
      </c>
      <c r="D19" s="418">
        <v>6050</v>
      </c>
      <c r="E19" s="425" t="s">
        <v>343</v>
      </c>
      <c r="F19" s="420">
        <v>6000000</v>
      </c>
      <c r="G19" s="420">
        <f t="shared" si="0"/>
        <v>100000</v>
      </c>
      <c r="H19" s="420">
        <v>100000</v>
      </c>
      <c r="I19" s="420"/>
      <c r="J19" s="421"/>
      <c r="K19" s="420"/>
      <c r="L19" s="420">
        <v>1000000</v>
      </c>
      <c r="M19" s="420">
        <v>2000000</v>
      </c>
      <c r="N19" s="422" t="s">
        <v>337</v>
      </c>
    </row>
    <row r="20" spans="1:14" ht="55.5" customHeight="1">
      <c r="A20" s="355" t="s">
        <v>103</v>
      </c>
      <c r="B20" s="417">
        <v>600</v>
      </c>
      <c r="C20" s="418">
        <v>60014</v>
      </c>
      <c r="D20" s="418">
        <v>6050</v>
      </c>
      <c r="E20" s="425" t="s">
        <v>344</v>
      </c>
      <c r="F20" s="420">
        <v>10000000</v>
      </c>
      <c r="G20" s="420">
        <f t="shared" si="0"/>
        <v>100000</v>
      </c>
      <c r="H20" s="420">
        <v>100000</v>
      </c>
      <c r="I20" s="420"/>
      <c r="J20" s="421"/>
      <c r="K20" s="420"/>
      <c r="L20" s="420"/>
      <c r="M20" s="420">
        <v>3000000</v>
      </c>
      <c r="N20" s="422" t="s">
        <v>337</v>
      </c>
    </row>
    <row r="21" spans="1:14" ht="43.5" customHeight="1">
      <c r="A21" s="355" t="s">
        <v>345</v>
      </c>
      <c r="B21" s="426">
        <v>801</v>
      </c>
      <c r="C21" s="427">
        <v>80130</v>
      </c>
      <c r="D21" s="427">
        <v>6050</v>
      </c>
      <c r="E21" s="428" t="s">
        <v>346</v>
      </c>
      <c r="F21" s="429">
        <v>550000</v>
      </c>
      <c r="G21" s="430">
        <f t="shared" si="0"/>
        <v>337500</v>
      </c>
      <c r="H21" s="429">
        <f>137500+200000</f>
        <v>337500</v>
      </c>
      <c r="I21" s="431"/>
      <c r="J21" s="432"/>
      <c r="K21" s="431"/>
      <c r="L21" s="431">
        <v>212500</v>
      </c>
      <c r="M21" s="431"/>
      <c r="N21" s="433" t="s">
        <v>347</v>
      </c>
    </row>
    <row r="22" spans="1:14" ht="34.5" customHeight="1">
      <c r="A22" s="434" t="s">
        <v>321</v>
      </c>
      <c r="B22" s="434"/>
      <c r="C22" s="434"/>
      <c r="D22" s="434"/>
      <c r="E22" s="434"/>
      <c r="F22" s="435">
        <f aca="true" t="shared" si="1" ref="F22:M22">SUM(F14:F21)</f>
        <v>45524777</v>
      </c>
      <c r="G22" s="435">
        <f t="shared" si="1"/>
        <v>6744299</v>
      </c>
      <c r="H22" s="435">
        <f t="shared" si="1"/>
        <v>1368472</v>
      </c>
      <c r="I22" s="435">
        <f t="shared" si="1"/>
        <v>2476428</v>
      </c>
      <c r="J22" s="435">
        <f t="shared" si="1"/>
        <v>0</v>
      </c>
      <c r="K22" s="435">
        <f t="shared" si="1"/>
        <v>2899399</v>
      </c>
      <c r="L22" s="435">
        <f t="shared" si="1"/>
        <v>10293190</v>
      </c>
      <c r="M22" s="435">
        <f t="shared" si="1"/>
        <v>17021302</v>
      </c>
      <c r="N22" s="436" t="s">
        <v>322</v>
      </c>
    </row>
    <row r="25" ht="12.75" customHeight="1">
      <c r="A25" s="1" t="s">
        <v>323</v>
      </c>
    </row>
    <row r="26" ht="12.75" customHeight="1">
      <c r="A26" s="1" t="s">
        <v>324</v>
      </c>
    </row>
    <row r="27" ht="12.75" customHeight="1">
      <c r="A27" s="1" t="s">
        <v>325</v>
      </c>
    </row>
    <row r="28" ht="12.75" customHeight="1">
      <c r="A28" s="1" t="s">
        <v>326</v>
      </c>
    </row>
    <row r="29" ht="12.75" customHeight="1">
      <c r="A29" s="416"/>
    </row>
  </sheetData>
  <mergeCells count="18">
    <mergeCell ref="A6:N6"/>
    <mergeCell ref="A8:A12"/>
    <mergeCell ref="B8:B12"/>
    <mergeCell ref="C8:C12"/>
    <mergeCell ref="D8:D12"/>
    <mergeCell ref="E8:E12"/>
    <mergeCell ref="F8:F12"/>
    <mergeCell ref="G8:M8"/>
    <mergeCell ref="N8:N12"/>
    <mergeCell ref="G9:G12"/>
    <mergeCell ref="H9:K9"/>
    <mergeCell ref="L9:L12"/>
    <mergeCell ref="M9:M12"/>
    <mergeCell ref="H10:H12"/>
    <mergeCell ref="I10:I12"/>
    <mergeCell ref="J10:J12"/>
    <mergeCell ref="K10:K12"/>
    <mergeCell ref="A22:E22"/>
  </mergeCells>
  <printOptions horizontalCentered="1"/>
  <pageMargins left="0.19652777777777777" right="0.2361111111111111" top="0.2361111111111111" bottom="0.196527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421875" style="437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421875" style="437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