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2" firstSheet="2" activeTab="6"/>
  </bookViews>
  <sheets>
    <sheet name="i.wieloletnie" sheetId="1" r:id="rId1"/>
    <sheet name="i.jednoroczne" sheetId="2" r:id="rId2"/>
    <sheet name="unijne" sheetId="3" r:id="rId3"/>
    <sheet name="d.zlecone" sheetId="4" r:id="rId4"/>
    <sheet name="d. porozumienia" sheetId="5" r:id="rId5"/>
    <sheet name="adm. rząd." sheetId="6" r:id="rId6"/>
    <sheet name="wynik finansowy" sheetId="7" r:id="rId7"/>
    <sheet name="dotacje udzielone" sheetId="8" r:id="rId8"/>
    <sheet name="gospodarstwa pom." sheetId="9" r:id="rId9"/>
    <sheet name="fundusz GZGiK" sheetId="10" r:id="rId10"/>
    <sheet name="prognoza długu" sheetId="11" r:id="rId11"/>
    <sheet name="syt. finans." sheetId="12" r:id="rId12"/>
  </sheets>
  <externalReferences>
    <externalReference r:id="rId15"/>
    <externalReference r:id="rId16"/>
    <externalReference r:id="rId17"/>
  </externalReferences>
  <definedNames>
    <definedName name="_xlnm.Print_Area" localSheetId="3">'d.zlecone'!$A$1:$G$197</definedName>
    <definedName name="_xlnm.Print_Area" localSheetId="11">'syt. finans.'!$A$1:$Z$38</definedName>
  </definedNames>
  <calcPr fullCalcOnLoad="1"/>
</workbook>
</file>

<file path=xl/sharedStrings.xml><?xml version="1.0" encoding="utf-8"?>
<sst xmlns="http://schemas.openxmlformats.org/spreadsheetml/2006/main" count="1183" uniqueCount="549">
  <si>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</si>
  <si>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</si>
  <si>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</si>
  <si>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</si>
  <si>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</si>
  <si>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</si>
  <si>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</si>
  <si>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</si>
  <si>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</si>
  <si>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</si>
  <si>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</si>
  <si>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</si>
  <si>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</si>
  <si>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</si>
  <si>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</si>
  <si>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</si>
  <si>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</si>
  <si>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</si>
  <si>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</si>
  <si>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</si>
  <si>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</si>
  <si>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</si>
  <si>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</si>
  <si>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</si>
  <si>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</si>
  <si>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</si>
  <si>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</si>
  <si>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</si>
  <si>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</si>
  <si>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</si>
  <si>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</si>
  <si>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</si>
  <si>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</si>
  <si>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</si>
  <si>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</si>
  <si>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</si>
  <si>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</si>
  <si>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</si>
  <si>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</si>
  <si>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</si>
  <si>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</si>
  <si>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</si>
  <si>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</si>
  <si>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</si>
  <si>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</si>
  <si>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</si>
  <si>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</si>
  <si>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</si>
  <si>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</si>
  <si>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</si>
  <si>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</si>
  <si>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</si>
  <si>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</si>
  <si>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</si>
  <si>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</si>
  <si>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</si>
  <si>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</si>
  <si>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</si>
  <si>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</si>
  <si>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</si>
  <si>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</si>
  <si>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</si>
  <si>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</si>
  <si>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</si>
  <si>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</si>
  <si>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</si>
  <si>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</si>
  <si>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</si>
  <si>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</si>
  <si>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</si>
  <si>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</si>
  <si>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</si>
  <si>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</si>
  <si>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</si>
  <si>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</si>
  <si>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</si>
  <si>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</si>
  <si>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</si>
  <si>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</si>
  <si>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</si>
  <si>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</si>
  <si>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</si>
  <si>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</si>
  <si>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</si>
  <si>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</si>
  <si>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</si>
  <si>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</si>
  <si>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</si>
  <si>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</si>
  <si>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</si>
  <si>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</si>
  <si>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</si>
  <si>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</si>
  <si>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* wydatki obejmują wydatki bieżące i majątkowe (dotyczące inwestycji rocznych i ujętych w wieloletnim programie inwestycyjnym)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</si>
  <si>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</si>
  <si>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</si>
  <si>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</si>
  <si>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</si>
  <si>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</si>
  <si>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</si>
  <si>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</si>
  <si>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</si>
  <si>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</si>
  <si>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</si>
  <si>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</si>
  <si>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</si>
  <si>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</si>
  <si>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</si>
  <si>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</si>
  <si>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</si>
  <si>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</si>
  <si>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</si>
  <si>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</si>
  <si>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</si>
  <si>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</si>
  <si>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</si>
  <si>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</si>
  <si>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</si>
  <si>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</si>
  <si>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</si>
  <si>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</si>
  <si>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</si>
  <si>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</si>
  <si>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</si>
  <si>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</si>
  <si>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</si>
  <si>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</si>
  <si>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</si>
  <si>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</si>
  <si>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</si>
  <si>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</si>
  <si>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</si>
  <si>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</si>
  <si>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</si>
  <si>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</si>
  <si>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</si>
  <si>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</si>
  <si>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2010 r.</t>
  </si>
  <si>
    <t>2011 r.</t>
  </si>
  <si>
    <t xml:space="preserve"> oraz dochodów i wydatków rachunków dochodów własnych na 2010 r.</t>
  </si>
  <si>
    <t>Rozliczenie z budżetem z tytułu wpłat nadwyżek środków za 2009 r.</t>
  </si>
  <si>
    <t>wykonanie 2009*</t>
  </si>
  <si>
    <t>2012 r.</t>
  </si>
  <si>
    <t>Zadania inwestycyjne w 2010 r.</t>
  </si>
  <si>
    <t>rok budżetowy 2010 (8+9+10+11)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</si>
  <si>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</si>
  <si>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</si>
  <si>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</si>
  <si>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</si>
  <si>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</si>
  <si>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</si>
  <si>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 xml:space="preserve"> Przychody i rozchody budżetu w 2010 r.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</si>
  <si>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</si>
  <si>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</si>
  <si>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Plan przychodów i wydatków Powiatowego Funduszu</t>
  </si>
  <si>
    <t>Gospodarki Zasobem Geodezyjnym i Kartograficznym</t>
  </si>
  <si>
    <t>Plan na 2009 r.</t>
  </si>
  <si>
    <t>z tego: 2009 r.</t>
  </si>
  <si>
    <t>2012 r.***</t>
  </si>
  <si>
    <t>Nazwa zadania/podmiotu</t>
  </si>
  <si>
    <t>Zarząd Dróg Powiatowych Elbląg</t>
  </si>
  <si>
    <t>Budowa garażu i pomieszczenia gospodarczego</t>
  </si>
  <si>
    <t>Zespół Szkół w Gronowie Górnym</t>
  </si>
  <si>
    <t>Załącznik nr 3</t>
  </si>
  <si>
    <t>do uchwały Nr …………</t>
  </si>
  <si>
    <t>Rady Powiatu w Elblągu</t>
  </si>
  <si>
    <t>z dnia ……………….</t>
  </si>
  <si>
    <t>Załącznik nr 3a</t>
  </si>
  <si>
    <t>Załącznik nr 9</t>
  </si>
  <si>
    <t>do uchwały Nr ………..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</si>
  <si>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</si>
  <si>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</si>
  <si>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</si>
  <si>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</si>
  <si>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Realizacja zadań z zakresu interwencji kryzysowej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</si>
  <si>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</si>
  <si>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</si>
  <si>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</si>
  <si>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</si>
  <si>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Organizacja komkursów związanych z kulturą na terenie powiatu elbląskiego, organizacja przeglądów dziedzictwa kulturowego powiatu</t>
  </si>
  <si>
    <t>10.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</si>
  <si>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</si>
  <si>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11.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</si>
  <si>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</si>
  <si>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</si>
  <si>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</si>
  <si>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</si>
  <si>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</si>
  <si>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14.</t>
  </si>
  <si>
    <t>Organizacja imprez sportowych i rekreacyjnych dla dzieci i młodzieży oraz dorosłych mieszkańców powiatu elbląskiego</t>
  </si>
  <si>
    <t>Przygotowanie i udział reprezentacji powiatu elbląskiego w zawodach sportowych osób niepełnosprawnych</t>
  </si>
  <si>
    <t>do uchwały Nr ………….</t>
  </si>
  <si>
    <t>z dnia …………………….</t>
  </si>
  <si>
    <t>1.Zakład Obsługi Powiatowego Zasobu Geodezyjnego i Kartograficznego w Elblągu</t>
  </si>
  <si>
    <t>2. Gospodarstwo pomocnicze "Pólko" przy Zespole Szkół Ekonomicznych i Technicznych w Pasłęku</t>
  </si>
  <si>
    <t>do uchwały Nr………</t>
  </si>
  <si>
    <t>z dnia …………………</t>
  </si>
  <si>
    <t>§ 4210 - Zakup materiałów i wyposażenia</t>
  </si>
  <si>
    <t>§ 0830 - Wpływy z usług</t>
  </si>
  <si>
    <t>§ 0920 - Pozostałe odsetki</t>
  </si>
  <si>
    <t>§ 2960 - Przelewy redystrybucyjne</t>
  </si>
  <si>
    <t>§ 4270 - Zakup usług remontowych</t>
  </si>
  <si>
    <t>§ 4300- Zakup usług pozostałych</t>
  </si>
  <si>
    <t>§ 4350 - Zakup usług do sieci Internet</t>
  </si>
  <si>
    <t>§ 4700 - Szkolenia pracowników niebędących członkami korpusu sł. cyw.</t>
  </si>
  <si>
    <t>§ 4740 - Zakup materiałów papierniczych do sprzętu drukarsk. i urządz. kser.</t>
  </si>
  <si>
    <t>§ 4750 - Zakup akcesoriów komputerowych, w tym programów i licencji</t>
  </si>
  <si>
    <t>§ 6120 - Wydatki na zakupy inwestycyjne</t>
  </si>
  <si>
    <t>Wydatki* na programy i projekty realizowane ze środków pochodzących z funduszy strukturalnych i Funduszu Spójności  oraz pozostałe środki pochodzące ze źródeł zagranicznych nie podlegające zwrotowi.</t>
  </si>
  <si>
    <t>pożyczki na prefinansowanie z budżetu państwa</t>
  </si>
  <si>
    <t>Kapitał ludzki</t>
  </si>
  <si>
    <t>IX - Rozwój wykształcenia i kompetencji w regionach</t>
  </si>
  <si>
    <t>Wyrównywanie szans edukacyjnych uczniów i zapewnienie wysokiej jakości usług edukacyjnych świadczonych w systemie oświaty.</t>
  </si>
  <si>
    <t>Od gimnazjalisty do maturzysty</t>
  </si>
  <si>
    <t>z tego: 2010 r.</t>
  </si>
  <si>
    <t>9.2. - Podniesienie atrakcyjności i jakości szkolnictwa zawodowego</t>
  </si>
  <si>
    <t>Do sukcesu na kółkach - podniesienie kwalifikacji zaw. Uczniów szkół zawodowych kończących się maturą w ZSEiT w Pasłęku</t>
  </si>
  <si>
    <t>Dodatkowe umiejętności w wykształceniu zawodowym perspektywą  na lepszą przyszłość</t>
  </si>
  <si>
    <t>1.4</t>
  </si>
  <si>
    <t>Poddziałanie:</t>
  </si>
  <si>
    <t>Matematyka w szkole i w pracy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</si>
  <si>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</si>
  <si>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</si>
  <si>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</si>
  <si>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</si>
  <si>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</si>
  <si>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</si>
  <si>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</si>
  <si>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</si>
  <si>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</si>
  <si>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</si>
  <si>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</si>
  <si>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9.5. Oddolne inicjatywy edukacyjne na obszarach wiejskich</t>
  </si>
  <si>
    <t>Podniesienie poziomu jęzuka angielskiego zawodowego szansa na rozwój zawodowy uczniów</t>
  </si>
  <si>
    <t>Dobrze przygotowana prezentacja to do sukcesu droga realna</t>
  </si>
  <si>
    <t>9.1. Wyrównywanie szans edukacyjnych uczniów i zapewnienie wysokiej jakości usług edukacyjnych świadczonych w systemie oświaty</t>
  </si>
  <si>
    <t>Sukces maturalny młodzieży powiatu elbląskiego z przedmiotów matematyczno-przyrodniczych szansa zrealizowania planów życiowych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</si>
  <si>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</si>
  <si>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</si>
  <si>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</si>
  <si>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</si>
  <si>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</si>
  <si>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</si>
  <si>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</si>
  <si>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Regionalny Program Operacyjny Warmia i Mazury 2007-20013</t>
  </si>
  <si>
    <t>5 Infrastruktura transportowa regionalna i lokalna</t>
  </si>
  <si>
    <t>5.1. Rozbudowa i modernizacja infrastruktury transportowej warunkującej rozwój regionalny</t>
  </si>
  <si>
    <t>5.1.6. Infrastruktura drogowa warunkująca rozwój regionalny</t>
  </si>
  <si>
    <t>" Przebudowa drogi powiatowej nr 1103N na odcinku Kazimierzowo-Wikrowo od km 3+643 do km 5+543 i remont (odnowa nawierzchni) na odcinku Gronowo Elbląskie -Stare Dolno od km 17+000 do km 28+781</t>
  </si>
  <si>
    <t>*** rok 2012 do wykorzystania fakultatywnego</t>
  </si>
  <si>
    <t xml:space="preserve">Załącznik nr 7 </t>
  </si>
  <si>
    <t>do uchwały nr………</t>
  </si>
  <si>
    <t>z dnia…………………</t>
  </si>
  <si>
    <t>Załącznik nr 8</t>
  </si>
  <si>
    <t>Załącznik nr 10a</t>
  </si>
  <si>
    <t>do uchwały Nr ................</t>
  </si>
  <si>
    <t>z dnia ........................</t>
  </si>
  <si>
    <t xml:space="preserve">Dochody i wydatki związane z realizacją zadań z zakresu administracji </t>
  </si>
  <si>
    <t xml:space="preserve">rządowej i innych zadań zleconych odrębnymi ustawami </t>
  </si>
  <si>
    <t>w 2010 roku</t>
  </si>
  <si>
    <t>Dochody</t>
  </si>
  <si>
    <t>Dz.</t>
  </si>
  <si>
    <t>W y s z c z e g ó l n i e n i e</t>
  </si>
  <si>
    <t>Dotacje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</si>
  <si>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</si>
  <si>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</si>
  <si>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</si>
  <si>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</si>
  <si>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</si>
  <si>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</si>
  <si>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</si>
  <si>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</si>
  <si>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</si>
  <si>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</si>
  <si>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Zakup usług pozostałych</t>
  </si>
  <si>
    <t>01008</t>
  </si>
  <si>
    <t>Melioracje wodne</t>
  </si>
  <si>
    <t>2350</t>
  </si>
  <si>
    <t>Doch. budżetu pańs. związ. z realiz. zadań zlec j.s.t.</t>
  </si>
  <si>
    <t>Gospodarka mieszkaniowa</t>
  </si>
  <si>
    <t>Gospodarka gruntami i nieruchomościami</t>
  </si>
  <si>
    <t>4270</t>
  </si>
  <si>
    <t>Zakup usług remontowych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</si>
  <si>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</si>
  <si>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</si>
  <si>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</si>
  <si>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</si>
  <si>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</si>
  <si>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</si>
  <si>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</si>
  <si>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</si>
  <si>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</si>
  <si>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pracowników</t>
  </si>
  <si>
    <t>Wynagrodzenia osobowe członków korpusu służby cyw.</t>
  </si>
  <si>
    <t>Dodatkowe wynagrodzenia roczne</t>
  </si>
  <si>
    <t>Składki na ubezpieczenia społeczne</t>
  </si>
  <si>
    <t>Skladki na Fundusz Pracy</t>
  </si>
  <si>
    <t>Zakup materiałów i wyposażenia</t>
  </si>
  <si>
    <t>Zakup usług dostępu do sieci Internet</t>
  </si>
  <si>
    <t>Opłaty z tytułu zakupu usług telekom. tel. komórkowej</t>
  </si>
  <si>
    <t>Opłaty z tytułu zakupu usług telekom. tel. stacjonarn.</t>
  </si>
  <si>
    <t>Opłaty czynszowe za pomieszczenia biurowe</t>
  </si>
  <si>
    <t>4430</t>
  </si>
  <si>
    <t>Różne opłaty i składki</t>
  </si>
  <si>
    <t>4440</t>
  </si>
  <si>
    <t>Odpisy na zakładowy fund.świadczeń socjalnych</t>
  </si>
  <si>
    <t>4740</t>
  </si>
  <si>
    <t>Zakup mater. papier. do sprzętu druk. i urządz. kser.</t>
  </si>
  <si>
    <t>4750</t>
  </si>
  <si>
    <t>Zakup akcesoriów komputerowych, w tym programów i licencji</t>
  </si>
  <si>
    <t>Administracja publiczna</t>
  </si>
  <si>
    <t>Urzędy wojewódzkie</t>
  </si>
  <si>
    <t>Nagrody i wydatki osobowe nie zaliczone do wynagr.</t>
  </si>
  <si>
    <t>Składki na Fundusz Pracy</t>
  </si>
  <si>
    <t>Wynagrodzenia bezosobowe</t>
  </si>
  <si>
    <t>Zakup energii</t>
  </si>
  <si>
    <t>Zakup usług zdrowotnych</t>
  </si>
  <si>
    <t>4350</t>
  </si>
  <si>
    <t>4370</t>
  </si>
  <si>
    <t>Opłaty z tytułu zakupu usług telekom. tel. stacjon.</t>
  </si>
  <si>
    <t>4410</t>
  </si>
  <si>
    <t>Podróże służbowe krajowe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</si>
  <si>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</si>
  <si>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</si>
  <si>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</si>
  <si>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</si>
  <si>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</si>
  <si>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</si>
  <si>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</si>
  <si>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</si>
  <si>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Bezpieczeństwo publiczne i ochrona przeciwpożarowa</t>
  </si>
  <si>
    <t>Obrona cywilna</t>
  </si>
  <si>
    <t>Ochrona zdrowia</t>
  </si>
  <si>
    <t>Składki na ubezp.zdr.oraz świad.dla os.nie obj.ubezp.zdr.</t>
  </si>
  <si>
    <t>Składki na ubezpieczenia zdrowotne</t>
  </si>
  <si>
    <t>Pomoc społeczna</t>
  </si>
  <si>
    <t>Ośrodki wsparcia</t>
  </si>
  <si>
    <t>Dodatkowe wynagrodzenie roczne</t>
  </si>
  <si>
    <t>Zakup środków żywności</t>
  </si>
  <si>
    <t>Zakup leków</t>
  </si>
  <si>
    <t>Opłaty z tytułu zakupu usług telekom. tel. stacjonar.</t>
  </si>
  <si>
    <t>Odpisy na zakładowy fundusz świadczeń socjalnych</t>
  </si>
  <si>
    <t>Zakup materiałów pap. do sprz. drukar. i urządz. kser.</t>
  </si>
  <si>
    <t>Zadania w zakresie przeciwdziałania w rodzinie</t>
  </si>
  <si>
    <t>Pozostałe zadania w zakresie polityki społecznej</t>
  </si>
  <si>
    <t>Zespoły d/s orzekania o niepełnosprawności</t>
  </si>
  <si>
    <t>Zakup leków i materiałów medycznych</t>
  </si>
  <si>
    <t>4510</t>
  </si>
  <si>
    <t>Opłaty na rzecz budżetu państwa</t>
  </si>
  <si>
    <t>Dochody i wydatki ogółem, z tego:</t>
  </si>
  <si>
    <t>a) Wydatki bieżące, w tym:</t>
  </si>
  <si>
    <t>- wynagrodzenia i pochodne od wynagrodzeń</t>
  </si>
  <si>
    <t>- świadczenia społeczne § 3110</t>
  </si>
  <si>
    <t>b) Wydatki majątkowe § 6....</t>
  </si>
  <si>
    <t>Załącznik nr 6</t>
  </si>
  <si>
    <t>do uchwały Nr .............</t>
  </si>
  <si>
    <t>z dnia ...........................</t>
  </si>
  <si>
    <t>Dochody i wydatki związane z realizacją zadań</t>
  </si>
  <si>
    <t>realizowanych na podstawie porozumień (umów) między</t>
  </si>
  <si>
    <t>jednostkami samorządu terytorialnego  w 2010 r.</t>
  </si>
  <si>
    <t xml:space="preserve">  w złotych</t>
  </si>
  <si>
    <t>N a z w a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</si>
  <si>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</si>
  <si>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</si>
  <si>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</si>
  <si>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</si>
  <si>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</si>
  <si>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</si>
  <si>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</si>
  <si>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</si>
  <si>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Starostwa powiatowe</t>
  </si>
  <si>
    <t>Placówki opiekuńczo-wychowawcze</t>
  </si>
  <si>
    <t xml:space="preserve">Dotacje celowe otrzymane z gminy na zadania bieżące </t>
  </si>
  <si>
    <t>realizowane na podstawie porozumień między j.s.t.</t>
  </si>
  <si>
    <t>Dotacje celowe przekazane gminie na zadania bieżące real.</t>
  </si>
  <si>
    <t>Rodziny zastępcze</t>
  </si>
  <si>
    <t>Świadczenia społeczne</t>
  </si>
  <si>
    <t>Powiatowe urzędy pracy</t>
  </si>
  <si>
    <t>Edukacyjna opieka wychowawcza</t>
  </si>
  <si>
    <t>Poradnie psychol.-pedagog.oraz in.porad.spec.</t>
  </si>
  <si>
    <t>Kultura i ochrona dziedzictwa narodowego</t>
  </si>
  <si>
    <t>Biblioteki</t>
  </si>
  <si>
    <t xml:space="preserve"> - dotacje</t>
  </si>
  <si>
    <t>Załącznik nr 11</t>
  </si>
  <si>
    <t>do Uchwały Nr ...............</t>
  </si>
  <si>
    <t>z dnia ............................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</si>
  <si>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</si>
  <si>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</si>
  <si>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</si>
  <si>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</si>
  <si>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</si>
  <si>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</si>
  <si>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</si>
  <si>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</si>
  <si>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</si>
  <si>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</si>
  <si>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</si>
  <si>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</si>
  <si>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</si>
  <si>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</si>
  <si>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</si>
  <si>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</si>
  <si>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</si>
  <si>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</si>
  <si>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</si>
  <si>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</si>
  <si>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</si>
  <si>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</si>
  <si>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</si>
  <si>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Załącznik nr 11a</t>
  </si>
  <si>
    <t>do uchwały Nr...........</t>
  </si>
  <si>
    <t>z dnia.......................</t>
  </si>
  <si>
    <t>z dnia........................</t>
  </si>
  <si>
    <t>Prognozowana sytuacja finansowa powiatu w latach spłaty długu</t>
  </si>
  <si>
    <t>Wykonanie w 2007 r.</t>
  </si>
  <si>
    <t>Wykonanie na 2008 r.</t>
  </si>
  <si>
    <t>Lata spłaty kredytu/pożyczki</t>
  </si>
  <si>
    <t>2008 r</t>
  </si>
  <si>
    <t>PW 2009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</si>
  <si>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</si>
  <si>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</si>
  <si>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</si>
  <si>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</si>
  <si>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</si>
  <si>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</si>
  <si>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</si>
  <si>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</si>
  <si>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</si>
  <si>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</si>
  <si>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</si>
  <si>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</si>
  <si>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</si>
  <si>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</si>
  <si>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</si>
  <si>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</si>
  <si>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</si>
  <si>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</si>
  <si>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</si>
  <si>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</si>
  <si>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</si>
  <si>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</si>
  <si>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</si>
  <si>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</si>
  <si>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</si>
  <si>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</si>
  <si>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</si>
  <si>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</si>
  <si>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</si>
  <si>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</si>
  <si>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</si>
  <si>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</si>
  <si>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</si>
  <si>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</si>
  <si>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</si>
  <si>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</si>
  <si>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</si>
  <si>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</si>
  <si>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</si>
  <si>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</si>
  <si>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</si>
  <si>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</si>
  <si>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</si>
  <si>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</si>
  <si>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</si>
  <si>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</si>
  <si>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</si>
  <si>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</si>
  <si>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</si>
  <si>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</si>
  <si>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Pozostała działalność</t>
  </si>
  <si>
    <t>Gospodarka komunalna i ochrona środowiska</t>
  </si>
  <si>
    <t>Pozostałe odsetki</t>
  </si>
  <si>
    <t>§ 4530 - Podatek od towarów i usług</t>
  </si>
  <si>
    <t>Dotacje celowe przekazane gminie na inwestycje i zakupy inw.</t>
  </si>
  <si>
    <t>Przebudowa drogi powiatowej Nr 1103N Kazimierzowo-Wikrowo od km 3+643 do km 5+543 i odnowa nawierzchni na odc. Gronowo Elbąskie-Stare Dolno od km 0+000 do km 11+418  (realizacja 2009-2011)</t>
  </si>
  <si>
    <t>Zarząd Dróg Powiatowych Pasłęk</t>
  </si>
  <si>
    <t>Załącznik nr 7</t>
  </si>
  <si>
    <t>Program Operacyjny Kapitał Ludzki</t>
  </si>
  <si>
    <t>7. Promocja integracji społecznej</t>
  </si>
  <si>
    <t>7.3. Inicjatywy lokalne na rzecz aktywnej integracji</t>
  </si>
  <si>
    <t>Szansa</t>
  </si>
  <si>
    <t>Fundacja Rozwoju Systemu Edukacji</t>
  </si>
  <si>
    <t>Comenius</t>
  </si>
  <si>
    <t xml:space="preserve">Przebudowa mostu na kanale melioracyjnym w miejscowości Brudzędy, droga powiatowa nr 1103N (realizacja 2010-2011)                  </t>
  </si>
  <si>
    <t>Program operacyjny kapitał ludzki</t>
  </si>
  <si>
    <t>7.2.1. Aktywizacja zawodowa i społeczna osób zagrożonych wylkuczeniem społecznym</t>
  </si>
  <si>
    <t>Zadbaj o swoje kwalifikacje</t>
  </si>
  <si>
    <t>Polsko- Niemiecka Współpraca młodzieży</t>
  </si>
  <si>
    <t>Poznajemy Unię Europejską</t>
  </si>
  <si>
    <t>Powiat Elbląski na polach Grunwaldu</t>
  </si>
  <si>
    <t>II Plener Malarski Uczniów Liceum Plastycznego - Perły Powiatu Elbląskiego - Kadyny , Tolkicko</t>
  </si>
  <si>
    <t>15.</t>
  </si>
  <si>
    <t>Zakup samochodu osobowego</t>
  </si>
  <si>
    <t>Zakup samochodu ciężarowego</t>
  </si>
  <si>
    <t>Regionalny Program Operacyjny Warmia i Mazury na lata 2007-2013</t>
  </si>
  <si>
    <t>Modernizacja budynku Zespołu Szkół w Pasłęku z przeznaczeniem na uruchomienie kształcenia w zawodzie technik hotelarstwa.</t>
  </si>
  <si>
    <t>Comenius - uczenie się przez całe życie</t>
  </si>
  <si>
    <t xml:space="preserve">Wimi </t>
  </si>
  <si>
    <t>3. Infrastruktura społeczna</t>
  </si>
  <si>
    <t>3.1 Inwestycje w infrastrukturę edukacyjną</t>
  </si>
  <si>
    <t>Comenius Cura</t>
  </si>
  <si>
    <t>7.1 Rozwój i upowszechnianie aktywnej integracji</t>
  </si>
  <si>
    <t>7.1.2 Rozwój i upowszechnianie aktywnej integracji poprzez powiatowe centra pomocy rodzinie</t>
  </si>
  <si>
    <t>NIE - wylkuczeniu społecznemu</t>
  </si>
  <si>
    <t>1.16</t>
  </si>
  <si>
    <t>2.2</t>
  </si>
  <si>
    <t>Przebudowa drogi powiatowej nr 1145N Milejewo-Nowe Monastarzysko-Młynary, odcinek Milejewo-Majewo, od km. 0+000 do km. 2+656,80</t>
  </si>
  <si>
    <t>realizowanych na podstawie porozumień (umów)</t>
  </si>
  <si>
    <t>Dotacje celowe otrzymane z budżetu państwa</t>
  </si>
  <si>
    <t>na zadania bieżące na podst. porozumień z organami</t>
  </si>
  <si>
    <t xml:space="preserve"> administracji rządowej</t>
  </si>
  <si>
    <t>Składki na ubepieczenie społeczne</t>
  </si>
  <si>
    <t>Dochody i wydatki ogółem:</t>
  </si>
  <si>
    <t>z dnia ..................... 2010 r.</t>
  </si>
  <si>
    <t>z organami administracji rządowej  w 2010 r.</t>
  </si>
  <si>
    <t>`</t>
  </si>
  <si>
    <t>5.2 Infrastruktura transportowa służąca rozwojowi lokalnemu</t>
  </si>
  <si>
    <t>5.2.1 Infrastruktura drogowa warunkująca rozwój regionalny</t>
  </si>
  <si>
    <t>2.3</t>
  </si>
  <si>
    <t>Przebudowa drogi powiatowej nr 1103N Bielnik Ii - Jegłownik - Gronowo Elbląskie - Stare Dolno - Powodowa - Wysoka od km 21+048 do km 23+248 o dł 2,2 km, gmina Rychliki</t>
  </si>
  <si>
    <t xml:space="preserve">Przebudowa drogi powiatowej Nr 1103N Bielnik II-Jegłownik-Gronowo Elbląskie-Stare Dolno-Powodowo- Wysoka, na odcinku Stare Dolno-Powodowo-Wysoka od km 21+048 do km 23+248 o dł. 2,2 km   </t>
  </si>
  <si>
    <t>V. Dobre zarządzanie</t>
  </si>
  <si>
    <t>5.2 Wzmocnienie ptencjału administracji samorzadowej</t>
  </si>
  <si>
    <t>Doskonalenie umiejętności pracowników JST w powiecie elbląsim szansą rozwoju regionu</t>
  </si>
  <si>
    <t>6050,    6057,        6059</t>
  </si>
  <si>
    <t>Przejęte zobowiązanie (pożyczka)</t>
  </si>
  <si>
    <t>Zakup kosiarki samobieżnej wraz z oprzyrządowaniem, kosiarka, wykaszarka, walec, przyczeka do transportu kosiarki i walca</t>
  </si>
  <si>
    <t xml:space="preserve">     
</t>
  </si>
  <si>
    <t>Przejęte zobowiązanie (kredyt)</t>
  </si>
  <si>
    <t>W planowanej łącznej kwocie długu na koniec 2010 r. ujęto kwotę 1.363.642 zł, stanowiącą przejęte zobowiązanie po zlikwidowanym SP ZOZ w Pasłęku, z tytułu kredytu w wysokości 965.038 zł oraz pożyczek w wysokości 398.604 zł.</t>
  </si>
  <si>
    <t>Załącznik nr 4</t>
  </si>
  <si>
    <t>do uchwały nr …………</t>
  </si>
  <si>
    <t>z dnia…………………..</t>
  </si>
  <si>
    <t>4590</t>
  </si>
  <si>
    <t>4580</t>
  </si>
  <si>
    <t>Kary i odszkod. wypłacane na rzecz osób fizycznych</t>
  </si>
  <si>
    <t>01095</t>
  </si>
  <si>
    <t>Zarządu Powiatu w Elblągu</t>
  </si>
  <si>
    <t>Urzędy naczelnych organów władzy państwowej, kontroli</t>
  </si>
  <si>
    <t>i ochrony prawa oraz sądownictwa</t>
  </si>
  <si>
    <t>Wybory do rad gmin, rad powiatów i sejmików województw,</t>
  </si>
  <si>
    <t xml:space="preserve"> wybory wótów, burmistrzów i prezydentów miast oraz referenda </t>
  </si>
  <si>
    <t>gminne, powiatowe i wojewódzkie</t>
  </si>
  <si>
    <t>4170</t>
  </si>
  <si>
    <t>4210</t>
  </si>
  <si>
    <t>4260</t>
  </si>
  <si>
    <t>Załącznik nr 5</t>
  </si>
  <si>
    <t>Zakup wysokoobrotowej pralnicy</t>
  </si>
  <si>
    <t>DPS Tplkmicko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</si>
</sst>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4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 indent="2"/>
    </xf>
    <xf numFmtId="3" fontId="0" fillId="0" borderId="29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10" fillId="0" borderId="0" xfId="52" applyFont="1">
      <alignment/>
      <protection/>
    </xf>
    <xf numFmtId="0" fontId="20" fillId="0" borderId="0" xfId="52" applyFont="1">
      <alignment/>
      <protection/>
    </xf>
    <xf numFmtId="0" fontId="11" fillId="0" borderId="26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 vertical="center"/>
      <protection/>
    </xf>
    <xf numFmtId="0" fontId="10" fillId="0" borderId="30" xfId="52" applyFont="1" applyFill="1" applyBorder="1" applyAlignment="1">
      <alignment horizontal="center" vertical="center"/>
      <protection/>
    </xf>
    <xf numFmtId="0" fontId="9" fillId="0" borderId="31" xfId="52" applyFont="1" applyBorder="1" applyAlignment="1">
      <alignment horizontal="left" vertical="center"/>
      <protection/>
    </xf>
    <xf numFmtId="3" fontId="9" fillId="0" borderId="32" xfId="52" applyNumberFormat="1" applyFont="1" applyBorder="1" applyAlignment="1">
      <alignment horizontal="right" vertical="center"/>
      <protection/>
    </xf>
    <xf numFmtId="0" fontId="10" fillId="0" borderId="14" xfId="52" applyFont="1" applyFill="1" applyBorder="1">
      <alignment/>
      <protection/>
    </xf>
    <xf numFmtId="0" fontId="11" fillId="0" borderId="33" xfId="52" applyFont="1" applyFill="1" applyBorder="1" applyAlignment="1">
      <alignment horizontal="center" vertical="center"/>
      <protection/>
    </xf>
    <xf numFmtId="0" fontId="11" fillId="0" borderId="34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35" xfId="52" applyFont="1" applyFill="1" applyBorder="1" applyAlignment="1">
      <alignment horizontal="center" vertical="center"/>
      <protection/>
    </xf>
    <xf numFmtId="0" fontId="10" fillId="0" borderId="36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3" fontId="10" fillId="0" borderId="10" xfId="52" applyNumberFormat="1" applyFont="1" applyFill="1" applyBorder="1">
      <alignment/>
      <protection/>
    </xf>
    <xf numFmtId="3" fontId="10" fillId="0" borderId="25" xfId="52" applyNumberFormat="1" applyFont="1" applyFill="1" applyBorder="1">
      <alignment/>
      <protection/>
    </xf>
    <xf numFmtId="3" fontId="10" fillId="0" borderId="14" xfId="52" applyNumberFormat="1" applyFont="1" applyFill="1" applyBorder="1">
      <alignment/>
      <protection/>
    </xf>
    <xf numFmtId="3" fontId="10" fillId="0" borderId="14" xfId="52" applyNumberFormat="1" applyFont="1" applyFill="1" applyBorder="1" applyAlignment="1">
      <alignment/>
      <protection/>
    </xf>
    <xf numFmtId="3" fontId="10" fillId="0" borderId="37" xfId="52" applyNumberFormat="1" applyFont="1" applyFill="1" applyBorder="1" applyAlignment="1">
      <alignment/>
      <protection/>
    </xf>
    <xf numFmtId="3" fontId="10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/>
      <protection/>
    </xf>
    <xf numFmtId="3" fontId="10" fillId="0" borderId="38" xfId="52" applyNumberFormat="1" applyFont="1" applyFill="1" applyBorder="1" applyAlignment="1">
      <alignment/>
      <protection/>
    </xf>
    <xf numFmtId="0" fontId="10" fillId="0" borderId="39" xfId="52" applyFont="1" applyFill="1" applyBorder="1">
      <alignment/>
      <protection/>
    </xf>
    <xf numFmtId="0" fontId="10" fillId="0" borderId="40" xfId="52" applyFont="1" applyFill="1" applyBorder="1" applyAlignment="1">
      <alignment vertical="center"/>
      <protection/>
    </xf>
    <xf numFmtId="0" fontId="10" fillId="0" borderId="41" xfId="52" applyFont="1" applyFill="1" applyBorder="1" applyAlignment="1">
      <alignment vertical="center"/>
      <protection/>
    </xf>
    <xf numFmtId="3" fontId="10" fillId="0" borderId="39" xfId="52" applyNumberFormat="1" applyFont="1" applyFill="1" applyBorder="1">
      <alignment/>
      <protection/>
    </xf>
    <xf numFmtId="3" fontId="10" fillId="0" borderId="39" xfId="52" applyNumberFormat="1" applyFont="1" applyFill="1" applyBorder="1" applyAlignment="1">
      <alignment/>
      <protection/>
    </xf>
    <xf numFmtId="3" fontId="10" fillId="0" borderId="42" xfId="52" applyNumberFormat="1" applyFont="1" applyFill="1" applyBorder="1" applyAlignment="1">
      <alignment/>
      <protection/>
    </xf>
    <xf numFmtId="0" fontId="10" fillId="0" borderId="43" xfId="52" applyFont="1" applyFill="1" applyBorder="1">
      <alignment/>
      <protection/>
    </xf>
    <xf numFmtId="0" fontId="10" fillId="0" borderId="11" xfId="52" applyFont="1" applyFill="1" applyBorder="1">
      <alignment/>
      <protection/>
    </xf>
    <xf numFmtId="3" fontId="10" fillId="0" borderId="11" xfId="52" applyNumberFormat="1" applyFont="1" applyFill="1" applyBorder="1">
      <alignment/>
      <protection/>
    </xf>
    <xf numFmtId="3" fontId="10" fillId="0" borderId="11" xfId="52" applyNumberFormat="1" applyFont="1" applyFill="1" applyBorder="1" applyAlignment="1">
      <alignment/>
      <protection/>
    </xf>
    <xf numFmtId="3" fontId="10" fillId="0" borderId="44" xfId="52" applyNumberFormat="1" applyFont="1" applyFill="1" applyBorder="1" applyAlignment="1">
      <alignment/>
      <protection/>
    </xf>
    <xf numFmtId="0" fontId="10" fillId="0" borderId="34" xfId="52" applyFont="1" applyFill="1" applyBorder="1" applyAlignment="1">
      <alignment horizontal="left" vertical="center"/>
      <protection/>
    </xf>
    <xf numFmtId="0" fontId="9" fillId="0" borderId="19" xfId="52" applyFont="1" applyBorder="1" applyAlignment="1">
      <alignment horizontal="center"/>
      <protection/>
    </xf>
    <xf numFmtId="0" fontId="9" fillId="0" borderId="45" xfId="52" applyFont="1" applyFill="1" applyBorder="1">
      <alignment/>
      <protection/>
    </xf>
    <xf numFmtId="3" fontId="9" fillId="0" borderId="46" xfId="52" applyNumberFormat="1" applyFont="1" applyFill="1" applyBorder="1">
      <alignment/>
      <protection/>
    </xf>
    <xf numFmtId="0" fontId="7" fillId="0" borderId="35" xfId="0" applyFont="1" applyBorder="1" applyAlignment="1">
      <alignment/>
    </xf>
    <xf numFmtId="3" fontId="10" fillId="0" borderId="10" xfId="52" applyNumberFormat="1" applyFont="1" applyFill="1" applyBorder="1" applyAlignment="1">
      <alignment/>
      <protection/>
    </xf>
    <xf numFmtId="3" fontId="10" fillId="0" borderId="36" xfId="52" applyNumberFormat="1" applyFont="1" applyFill="1" applyBorder="1">
      <alignment/>
      <protection/>
    </xf>
    <xf numFmtId="3" fontId="10" fillId="0" borderId="36" xfId="52" applyNumberFormat="1" applyFont="1" applyFill="1" applyBorder="1" applyAlignment="1">
      <alignment/>
      <protection/>
    </xf>
    <xf numFmtId="3" fontId="10" fillId="0" borderId="47" xfId="52" applyNumberFormat="1" applyFont="1" applyFill="1" applyBorder="1" applyAlignment="1">
      <alignment/>
      <protection/>
    </xf>
    <xf numFmtId="3" fontId="9" fillId="0" borderId="46" xfId="52" applyNumberFormat="1" applyFont="1" applyBorder="1">
      <alignment/>
      <protection/>
    </xf>
    <xf numFmtId="3" fontId="9" fillId="0" borderId="48" xfId="52" applyNumberFormat="1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35" xfId="52" applyFont="1" applyBorder="1">
      <alignment/>
      <protection/>
    </xf>
    <xf numFmtId="0" fontId="21" fillId="0" borderId="49" xfId="52" applyFont="1" applyBorder="1">
      <alignment/>
      <protection/>
    </xf>
    <xf numFmtId="0" fontId="21" fillId="0" borderId="0" xfId="52" applyFont="1" applyBorder="1">
      <alignment/>
      <protection/>
    </xf>
    <xf numFmtId="0" fontId="21" fillId="0" borderId="50" xfId="52" applyFont="1" applyBorder="1">
      <alignment/>
      <protection/>
    </xf>
    <xf numFmtId="0" fontId="21" fillId="0" borderId="51" xfId="52" applyFont="1" applyBorder="1">
      <alignment/>
      <protection/>
    </xf>
    <xf numFmtId="0" fontId="10" fillId="0" borderId="51" xfId="52" applyFont="1" applyBorder="1">
      <alignment/>
      <protection/>
    </xf>
    <xf numFmtId="0" fontId="10" fillId="0" borderId="52" xfId="52" applyFont="1" applyBorder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51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7" fillId="33" borderId="56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/>
    </xf>
    <xf numFmtId="0" fontId="7" fillId="33" borderId="64" xfId="0" applyFont="1" applyFill="1" applyBorder="1" applyAlignment="1">
      <alignment/>
    </xf>
    <xf numFmtId="0" fontId="7" fillId="33" borderId="64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 vertical="center" shrinkToFit="1"/>
    </xf>
    <xf numFmtId="0" fontId="22" fillId="0" borderId="68" xfId="0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2" fillId="0" borderId="69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3" fontId="0" fillId="0" borderId="70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33" borderId="72" xfId="0" applyFont="1" applyFill="1" applyBorder="1" applyAlignment="1">
      <alignment horizontal="center"/>
    </xf>
    <xf numFmtId="0" fontId="23" fillId="33" borderId="73" xfId="0" applyFont="1" applyFill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horizontal="left" vertical="center"/>
    </xf>
    <xf numFmtId="3" fontId="25" fillId="0" borderId="46" xfId="0" applyNumberFormat="1" applyFont="1" applyBorder="1" applyAlignment="1">
      <alignment horizontal="right" vertical="center"/>
    </xf>
    <xf numFmtId="3" fontId="25" fillId="0" borderId="48" xfId="0" applyNumberFormat="1" applyFont="1" applyBorder="1" applyAlignment="1">
      <alignment horizontal="right" vertical="center"/>
    </xf>
    <xf numFmtId="0" fontId="23" fillId="0" borderId="5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3" fontId="23" fillId="0" borderId="29" xfId="0" applyNumberFormat="1" applyFont="1" applyBorder="1" applyAlignment="1">
      <alignment horizontal="right" vertical="center"/>
    </xf>
    <xf numFmtId="3" fontId="23" fillId="0" borderId="75" xfId="0" applyNumberFormat="1" applyFont="1" applyBorder="1" applyAlignment="1">
      <alignment horizontal="right" vertical="center"/>
    </xf>
    <xf numFmtId="0" fontId="23" fillId="0" borderId="62" xfId="0" applyFont="1" applyBorder="1" applyAlignment="1">
      <alignment horizontal="center" vertical="center"/>
    </xf>
    <xf numFmtId="0" fontId="23" fillId="0" borderId="62" xfId="0" applyFont="1" applyFill="1" applyBorder="1" applyAlignment="1">
      <alignment/>
    </xf>
    <xf numFmtId="3" fontId="23" fillId="0" borderId="62" xfId="0" applyNumberFormat="1" applyFont="1" applyBorder="1" applyAlignment="1">
      <alignment horizontal="right" vertical="center"/>
    </xf>
    <xf numFmtId="3" fontId="23" fillId="0" borderId="61" xfId="0" applyNumberFormat="1" applyFont="1" applyBorder="1" applyAlignment="1">
      <alignment horizontal="right" vertical="center"/>
    </xf>
    <xf numFmtId="3" fontId="23" fillId="0" borderId="62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35" xfId="0" applyNumberFormat="1" applyFont="1" applyFill="1" applyBorder="1" applyAlignment="1">
      <alignment horizontal="right" vertical="center"/>
    </xf>
    <xf numFmtId="3" fontId="23" fillId="0" borderId="59" xfId="0" applyNumberFormat="1" applyFont="1" applyFill="1" applyBorder="1" applyAlignment="1">
      <alignment horizontal="right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Fill="1" applyBorder="1" applyAlignment="1">
      <alignment/>
    </xf>
    <xf numFmtId="0" fontId="25" fillId="0" borderId="64" xfId="0" applyFont="1" applyFill="1" applyBorder="1" applyAlignment="1">
      <alignment horizontal="right" vertical="center"/>
    </xf>
    <xf numFmtId="3" fontId="25" fillId="0" borderId="52" xfId="0" applyNumberFormat="1" applyFont="1" applyFill="1" applyBorder="1" applyAlignment="1">
      <alignment horizontal="right" vertical="center"/>
    </xf>
    <xf numFmtId="0" fontId="23" fillId="0" borderId="71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1" xfId="0" applyFont="1" applyFill="1" applyBorder="1" applyAlignment="1">
      <alignment/>
    </xf>
    <xf numFmtId="0" fontId="23" fillId="0" borderId="76" xfId="0" applyFont="1" applyFill="1" applyBorder="1" applyAlignment="1">
      <alignment horizontal="right" vertical="center"/>
    </xf>
    <xf numFmtId="3" fontId="23" fillId="0" borderId="77" xfId="0" applyNumberFormat="1" applyFont="1" applyFill="1" applyBorder="1" applyAlignment="1">
      <alignment horizontal="right" vertical="center"/>
    </xf>
    <xf numFmtId="0" fontId="23" fillId="0" borderId="59" xfId="0" applyFont="1" applyFill="1" applyBorder="1" applyAlignment="1">
      <alignment/>
    </xf>
    <xf numFmtId="0" fontId="23" fillId="0" borderId="59" xfId="0" applyFont="1" applyFill="1" applyBorder="1" applyAlignment="1">
      <alignment horizontal="right" vertical="center"/>
    </xf>
    <xf numFmtId="49" fontId="23" fillId="0" borderId="59" xfId="0" applyNumberFormat="1" applyFont="1" applyFill="1" applyBorder="1" applyAlignment="1">
      <alignment horizontal="center"/>
    </xf>
    <xf numFmtId="49" fontId="25" fillId="0" borderId="64" xfId="0" applyNumberFormat="1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vertical="center"/>
    </xf>
    <xf numFmtId="49" fontId="23" fillId="0" borderId="73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3" fillId="0" borderId="73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horizontal="right" vertical="center"/>
    </xf>
    <xf numFmtId="0" fontId="25" fillId="0" borderId="45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68" xfId="0" applyFont="1" applyBorder="1" applyAlignment="1">
      <alignment/>
    </xf>
    <xf numFmtId="0" fontId="25" fillId="0" borderId="46" xfId="0" applyFont="1" applyFill="1" applyBorder="1" applyAlignment="1">
      <alignment/>
    </xf>
    <xf numFmtId="3" fontId="25" fillId="0" borderId="68" xfId="0" applyNumberFormat="1" applyFont="1" applyFill="1" applyBorder="1" applyAlignment="1">
      <alignment/>
    </xf>
    <xf numFmtId="3" fontId="25" fillId="0" borderId="74" xfId="0" applyNumberFormat="1" applyFont="1" applyFill="1" applyBorder="1" applyAlignment="1">
      <alignment/>
    </xf>
    <xf numFmtId="0" fontId="25" fillId="0" borderId="5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73" xfId="0" applyFont="1" applyBorder="1" applyAlignment="1">
      <alignment/>
    </xf>
    <xf numFmtId="0" fontId="23" fillId="0" borderId="73" xfId="0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78" xfId="0" applyNumberFormat="1" applyFont="1" applyFill="1" applyBorder="1" applyAlignment="1">
      <alignment/>
    </xf>
    <xf numFmtId="0" fontId="25" fillId="0" borderId="6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3" fontId="23" fillId="0" borderId="62" xfId="0" applyNumberFormat="1" applyFont="1" applyFill="1" applyBorder="1" applyAlignment="1">
      <alignment/>
    </xf>
    <xf numFmtId="3" fontId="25" fillId="0" borderId="35" xfId="0" applyNumberFormat="1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0" fontId="23" fillId="0" borderId="58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76" xfId="0" applyFont="1" applyBorder="1" applyAlignment="1">
      <alignment/>
    </xf>
    <xf numFmtId="0" fontId="23" fillId="0" borderId="76" xfId="0" applyFont="1" applyFill="1" applyBorder="1" applyAlignment="1">
      <alignment/>
    </xf>
    <xf numFmtId="3" fontId="23" fillId="0" borderId="71" xfId="0" applyNumberFormat="1" applyFont="1" applyFill="1" applyBorder="1" applyAlignment="1">
      <alignment/>
    </xf>
    <xf numFmtId="3" fontId="23" fillId="0" borderId="77" xfId="0" applyNumberFormat="1" applyFont="1" applyFill="1" applyBorder="1" applyAlignment="1">
      <alignment/>
    </xf>
    <xf numFmtId="0" fontId="23" fillId="0" borderId="58" xfId="0" applyFont="1" applyBorder="1" applyAlignment="1">
      <alignment/>
    </xf>
    <xf numFmtId="0" fontId="23" fillId="0" borderId="62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0" fontId="4" fillId="0" borderId="79" xfId="0" applyFont="1" applyFill="1" applyBorder="1" applyAlignment="1">
      <alignment/>
    </xf>
    <xf numFmtId="3" fontId="25" fillId="0" borderId="46" xfId="0" applyNumberFormat="1" applyFont="1" applyFill="1" applyBorder="1" applyAlignment="1">
      <alignment/>
    </xf>
    <xf numFmtId="0" fontId="23" fillId="0" borderId="29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7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23" fillId="0" borderId="71" xfId="0" applyFont="1" applyBorder="1" applyAlignment="1">
      <alignment/>
    </xf>
    <xf numFmtId="0" fontId="23" fillId="0" borderId="76" xfId="0" applyFont="1" applyBorder="1" applyAlignment="1">
      <alignment horizontal="center"/>
    </xf>
    <xf numFmtId="0" fontId="0" fillId="0" borderId="40" xfId="0" applyFont="1" applyFill="1" applyBorder="1" applyAlignment="1">
      <alignment/>
    </xf>
    <xf numFmtId="0" fontId="23" fillId="0" borderId="80" xfId="0" applyFont="1" applyBorder="1" applyAlignment="1">
      <alignment/>
    </xf>
    <xf numFmtId="0" fontId="4" fillId="33" borderId="63" xfId="0" applyFont="1" applyFill="1" applyBorder="1" applyAlignment="1">
      <alignment/>
    </xf>
    <xf numFmtId="3" fontId="4" fillId="33" borderId="67" xfId="0" applyNumberFormat="1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3" fontId="0" fillId="33" borderId="75" xfId="0" applyNumberFormat="1" applyFont="1" applyFill="1" applyBorder="1" applyAlignment="1">
      <alignment/>
    </xf>
    <xf numFmtId="49" fontId="0" fillId="33" borderId="58" xfId="0" applyNumberFormat="1" applyFont="1" applyFill="1" applyBorder="1" applyAlignment="1">
      <alignment/>
    </xf>
    <xf numFmtId="0" fontId="0" fillId="33" borderId="62" xfId="0" applyFont="1" applyFill="1" applyBorder="1" applyAlignment="1">
      <alignment/>
    </xf>
    <xf numFmtId="3" fontId="0" fillId="33" borderId="61" xfId="0" applyNumberFormat="1" applyFont="1" applyFill="1" applyBorder="1" applyAlignment="1">
      <alignment/>
    </xf>
    <xf numFmtId="49" fontId="0" fillId="33" borderId="80" xfId="0" applyNumberFormat="1" applyFont="1" applyFill="1" applyBorder="1" applyAlignment="1">
      <alignment/>
    </xf>
    <xf numFmtId="0" fontId="0" fillId="33" borderId="71" xfId="0" applyFont="1" applyFill="1" applyBorder="1" applyAlignment="1">
      <alignment/>
    </xf>
    <xf numFmtId="3" fontId="0" fillId="33" borderId="70" xfId="0" applyNumberFormat="1" applyFont="1" applyFill="1" applyBorder="1" applyAlignment="1">
      <alignment/>
    </xf>
    <xf numFmtId="49" fontId="0" fillId="33" borderId="63" xfId="0" applyNumberFormat="1" applyFont="1" applyFill="1" applyBorder="1" applyAlignment="1">
      <alignment/>
    </xf>
    <xf numFmtId="0" fontId="0" fillId="33" borderId="65" xfId="0" applyFont="1" applyFill="1" applyBorder="1" applyAlignment="1">
      <alignment/>
    </xf>
    <xf numFmtId="3" fontId="0" fillId="33" borderId="67" xfId="0" applyNumberFormat="1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33" borderId="53" xfId="0" applyFont="1" applyFill="1" applyBorder="1" applyAlignment="1">
      <alignment/>
    </xf>
    <xf numFmtId="0" fontId="23" fillId="33" borderId="56" xfId="0" applyFont="1" applyFill="1" applyBorder="1" applyAlignment="1">
      <alignment/>
    </xf>
    <xf numFmtId="0" fontId="23" fillId="33" borderId="29" xfId="0" applyFont="1" applyFill="1" applyBorder="1" applyAlignment="1">
      <alignment horizontal="center"/>
    </xf>
    <xf numFmtId="0" fontId="23" fillId="33" borderId="58" xfId="0" applyFont="1" applyFill="1" applyBorder="1" applyAlignment="1">
      <alignment/>
    </xf>
    <xf numFmtId="0" fontId="23" fillId="33" borderId="60" xfId="0" applyFont="1" applyFill="1" applyBorder="1" applyAlignment="1">
      <alignment horizontal="centerContinuous"/>
    </xf>
    <xf numFmtId="0" fontId="23" fillId="33" borderId="60" xfId="0" applyFont="1" applyFill="1" applyBorder="1" applyAlignment="1">
      <alignment/>
    </xf>
    <xf numFmtId="0" fontId="23" fillId="33" borderId="27" xfId="0" applyFont="1" applyFill="1" applyBorder="1" applyAlignment="1">
      <alignment horizontal="center"/>
    </xf>
    <xf numFmtId="0" fontId="23" fillId="33" borderId="27" xfId="0" applyFont="1" applyFill="1" applyBorder="1" applyAlignment="1">
      <alignment/>
    </xf>
    <xf numFmtId="0" fontId="23" fillId="33" borderId="82" xfId="0" applyFont="1" applyFill="1" applyBorder="1" applyAlignment="1">
      <alignment/>
    </xf>
    <xf numFmtId="0" fontId="23" fillId="33" borderId="83" xfId="0" applyFont="1" applyFill="1" applyBorder="1" applyAlignment="1">
      <alignment/>
    </xf>
    <xf numFmtId="0" fontId="23" fillId="33" borderId="58" xfId="0" applyFont="1" applyFill="1" applyBorder="1" applyAlignment="1">
      <alignment horizontal="center"/>
    </xf>
    <xf numFmtId="0" fontId="23" fillId="33" borderId="62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3" fillId="33" borderId="59" xfId="0" applyFont="1" applyFill="1" applyBorder="1" applyAlignment="1">
      <alignment horizontal="centerContinuous"/>
    </xf>
    <xf numFmtId="0" fontId="23" fillId="33" borderId="62" xfId="0" applyFont="1" applyFill="1" applyBorder="1" applyAlignment="1">
      <alignment horizontal="center"/>
    </xf>
    <xf numFmtId="0" fontId="23" fillId="33" borderId="6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59" xfId="0" applyFont="1" applyFill="1" applyBorder="1" applyAlignment="1">
      <alignment/>
    </xf>
    <xf numFmtId="0" fontId="23" fillId="33" borderId="63" xfId="0" applyFont="1" applyFill="1" applyBorder="1" applyAlignment="1">
      <alignment/>
    </xf>
    <xf numFmtId="0" fontId="23" fillId="33" borderId="66" xfId="0" applyFont="1" applyFill="1" applyBorder="1" applyAlignment="1">
      <alignment/>
    </xf>
    <xf numFmtId="0" fontId="23" fillId="33" borderId="66" xfId="0" applyFont="1" applyFill="1" applyBorder="1" applyAlignment="1">
      <alignment horizontal="centerContinuous"/>
    </xf>
    <xf numFmtId="0" fontId="23" fillId="33" borderId="66" xfId="0" applyFont="1" applyFill="1" applyBorder="1" applyAlignment="1">
      <alignment horizontal="center"/>
    </xf>
    <xf numFmtId="0" fontId="23" fillId="33" borderId="65" xfId="0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23" fillId="33" borderId="64" xfId="0" applyFont="1" applyFill="1" applyBorder="1" applyAlignment="1">
      <alignment/>
    </xf>
    <xf numFmtId="0" fontId="7" fillId="0" borderId="45" xfId="0" applyFont="1" applyBorder="1" applyAlignment="1">
      <alignment horizontal="centerContinuous"/>
    </xf>
    <xf numFmtId="0" fontId="7" fillId="0" borderId="69" xfId="0" applyFont="1" applyBorder="1" applyAlignment="1">
      <alignment horizontal="centerContinuous"/>
    </xf>
    <xf numFmtId="0" fontId="7" fillId="0" borderId="46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23" fillId="0" borderId="60" xfId="0" applyFont="1" applyBorder="1" applyAlignment="1">
      <alignment/>
    </xf>
    <xf numFmtId="3" fontId="23" fillId="0" borderId="60" xfId="0" applyNumberFormat="1" applyFont="1" applyFill="1" applyBorder="1" applyAlignment="1">
      <alignment/>
    </xf>
    <xf numFmtId="3" fontId="23" fillId="0" borderId="60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23" fillId="0" borderId="84" xfId="0" applyFont="1" applyBorder="1" applyAlignment="1">
      <alignment/>
    </xf>
    <xf numFmtId="3" fontId="23" fillId="0" borderId="84" xfId="0" applyNumberFormat="1" applyFont="1" applyFill="1" applyBorder="1" applyAlignment="1">
      <alignment/>
    </xf>
    <xf numFmtId="3" fontId="23" fillId="0" borderId="84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58" xfId="0" applyFont="1" applyBorder="1" applyAlignment="1">
      <alignment horizontal="centerContinuous"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85" xfId="0" applyNumberFormat="1" applyFont="1" applyFill="1" applyBorder="1" applyAlignment="1">
      <alignment/>
    </xf>
    <xf numFmtId="3" fontId="23" fillId="0" borderId="84" xfId="0" applyNumberFormat="1" applyFont="1" applyFill="1" applyBorder="1" applyAlignment="1">
      <alignment horizontal="right"/>
    </xf>
    <xf numFmtId="0" fontId="23" fillId="0" borderId="40" xfId="0" applyFont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23" fillId="0" borderId="40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41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 horizontal="right"/>
    </xf>
    <xf numFmtId="3" fontId="23" fillId="0" borderId="40" xfId="0" applyNumberFormat="1" applyFont="1" applyBorder="1" applyAlignment="1">
      <alignment horizontal="right"/>
    </xf>
    <xf numFmtId="3" fontId="23" fillId="0" borderId="71" xfId="0" applyNumberFormat="1" applyFont="1" applyBorder="1" applyAlignment="1">
      <alignment horizontal="right"/>
    </xf>
    <xf numFmtId="3" fontId="23" fillId="0" borderId="71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0" fontId="0" fillId="0" borderId="86" xfId="0" applyFont="1" applyBorder="1" applyAlignment="1">
      <alignment horizontal="centerContinuous"/>
    </xf>
    <xf numFmtId="0" fontId="23" fillId="0" borderId="87" xfId="0" applyFont="1" applyBorder="1" applyAlignment="1">
      <alignment/>
    </xf>
    <xf numFmtId="3" fontId="23" fillId="0" borderId="87" xfId="0" applyNumberFormat="1" applyFont="1" applyFill="1" applyBorder="1" applyAlignment="1">
      <alignment/>
    </xf>
    <xf numFmtId="3" fontId="23" fillId="0" borderId="87" xfId="0" applyNumberFormat="1" applyFont="1" applyFill="1" applyBorder="1" applyAlignment="1">
      <alignment horizontal="right"/>
    </xf>
    <xf numFmtId="3" fontId="23" fillId="0" borderId="87" xfId="0" applyNumberFormat="1" applyFont="1" applyBorder="1" applyAlignment="1">
      <alignment horizontal="right"/>
    </xf>
    <xf numFmtId="0" fontId="23" fillId="0" borderId="46" xfId="0" applyFont="1" applyBorder="1" applyAlignment="1">
      <alignment/>
    </xf>
    <xf numFmtId="164" fontId="23" fillId="0" borderId="46" xfId="0" applyNumberFormat="1" applyFont="1" applyFill="1" applyBorder="1" applyAlignment="1">
      <alignment horizontal="center"/>
    </xf>
    <xf numFmtId="164" fontId="23" fillId="0" borderId="46" xfId="0" applyNumberFormat="1" applyFont="1" applyBorder="1" applyAlignment="1">
      <alignment horizontal="center"/>
    </xf>
    <xf numFmtId="164" fontId="23" fillId="0" borderId="79" xfId="0" applyNumberFormat="1" applyFont="1" applyBorder="1" applyAlignment="1">
      <alignment horizontal="center"/>
    </xf>
    <xf numFmtId="164" fontId="23" fillId="0" borderId="69" xfId="0" applyNumberFormat="1" applyFont="1" applyBorder="1" applyAlignment="1">
      <alignment horizontal="center"/>
    </xf>
    <xf numFmtId="164" fontId="23" fillId="0" borderId="48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26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164" fontId="4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/>
    </xf>
    <xf numFmtId="0" fontId="26" fillId="0" borderId="18" xfId="0" applyFont="1" applyBorder="1" applyAlignment="1">
      <alignment vertical="center" wrapText="1"/>
    </xf>
    <xf numFmtId="0" fontId="25" fillId="0" borderId="63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4" xfId="0" applyFont="1" applyBorder="1" applyAlignment="1">
      <alignment horizontal="center"/>
    </xf>
    <xf numFmtId="0" fontId="25" fillId="0" borderId="64" xfId="0" applyFont="1" applyFill="1" applyBorder="1" applyAlignment="1">
      <alignment/>
    </xf>
    <xf numFmtId="3" fontId="25" fillId="0" borderId="65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0" fontId="14" fillId="0" borderId="27" xfId="0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3" fontId="14" fillId="0" borderId="71" xfId="0" applyNumberFormat="1" applyFont="1" applyBorder="1" applyAlignment="1">
      <alignment vertical="center" wrapText="1"/>
    </xf>
    <xf numFmtId="0" fontId="10" fillId="0" borderId="60" xfId="52" applyFont="1" applyFill="1" applyBorder="1" applyAlignment="1">
      <alignment horizontal="left" vertical="center"/>
      <protection/>
    </xf>
    <xf numFmtId="0" fontId="10" fillId="0" borderId="56" xfId="52" applyFont="1" applyFill="1" applyBorder="1" applyAlignment="1">
      <alignment horizontal="left" vertical="center"/>
      <protection/>
    </xf>
    <xf numFmtId="0" fontId="10" fillId="0" borderId="33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35" xfId="52" applyFont="1" applyFill="1" applyBorder="1" applyAlignment="1">
      <alignment horizontal="left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3" fontId="10" fillId="0" borderId="13" xfId="52" applyNumberFormat="1" applyFont="1" applyFill="1" applyBorder="1">
      <alignment/>
      <protection/>
    </xf>
    <xf numFmtId="3" fontId="10" fillId="0" borderId="13" xfId="52" applyNumberFormat="1" applyFont="1" applyFill="1" applyBorder="1" applyAlignment="1">
      <alignment/>
      <protection/>
    </xf>
    <xf numFmtId="3" fontId="10" fillId="0" borderId="88" xfId="52" applyNumberFormat="1" applyFont="1" applyFill="1" applyBorder="1" applyAlignment="1">
      <alignment/>
      <protection/>
    </xf>
    <xf numFmtId="0" fontId="7" fillId="0" borderId="33" xfId="0" applyFont="1" applyBorder="1" applyAlignment="1">
      <alignment/>
    </xf>
    <xf numFmtId="0" fontId="10" fillId="0" borderId="13" xfId="52" applyFont="1" applyFill="1" applyBorder="1">
      <alignment/>
      <protection/>
    </xf>
    <xf numFmtId="0" fontId="23" fillId="0" borderId="0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75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62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34" borderId="63" xfId="0" applyFill="1" applyBorder="1" applyAlignment="1">
      <alignment/>
    </xf>
    <xf numFmtId="0" fontId="0" fillId="34" borderId="65" xfId="0" applyFill="1" applyBorder="1" applyAlignment="1">
      <alignment/>
    </xf>
    <xf numFmtId="0" fontId="4" fillId="34" borderId="63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0" xfId="0" applyFont="1" applyAlignment="1">
      <alignment/>
    </xf>
    <xf numFmtId="3" fontId="23" fillId="0" borderId="85" xfId="0" applyNumberFormat="1" applyFont="1" applyBorder="1" applyAlignment="1">
      <alignment/>
    </xf>
    <xf numFmtId="0" fontId="0" fillId="0" borderId="63" xfId="0" applyFont="1" applyBorder="1" applyAlignment="1">
      <alignment horizontal="centerContinuous"/>
    </xf>
    <xf numFmtId="0" fontId="0" fillId="0" borderId="80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81" xfId="0" applyFill="1" applyBorder="1" applyAlignment="1">
      <alignment horizontal="left"/>
    </xf>
    <xf numFmtId="0" fontId="0" fillId="0" borderId="29" xfId="0" applyFont="1" applyFill="1" applyBorder="1" applyAlignment="1">
      <alignment horizontal="right"/>
    </xf>
    <xf numFmtId="0" fontId="0" fillId="0" borderId="29" xfId="0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3" fontId="0" fillId="0" borderId="75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1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3" fontId="4" fillId="0" borderId="28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49" fontId="28" fillId="0" borderId="63" xfId="0" applyNumberFormat="1" applyFont="1" applyFill="1" applyBorder="1" applyAlignment="1">
      <alignment horizontal="center"/>
    </xf>
    <xf numFmtId="0" fontId="28" fillId="0" borderId="64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left"/>
    </xf>
    <xf numFmtId="3" fontId="28" fillId="0" borderId="65" xfId="0" applyNumberFormat="1" applyFont="1" applyFill="1" applyBorder="1" applyAlignment="1">
      <alignment horizontal="right"/>
    </xf>
    <xf numFmtId="3" fontId="28" fillId="0" borderId="48" xfId="0" applyNumberFormat="1" applyFont="1" applyFill="1" applyBorder="1" applyAlignment="1">
      <alignment/>
    </xf>
    <xf numFmtId="0" fontId="28" fillId="0" borderId="58" xfId="0" applyFont="1" applyFill="1" applyBorder="1" applyAlignment="1">
      <alignment horizontal="center"/>
    </xf>
    <xf numFmtId="49" fontId="29" fillId="0" borderId="71" xfId="0" applyNumberFormat="1" applyFont="1" applyFill="1" applyBorder="1" applyAlignment="1">
      <alignment horizontal="center"/>
    </xf>
    <xf numFmtId="0" fontId="29" fillId="0" borderId="76" xfId="0" applyFont="1" applyFill="1" applyBorder="1" applyAlignment="1">
      <alignment horizontal="center"/>
    </xf>
    <xf numFmtId="0" fontId="29" fillId="0" borderId="76" xfId="0" applyFont="1" applyFill="1" applyBorder="1" applyAlignment="1">
      <alignment horizontal="left"/>
    </xf>
    <xf numFmtId="3" fontId="29" fillId="0" borderId="71" xfId="0" applyNumberFormat="1" applyFont="1" applyFill="1" applyBorder="1" applyAlignment="1">
      <alignment horizontal="right"/>
    </xf>
    <xf numFmtId="3" fontId="29" fillId="0" borderId="40" xfId="0" applyNumberFormat="1" applyFont="1" applyFill="1" applyBorder="1" applyAlignment="1">
      <alignment horizontal="right"/>
    </xf>
    <xf numFmtId="3" fontId="29" fillId="0" borderId="75" xfId="0" applyNumberFormat="1" applyFont="1" applyFill="1" applyBorder="1" applyAlignment="1">
      <alignment/>
    </xf>
    <xf numFmtId="0" fontId="29" fillId="0" borderId="59" xfId="0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9" fillId="0" borderId="59" xfId="0" applyFont="1" applyFill="1" applyBorder="1" applyAlignment="1">
      <alignment/>
    </xf>
    <xf numFmtId="3" fontId="29" fillId="0" borderId="59" xfId="0" applyNumberFormat="1" applyFont="1" applyFill="1" applyBorder="1" applyAlignment="1">
      <alignment horizontal="right"/>
    </xf>
    <xf numFmtId="3" fontId="29" fillId="0" borderId="60" xfId="0" applyNumberFormat="1" applyFont="1" applyFill="1" applyBorder="1" applyAlignment="1">
      <alignment horizontal="right"/>
    </xf>
    <xf numFmtId="3" fontId="29" fillId="0" borderId="61" xfId="0" applyNumberFormat="1" applyFont="1" applyFill="1" applyBorder="1" applyAlignment="1">
      <alignment/>
    </xf>
    <xf numFmtId="49" fontId="29" fillId="0" borderId="76" xfId="0" applyNumberFormat="1" applyFont="1" applyFill="1" applyBorder="1" applyAlignment="1">
      <alignment horizontal="center"/>
    </xf>
    <xf numFmtId="0" fontId="29" fillId="0" borderId="76" xfId="0" applyFont="1" applyFill="1" applyBorder="1" applyAlignment="1">
      <alignment/>
    </xf>
    <xf numFmtId="3" fontId="29" fillId="0" borderId="76" xfId="0" applyNumberFormat="1" applyFont="1" applyFill="1" applyBorder="1" applyAlignment="1">
      <alignment horizontal="right"/>
    </xf>
    <xf numFmtId="3" fontId="29" fillId="0" borderId="70" xfId="0" applyNumberFormat="1" applyFont="1" applyFill="1" applyBorder="1" applyAlignment="1">
      <alignment/>
    </xf>
    <xf numFmtId="0" fontId="29" fillId="0" borderId="62" xfId="0" applyFont="1" applyFill="1" applyBorder="1" applyAlignment="1">
      <alignment/>
    </xf>
    <xf numFmtId="0" fontId="29" fillId="0" borderId="58" xfId="0" applyFont="1" applyFill="1" applyBorder="1" applyAlignment="1">
      <alignment horizontal="center"/>
    </xf>
    <xf numFmtId="0" fontId="28" fillId="0" borderId="63" xfId="0" applyFont="1" applyFill="1" applyBorder="1" applyAlignment="1">
      <alignment horizontal="center"/>
    </xf>
    <xf numFmtId="0" fontId="28" fillId="0" borderId="64" xfId="0" applyFont="1" applyFill="1" applyBorder="1" applyAlignment="1">
      <alignment/>
    </xf>
    <xf numFmtId="3" fontId="28" fillId="0" borderId="66" xfId="0" applyNumberFormat="1" applyFont="1" applyFill="1" applyBorder="1" applyAlignment="1">
      <alignment horizontal="right"/>
    </xf>
    <xf numFmtId="3" fontId="28" fillId="0" borderId="67" xfId="0" applyNumberFormat="1" applyFont="1" applyFill="1" applyBorder="1" applyAlignment="1">
      <alignment/>
    </xf>
    <xf numFmtId="0" fontId="29" fillId="0" borderId="7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3" fontId="29" fillId="0" borderId="60" xfId="0" applyNumberFormat="1" applyFont="1" applyFill="1" applyBorder="1" applyAlignment="1">
      <alignment vertical="center"/>
    </xf>
    <xf numFmtId="0" fontId="29" fillId="0" borderId="61" xfId="0" applyFont="1" applyFill="1" applyBorder="1" applyAlignment="1">
      <alignment/>
    </xf>
    <xf numFmtId="49" fontId="28" fillId="0" borderId="64" xfId="0" applyNumberFormat="1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49" fontId="29" fillId="0" borderId="62" xfId="0" applyNumberFormat="1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9" fillId="0" borderId="60" xfId="0" applyFont="1" applyFill="1" applyBorder="1" applyAlignment="1">
      <alignment/>
    </xf>
    <xf numFmtId="3" fontId="29" fillId="0" borderId="62" xfId="0" applyNumberFormat="1" applyFont="1" applyFill="1" applyBorder="1" applyAlignment="1">
      <alignment horizontal="right"/>
    </xf>
    <xf numFmtId="0" fontId="28" fillId="0" borderId="62" xfId="0" applyFont="1" applyFill="1" applyBorder="1" applyAlignment="1">
      <alignment/>
    </xf>
    <xf numFmtId="3" fontId="28" fillId="0" borderId="59" xfId="0" applyNumberFormat="1" applyFont="1" applyFill="1" applyBorder="1" applyAlignment="1">
      <alignment horizontal="right"/>
    </xf>
    <xf numFmtId="3" fontId="28" fillId="0" borderId="60" xfId="0" applyNumberFormat="1" applyFont="1" applyFill="1" applyBorder="1" applyAlignment="1">
      <alignment horizontal="right"/>
    </xf>
    <xf numFmtId="0" fontId="28" fillId="0" borderId="61" xfId="0" applyFont="1" applyFill="1" applyBorder="1" applyAlignment="1">
      <alignment/>
    </xf>
    <xf numFmtId="0" fontId="29" fillId="0" borderId="63" xfId="0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49" fontId="29" fillId="0" borderId="64" xfId="0" applyNumberFormat="1" applyFont="1" applyFill="1" applyBorder="1" applyAlignment="1">
      <alignment horizontal="center"/>
    </xf>
    <xf numFmtId="0" fontId="28" fillId="0" borderId="65" xfId="0" applyFont="1" applyFill="1" applyBorder="1" applyAlignment="1">
      <alignment/>
    </xf>
    <xf numFmtId="3" fontId="29" fillId="0" borderId="64" xfId="0" applyNumberFormat="1" applyFont="1" applyFill="1" applyBorder="1" applyAlignment="1">
      <alignment horizontal="right"/>
    </xf>
    <xf numFmtId="3" fontId="29" fillId="0" borderId="66" xfId="0" applyNumberFormat="1" applyFont="1" applyFill="1" applyBorder="1" applyAlignment="1">
      <alignment horizontal="right"/>
    </xf>
    <xf numFmtId="0" fontId="29" fillId="0" borderId="67" xfId="0" applyFont="1" applyFill="1" applyBorder="1" applyAlignment="1">
      <alignment/>
    </xf>
    <xf numFmtId="0" fontId="29" fillId="0" borderId="80" xfId="0" applyFont="1" applyFill="1" applyBorder="1" applyAlignment="1">
      <alignment horizontal="center"/>
    </xf>
    <xf numFmtId="0" fontId="29" fillId="0" borderId="71" xfId="0" applyFont="1" applyFill="1" applyBorder="1" applyAlignment="1">
      <alignment/>
    </xf>
    <xf numFmtId="0" fontId="29" fillId="0" borderId="70" xfId="0" applyFont="1" applyFill="1" applyBorder="1" applyAlignment="1">
      <alignment/>
    </xf>
    <xf numFmtId="3" fontId="28" fillId="0" borderId="64" xfId="0" applyNumberFormat="1" applyFont="1" applyFill="1" applyBorder="1" applyAlignment="1">
      <alignment horizontal="right"/>
    </xf>
    <xf numFmtId="0" fontId="28" fillId="0" borderId="67" xfId="0" applyFont="1" applyFill="1" applyBorder="1" applyAlignment="1">
      <alignment/>
    </xf>
    <xf numFmtId="0" fontId="28" fillId="0" borderId="65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0" fontId="29" fillId="0" borderId="29" xfId="0" applyFont="1" applyFill="1" applyBorder="1" applyAlignment="1">
      <alignment/>
    </xf>
    <xf numFmtId="3" fontId="29" fillId="0" borderId="73" xfId="0" applyNumberFormat="1" applyFont="1" applyFill="1" applyBorder="1" applyAlignment="1">
      <alignment horizontal="right"/>
    </xf>
    <xf numFmtId="3" fontId="29" fillId="0" borderId="89" xfId="0" applyNumberFormat="1" applyFont="1" applyFill="1" applyBorder="1" applyAlignment="1">
      <alignment horizontal="right"/>
    </xf>
    <xf numFmtId="0" fontId="29" fillId="0" borderId="51" xfId="0" applyFont="1" applyFill="1" applyBorder="1" applyAlignment="1">
      <alignment/>
    </xf>
    <xf numFmtId="0" fontId="29" fillId="0" borderId="65" xfId="0" applyFont="1" applyFill="1" applyBorder="1" applyAlignment="1">
      <alignment/>
    </xf>
    <xf numFmtId="0" fontId="29" fillId="0" borderId="0" xfId="0" applyFont="1" applyFill="1" applyAlignment="1">
      <alignment/>
    </xf>
    <xf numFmtId="0" fontId="28" fillId="34" borderId="45" xfId="0" applyFont="1" applyFill="1" applyBorder="1" applyAlignment="1">
      <alignment/>
    </xf>
    <xf numFmtId="3" fontId="28" fillId="34" borderId="46" xfId="0" applyNumberFormat="1" applyFont="1" applyFill="1" applyBorder="1" applyAlignment="1">
      <alignment/>
    </xf>
    <xf numFmtId="0" fontId="29" fillId="34" borderId="81" xfId="0" applyFont="1" applyFill="1" applyBorder="1" applyAlignment="1">
      <alignment/>
    </xf>
    <xf numFmtId="0" fontId="29" fillId="34" borderId="29" xfId="0" applyFont="1" applyFill="1" applyBorder="1" applyAlignment="1">
      <alignment/>
    </xf>
    <xf numFmtId="3" fontId="29" fillId="34" borderId="75" xfId="0" applyNumberFormat="1" applyFont="1" applyFill="1" applyBorder="1" applyAlignment="1">
      <alignment/>
    </xf>
    <xf numFmtId="49" fontId="29" fillId="34" borderId="58" xfId="0" applyNumberFormat="1" applyFont="1" applyFill="1" applyBorder="1" applyAlignment="1">
      <alignment/>
    </xf>
    <xf numFmtId="0" fontId="29" fillId="34" borderId="62" xfId="0" applyFont="1" applyFill="1" applyBorder="1" applyAlignment="1">
      <alignment/>
    </xf>
    <xf numFmtId="3" fontId="29" fillId="34" borderId="61" xfId="0" applyNumberFormat="1" applyFont="1" applyFill="1" applyBorder="1" applyAlignment="1">
      <alignment/>
    </xf>
    <xf numFmtId="49" fontId="29" fillId="34" borderId="80" xfId="0" applyNumberFormat="1" applyFont="1" applyFill="1" applyBorder="1" applyAlignment="1">
      <alignment/>
    </xf>
    <xf numFmtId="0" fontId="29" fillId="34" borderId="71" xfId="0" applyFont="1" applyFill="1" applyBorder="1" applyAlignment="1">
      <alignment/>
    </xf>
    <xf numFmtId="0" fontId="29" fillId="34" borderId="70" xfId="0" applyFont="1" applyFill="1" applyBorder="1" applyAlignment="1">
      <alignment/>
    </xf>
    <xf numFmtId="49" fontId="29" fillId="34" borderId="63" xfId="0" applyNumberFormat="1" applyFont="1" applyFill="1" applyBorder="1" applyAlignment="1">
      <alignment/>
    </xf>
    <xf numFmtId="0" fontId="29" fillId="34" borderId="65" xfId="0" applyFont="1" applyFill="1" applyBorder="1" applyAlignment="1">
      <alignment/>
    </xf>
    <xf numFmtId="3" fontId="29" fillId="34" borderId="67" xfId="0" applyNumberFormat="1" applyFont="1" applyFill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0" fillId="0" borderId="53" xfId="52" applyFont="1" applyFill="1" applyBorder="1" applyAlignment="1">
      <alignment horizontal="center" vertical="center"/>
      <protection/>
    </xf>
    <xf numFmtId="0" fontId="10" fillId="0" borderId="58" xfId="52" applyFont="1" applyFill="1" applyBorder="1" applyAlignment="1">
      <alignment horizontal="center" vertical="center"/>
      <protection/>
    </xf>
    <xf numFmtId="0" fontId="10" fillId="0" borderId="63" xfId="52" applyFont="1" applyFill="1" applyBorder="1" applyAlignment="1">
      <alignment horizontal="center" vertical="center"/>
      <protection/>
    </xf>
    <xf numFmtId="0" fontId="10" fillId="0" borderId="56" xfId="52" applyFont="1" applyFill="1" applyBorder="1" applyAlignment="1">
      <alignment horizontal="left" vertical="center"/>
      <protection/>
    </xf>
    <xf numFmtId="0" fontId="10" fillId="0" borderId="33" xfId="52" applyFont="1" applyFill="1" applyBorder="1" applyAlignment="1">
      <alignment horizontal="left" vertical="center"/>
      <protection/>
    </xf>
    <xf numFmtId="0" fontId="10" fillId="0" borderId="6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35" xfId="52" applyFont="1" applyFill="1" applyBorder="1" applyAlignment="1">
      <alignment horizontal="left" vertical="center"/>
      <protection/>
    </xf>
    <xf numFmtId="0" fontId="10" fillId="0" borderId="84" xfId="52" applyFont="1" applyFill="1" applyBorder="1" applyAlignment="1">
      <alignment horizontal="center"/>
      <protection/>
    </xf>
    <xf numFmtId="0" fontId="10" fillId="0" borderId="90" xfId="52" applyFont="1" applyFill="1" applyBorder="1" applyAlignment="1">
      <alignment horizontal="center"/>
      <protection/>
    </xf>
    <xf numFmtId="0" fontId="10" fillId="0" borderId="87" xfId="52" applyFont="1" applyFill="1" applyBorder="1" applyAlignment="1">
      <alignment horizontal="left" vertical="center"/>
      <protection/>
    </xf>
    <xf numFmtId="0" fontId="10" fillId="0" borderId="83" xfId="52" applyFont="1" applyFill="1" applyBorder="1" applyAlignment="1">
      <alignment horizontal="left" vertical="center"/>
      <protection/>
    </xf>
    <xf numFmtId="0" fontId="10" fillId="0" borderId="59" xfId="52" applyFont="1" applyFill="1" applyBorder="1" applyAlignment="1">
      <alignment horizontal="left" vertical="center"/>
      <protection/>
    </xf>
    <xf numFmtId="0" fontId="10" fillId="0" borderId="66" xfId="52" applyFont="1" applyFill="1" applyBorder="1" applyAlignment="1">
      <alignment horizontal="left" vertical="center"/>
      <protection/>
    </xf>
    <xf numFmtId="0" fontId="10" fillId="0" borderId="64" xfId="52" applyFont="1" applyFill="1" applyBorder="1" applyAlignment="1">
      <alignment horizontal="left" vertical="center"/>
      <protection/>
    </xf>
    <xf numFmtId="0" fontId="10" fillId="0" borderId="91" xfId="52" applyFont="1" applyBorder="1" applyAlignment="1">
      <alignment horizontal="center" vertical="center"/>
      <protection/>
    </xf>
    <xf numFmtId="0" fontId="10" fillId="0" borderId="92" xfId="52" applyFont="1" applyBorder="1" applyAlignment="1">
      <alignment horizontal="center" vertical="center"/>
      <protection/>
    </xf>
    <xf numFmtId="0" fontId="10" fillId="0" borderId="93" xfId="52" applyFont="1" applyBorder="1" applyAlignment="1">
      <alignment horizontal="center" vertical="center"/>
      <protection/>
    </xf>
    <xf numFmtId="0" fontId="10" fillId="0" borderId="85" xfId="52" applyFont="1" applyFill="1" applyBorder="1" applyAlignment="1">
      <alignment horizontal="center"/>
      <protection/>
    </xf>
    <xf numFmtId="0" fontId="10" fillId="0" borderId="94" xfId="52" applyFont="1" applyBorder="1" applyAlignment="1">
      <alignment horizontal="center" vertical="center"/>
      <protection/>
    </xf>
    <xf numFmtId="0" fontId="10" fillId="0" borderId="40" xfId="52" applyFont="1" applyFill="1" applyBorder="1" applyAlignment="1">
      <alignment horizontal="left" vertical="center"/>
      <protection/>
    </xf>
    <xf numFmtId="0" fontId="10" fillId="0" borderId="76" xfId="52" applyFont="1" applyFill="1" applyBorder="1" applyAlignment="1">
      <alignment horizontal="left" vertical="center"/>
      <protection/>
    </xf>
    <xf numFmtId="0" fontId="9" fillId="0" borderId="95" xfId="52" applyFont="1" applyBorder="1" applyAlignment="1">
      <alignment horizontal="center"/>
      <protection/>
    </xf>
    <xf numFmtId="0" fontId="9" fillId="0" borderId="79" xfId="52" applyFont="1" applyBorder="1" applyAlignment="1">
      <alignment horizontal="center"/>
      <protection/>
    </xf>
    <xf numFmtId="0" fontId="9" fillId="0" borderId="68" xfId="52" applyFont="1" applyBorder="1" applyAlignment="1">
      <alignment horizontal="center"/>
      <protection/>
    </xf>
    <xf numFmtId="0" fontId="21" fillId="0" borderId="49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9" fillId="0" borderId="69" xfId="52" applyFont="1" applyFill="1" applyBorder="1" applyAlignment="1">
      <alignment horizontal="center"/>
      <protection/>
    </xf>
    <xf numFmtId="0" fontId="9" fillId="0" borderId="68" xfId="52" applyFont="1" applyFill="1" applyBorder="1" applyAlignment="1">
      <alignment horizontal="center"/>
      <protection/>
    </xf>
    <xf numFmtId="0" fontId="10" fillId="0" borderId="96" xfId="52" applyFont="1" applyFill="1" applyBorder="1" applyAlignment="1">
      <alignment horizontal="center" vertical="center"/>
      <protection/>
    </xf>
    <xf numFmtId="0" fontId="10" fillId="0" borderId="92" xfId="52" applyFont="1" applyFill="1" applyBorder="1" applyAlignment="1">
      <alignment horizontal="center" vertical="center"/>
      <protection/>
    </xf>
    <xf numFmtId="0" fontId="10" fillId="0" borderId="93" xfId="52" applyFont="1" applyFill="1" applyBorder="1" applyAlignment="1">
      <alignment horizontal="center" vertical="center"/>
      <protection/>
    </xf>
    <xf numFmtId="0" fontId="11" fillId="0" borderId="58" xfId="52" applyFont="1" applyFill="1" applyBorder="1" applyAlignment="1">
      <alignment horizontal="center" vertical="center"/>
      <protection/>
    </xf>
    <xf numFmtId="0" fontId="10" fillId="0" borderId="41" xfId="52" applyFont="1" applyFill="1" applyBorder="1" applyAlignment="1">
      <alignment horizontal="left" vertical="center"/>
      <protection/>
    </xf>
    <xf numFmtId="0" fontId="0" fillId="0" borderId="41" xfId="0" applyBorder="1" applyAlignment="1">
      <alignment vertical="center"/>
    </xf>
    <xf numFmtId="0" fontId="9" fillId="0" borderId="97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center" wrapText="1"/>
      <protection/>
    </xf>
    <xf numFmtId="0" fontId="9" fillId="33" borderId="53" xfId="5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9" fillId="33" borderId="54" xfId="52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33" borderId="54" xfId="52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9" fillId="33" borderId="29" xfId="52" applyFont="1" applyFill="1" applyBorder="1" applyAlignment="1">
      <alignment horizontal="center" vertical="center"/>
      <protection/>
    </xf>
    <xf numFmtId="0" fontId="10" fillId="0" borderId="96" xfId="52" applyFont="1" applyBorder="1" applyAlignment="1">
      <alignment horizontal="center" vertical="center"/>
      <protection/>
    </xf>
    <xf numFmtId="0" fontId="9" fillId="33" borderId="75" xfId="52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3" fillId="33" borderId="98" xfId="0" applyFont="1" applyFill="1" applyBorder="1" applyAlignment="1">
      <alignment horizontal="center"/>
    </xf>
    <xf numFmtId="0" fontId="23" fillId="33" borderId="72" xfId="0" applyFont="1" applyFill="1" applyBorder="1" applyAlignment="1">
      <alignment horizontal="center"/>
    </xf>
    <xf numFmtId="0" fontId="23" fillId="33" borderId="73" xfId="0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86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16" fillId="33" borderId="95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99" xfId="0" applyFont="1" applyBorder="1" applyAlignment="1">
      <alignment horizontal="left"/>
    </xf>
    <xf numFmtId="0" fontId="4" fillId="0" borderId="100" xfId="0" applyFont="1" applyBorder="1" applyAlignment="1">
      <alignment horizontal="left"/>
    </xf>
    <xf numFmtId="0" fontId="4" fillId="0" borderId="101" xfId="0" applyFont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4" fillId="33" borderId="89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3" fillId="33" borderId="89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33" borderId="95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&#322;%205%20i%206%20do%20druk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Uchwa&#322;y%202009\Uch.%20RP%2023.10.09%20-%20zmien\za&#32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ozosta&#322;e%20za&#322;aczniki%20do%20dru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Doch.i wyd..zlec.zał.5"/>
      <sheetName val="Wspolne 6"/>
    </sheetNames>
    <sheetDataSet>
      <sheetData sheetId="0">
        <row r="60">
          <cell r="F60">
            <v>15000</v>
          </cell>
        </row>
      </sheetData>
      <sheetData sheetId="2">
        <row r="95">
          <cell r="F95">
            <v>15000</v>
          </cell>
        </row>
        <row r="430">
          <cell r="F430">
            <v>660</v>
          </cell>
        </row>
        <row r="653">
          <cell r="F653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Unijne 4"/>
      <sheetName val="Żródła finans."/>
      <sheetName val="Doch.i wyd..zlec.zał.5"/>
      <sheetName val="Wspolne 6"/>
      <sheetName val="adm. rząd.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</sheetNames>
    <sheetDataSet>
      <sheetData sheetId="6">
        <row r="27">
          <cell r="D27">
            <v>428767</v>
          </cell>
          <cell r="E27">
            <v>511338</v>
          </cell>
        </row>
        <row r="28">
          <cell r="D28">
            <v>10000</v>
          </cell>
        </row>
      </sheetData>
      <sheetData sheetId="16">
        <row r="32">
          <cell r="E32">
            <v>11488903</v>
          </cell>
          <cell r="F32">
            <v>11050136</v>
          </cell>
          <cell r="G32">
            <v>15920079</v>
          </cell>
        </row>
      </sheetData>
      <sheetData sheetId="17">
        <row r="11">
          <cell r="D11">
            <v>38635998</v>
          </cell>
        </row>
        <row r="29">
          <cell r="J29">
            <v>400000</v>
          </cell>
          <cell r="K29">
            <v>400000</v>
          </cell>
          <cell r="L29">
            <v>610000</v>
          </cell>
          <cell r="M29">
            <v>610000</v>
          </cell>
          <cell r="N29">
            <v>610000</v>
          </cell>
          <cell r="O29">
            <v>610000</v>
          </cell>
          <cell r="P29">
            <v>610000</v>
          </cell>
          <cell r="Q29">
            <v>610000</v>
          </cell>
          <cell r="R29">
            <v>610000</v>
          </cell>
          <cell r="S29">
            <v>610000</v>
          </cell>
          <cell r="T29">
            <v>210000</v>
          </cell>
          <cell r="U29">
            <v>210000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  <sheetName val="7"/>
      <sheetName val="8"/>
      <sheetName val="9"/>
      <sheetName val="10"/>
      <sheetName val="10a"/>
      <sheetName val="11"/>
      <sheetName val="11a"/>
    </sheetNames>
    <sheetDataSet>
      <sheetData sheetId="8">
        <row r="32">
          <cell r="G32">
            <v>14933847</v>
          </cell>
          <cell r="AA32">
            <v>0</v>
          </cell>
        </row>
      </sheetData>
      <sheetData sheetId="9">
        <row r="11">
          <cell r="F11">
            <v>48874566</v>
          </cell>
        </row>
        <row r="21">
          <cell r="F21">
            <v>511338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7.125" style="1" customWidth="1"/>
    <col min="4" max="4" width="6.375" style="1" customWidth="1"/>
    <col min="5" max="5" width="35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1.625" style="1" bestFit="1" customWidth="1"/>
    <col min="13" max="13" width="9.625" style="1" customWidth="1"/>
    <col min="14" max="14" width="16.75390625" style="1" customWidth="1"/>
    <col min="15" max="16384" width="9.125" style="1" customWidth="1"/>
  </cols>
  <sheetData>
    <row r="1" ht="12.75">
      <c r="K1" s="1" t="s">
        <v>163</v>
      </c>
    </row>
    <row r="2" ht="12.75">
      <c r="K2" s="1" t="s">
        <v>164</v>
      </c>
    </row>
    <row r="3" ht="12.75">
      <c r="K3" s="1" t="s">
        <v>165</v>
      </c>
    </row>
    <row r="4" ht="12.75">
      <c r="K4" s="1" t="s">
        <v>166</v>
      </c>
    </row>
    <row r="7" spans="1:14" ht="18">
      <c r="A7" s="533" t="s">
        <v>145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</row>
    <row r="8" spans="1:14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 t="s">
        <v>44</v>
      </c>
    </row>
    <row r="9" spans="1:14" s="26" customFormat="1" ht="19.5" customHeight="1">
      <c r="A9" s="534" t="s">
        <v>59</v>
      </c>
      <c r="B9" s="534" t="s">
        <v>2</v>
      </c>
      <c r="C9" s="534" t="s">
        <v>43</v>
      </c>
      <c r="D9" s="530" t="s">
        <v>107</v>
      </c>
      <c r="E9" s="529" t="s">
        <v>96</v>
      </c>
      <c r="F9" s="529" t="s">
        <v>104</v>
      </c>
      <c r="G9" s="529" t="s">
        <v>69</v>
      </c>
      <c r="H9" s="529"/>
      <c r="I9" s="529"/>
      <c r="J9" s="529"/>
      <c r="K9" s="529"/>
      <c r="L9" s="529"/>
      <c r="M9" s="529"/>
      <c r="N9" s="529" t="s">
        <v>106</v>
      </c>
    </row>
    <row r="10" spans="1:14" s="26" customFormat="1" ht="19.5" customHeight="1">
      <c r="A10" s="534"/>
      <c r="B10" s="534"/>
      <c r="C10" s="534"/>
      <c r="D10" s="531"/>
      <c r="E10" s="529"/>
      <c r="F10" s="529"/>
      <c r="G10" s="529" t="s">
        <v>144</v>
      </c>
      <c r="H10" s="529" t="s">
        <v>18</v>
      </c>
      <c r="I10" s="529"/>
      <c r="J10" s="529"/>
      <c r="K10" s="529"/>
      <c r="L10" s="529" t="s">
        <v>138</v>
      </c>
      <c r="M10" s="529" t="s">
        <v>142</v>
      </c>
      <c r="N10" s="529"/>
    </row>
    <row r="11" spans="1:14" s="26" customFormat="1" ht="29.25" customHeight="1">
      <c r="A11" s="534"/>
      <c r="B11" s="534"/>
      <c r="C11" s="534"/>
      <c r="D11" s="531"/>
      <c r="E11" s="529"/>
      <c r="F11" s="529"/>
      <c r="G11" s="529"/>
      <c r="H11" s="529" t="s">
        <v>105</v>
      </c>
      <c r="I11" s="529" t="s">
        <v>94</v>
      </c>
      <c r="J11" s="529" t="s">
        <v>63</v>
      </c>
      <c r="K11" s="529" t="s">
        <v>95</v>
      </c>
      <c r="L11" s="529"/>
      <c r="M11" s="529"/>
      <c r="N11" s="529"/>
    </row>
    <row r="12" spans="1:14" s="26" customFormat="1" ht="19.5" customHeight="1">
      <c r="A12" s="534"/>
      <c r="B12" s="534"/>
      <c r="C12" s="534"/>
      <c r="D12" s="531"/>
      <c r="E12" s="529"/>
      <c r="F12" s="529"/>
      <c r="G12" s="529"/>
      <c r="H12" s="529"/>
      <c r="I12" s="529"/>
      <c r="J12" s="529"/>
      <c r="K12" s="529"/>
      <c r="L12" s="529"/>
      <c r="M12" s="529"/>
      <c r="N12" s="529"/>
    </row>
    <row r="13" spans="1:14" s="26" customFormat="1" ht="19.5" customHeight="1">
      <c r="A13" s="534"/>
      <c r="B13" s="534"/>
      <c r="C13" s="534"/>
      <c r="D13" s="532"/>
      <c r="E13" s="529"/>
      <c r="F13" s="529"/>
      <c r="G13" s="529"/>
      <c r="H13" s="529"/>
      <c r="I13" s="529"/>
      <c r="J13" s="529"/>
      <c r="K13" s="529"/>
      <c r="L13" s="529"/>
      <c r="M13" s="529"/>
      <c r="N13" s="529"/>
    </row>
    <row r="14" spans="1:14" ht="7.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</row>
    <row r="15" spans="1:14" ht="78.75" customHeight="1">
      <c r="A15" s="78" t="s">
        <v>12</v>
      </c>
      <c r="B15" s="35">
        <v>600</v>
      </c>
      <c r="C15" s="35">
        <v>60014</v>
      </c>
      <c r="D15" s="388" t="s">
        <v>524</v>
      </c>
      <c r="E15" s="76" t="s">
        <v>474</v>
      </c>
      <c r="F15" s="63">
        <v>5521850</v>
      </c>
      <c r="G15" s="63">
        <f>SUM(H15:K15)</f>
        <v>1610056</v>
      </c>
      <c r="H15" s="63">
        <v>647237</v>
      </c>
      <c r="I15" s="63"/>
      <c r="J15" s="77">
        <v>0</v>
      </c>
      <c r="K15" s="63">
        <v>962819</v>
      </c>
      <c r="L15" s="63">
        <v>0</v>
      </c>
      <c r="M15" s="63">
        <v>0</v>
      </c>
      <c r="N15" s="76" t="s">
        <v>160</v>
      </c>
    </row>
    <row r="16" spans="1:14" ht="65.25" customHeight="1">
      <c r="A16" s="78" t="s">
        <v>14</v>
      </c>
      <c r="B16" s="35">
        <v>600</v>
      </c>
      <c r="C16" s="35">
        <v>60014</v>
      </c>
      <c r="D16" s="35">
        <v>6050</v>
      </c>
      <c r="E16" s="397" t="s">
        <v>483</v>
      </c>
      <c r="F16" s="387">
        <v>430000</v>
      </c>
      <c r="G16" s="63">
        <f>SUM(H16:K16)</f>
        <v>415959</v>
      </c>
      <c r="H16" s="387">
        <v>211259</v>
      </c>
      <c r="I16" s="387"/>
      <c r="J16" s="77">
        <v>204700</v>
      </c>
      <c r="K16" s="387"/>
      <c r="L16" s="387">
        <v>10300</v>
      </c>
      <c r="M16" s="387">
        <v>0</v>
      </c>
      <c r="N16" s="62" t="s">
        <v>160</v>
      </c>
    </row>
    <row r="17" spans="1:14" ht="65.25" customHeight="1">
      <c r="A17" s="78" t="s">
        <v>1</v>
      </c>
      <c r="B17" s="386">
        <v>600</v>
      </c>
      <c r="C17" s="386">
        <v>60014</v>
      </c>
      <c r="D17" s="386">
        <v>6059</v>
      </c>
      <c r="E17" s="398" t="s">
        <v>506</v>
      </c>
      <c r="F17" s="387">
        <v>3756904</v>
      </c>
      <c r="G17" s="63">
        <f>SUM(H17:K17)</f>
        <v>3696397</v>
      </c>
      <c r="H17" s="387">
        <v>1143424</v>
      </c>
      <c r="I17" s="387"/>
      <c r="J17" s="389" t="s">
        <v>527</v>
      </c>
      <c r="K17" s="387">
        <v>2552973</v>
      </c>
      <c r="L17" s="387">
        <v>0</v>
      </c>
      <c r="M17" s="387"/>
      <c r="N17" s="62" t="s">
        <v>160</v>
      </c>
    </row>
    <row r="18" spans="1:14" ht="96" customHeight="1">
      <c r="A18" s="78" t="s">
        <v>19</v>
      </c>
      <c r="B18" s="386">
        <v>600</v>
      </c>
      <c r="C18" s="386">
        <v>60014</v>
      </c>
      <c r="D18" s="386">
        <v>6059</v>
      </c>
      <c r="E18" s="398" t="s">
        <v>520</v>
      </c>
      <c r="F18" s="387">
        <v>4828064</v>
      </c>
      <c r="G18" s="63">
        <f>SUM(H18:K18)</f>
        <v>4631651</v>
      </c>
      <c r="H18" s="387">
        <v>1602660</v>
      </c>
      <c r="I18" s="387"/>
      <c r="J18" s="389"/>
      <c r="K18" s="387">
        <v>3028991</v>
      </c>
      <c r="L18" s="387">
        <v>0</v>
      </c>
      <c r="M18" s="387"/>
      <c r="N18" s="62" t="s">
        <v>160</v>
      </c>
    </row>
    <row r="19" spans="1:14" ht="22.5" customHeight="1">
      <c r="A19" s="528" t="s">
        <v>102</v>
      </c>
      <c r="B19" s="528"/>
      <c r="C19" s="528"/>
      <c r="D19" s="528"/>
      <c r="E19" s="528"/>
      <c r="F19" s="65">
        <f aca="true" t="shared" si="0" ref="F19:M19">SUM(F15:F18)</f>
        <v>14536818</v>
      </c>
      <c r="G19" s="65">
        <f t="shared" si="0"/>
        <v>10354063</v>
      </c>
      <c r="H19" s="65">
        <f t="shared" si="0"/>
        <v>3604580</v>
      </c>
      <c r="I19" s="65">
        <f t="shared" si="0"/>
        <v>0</v>
      </c>
      <c r="J19" s="65">
        <f t="shared" si="0"/>
        <v>204700</v>
      </c>
      <c r="K19" s="65">
        <f t="shared" si="0"/>
        <v>6544783</v>
      </c>
      <c r="L19" s="65">
        <f t="shared" si="0"/>
        <v>10300</v>
      </c>
      <c r="M19" s="65">
        <f t="shared" si="0"/>
        <v>0</v>
      </c>
      <c r="N19" s="37" t="s">
        <v>46</v>
      </c>
    </row>
    <row r="20" spans="1:14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ht="12.75">
      <c r="A21" s="1" t="s">
        <v>67</v>
      </c>
    </row>
    <row r="22" ht="12.75">
      <c r="A22" s="1" t="s">
        <v>64</v>
      </c>
    </row>
    <row r="23" ht="12.75">
      <c r="A23" s="1" t="s">
        <v>65</v>
      </c>
    </row>
    <row r="24" ht="12.75">
      <c r="A24" s="1" t="s">
        <v>66</v>
      </c>
    </row>
    <row r="26" ht="14.25">
      <c r="A26" s="30" t="s">
        <v>108</v>
      </c>
    </row>
  </sheetData>
  <sheetProtection/>
  <mergeCells count="18">
    <mergeCell ref="A7:N7"/>
    <mergeCell ref="A9:A13"/>
    <mergeCell ref="B9:B13"/>
    <mergeCell ref="C9:C13"/>
    <mergeCell ref="E9:E13"/>
    <mergeCell ref="G9:M9"/>
    <mergeCell ref="N9:N13"/>
    <mergeCell ref="G10:G13"/>
    <mergeCell ref="F9:F13"/>
    <mergeCell ref="M10:M13"/>
    <mergeCell ref="L10:L13"/>
    <mergeCell ref="A19:E19"/>
    <mergeCell ref="H10:K10"/>
    <mergeCell ref="H11:H13"/>
    <mergeCell ref="I11:I13"/>
    <mergeCell ref="J11:J13"/>
    <mergeCell ref="K11:K13"/>
    <mergeCell ref="D9:D13"/>
  </mergeCells>
  <printOptions horizontalCentered="1"/>
  <pageMargins left="0.15748031496062992" right="0.1968503937007874" top="0.2755905511811024" bottom="0.2362204724409449" header="0.15748031496062992" footer="0.2362204724409449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SheetLayoutView="100" zoomScalePageLayoutView="0" workbookViewId="0" topLeftCell="A16">
      <selection activeCell="C31" sqref="C3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254</v>
      </c>
    </row>
    <row r="3" ht="12.75">
      <c r="C3" s="1" t="s">
        <v>195</v>
      </c>
    </row>
    <row r="4" ht="12.75">
      <c r="C4" s="1" t="s">
        <v>165</v>
      </c>
    </row>
    <row r="5" ht="12.75">
      <c r="C5" s="1" t="s">
        <v>196</v>
      </c>
    </row>
    <row r="7" spans="1:10" ht="19.5" customHeight="1">
      <c r="A7" s="634" t="s">
        <v>154</v>
      </c>
      <c r="B7" s="634"/>
      <c r="C7" s="634"/>
      <c r="D7" s="5"/>
      <c r="E7" s="5"/>
      <c r="F7" s="5"/>
      <c r="G7" s="5"/>
      <c r="H7" s="5"/>
      <c r="I7" s="5"/>
      <c r="J7" s="5"/>
    </row>
    <row r="8" spans="1:7" ht="19.5" customHeight="1">
      <c r="A8" s="634" t="s">
        <v>155</v>
      </c>
      <c r="B8" s="634"/>
      <c r="C8" s="634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59</v>
      </c>
      <c r="B11" s="10" t="s">
        <v>0</v>
      </c>
      <c r="C11" s="10" t="s">
        <v>156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60</v>
      </c>
      <c r="C12" s="95">
        <v>285123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95">
        <f>SUM(C14:C16)</f>
        <v>590000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198</v>
      </c>
      <c r="C14" s="96">
        <v>580000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5" t="s">
        <v>13</v>
      </c>
      <c r="B15" s="20" t="s">
        <v>199</v>
      </c>
      <c r="C15" s="98">
        <v>10000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6" t="s">
        <v>14</v>
      </c>
      <c r="B16" s="21"/>
      <c r="C16" s="99"/>
      <c r="D16" s="6"/>
      <c r="E16" s="6"/>
      <c r="F16" s="6"/>
      <c r="G16" s="6"/>
      <c r="H16" s="6"/>
      <c r="I16" s="7"/>
      <c r="J16" s="7"/>
    </row>
    <row r="17" spans="1:10" ht="19.5" customHeight="1">
      <c r="A17" s="13" t="s">
        <v>17</v>
      </c>
      <c r="B17" s="17" t="s">
        <v>9</v>
      </c>
      <c r="C17" s="95">
        <f>C18+C28</f>
        <v>778000</v>
      </c>
      <c r="D17" s="6"/>
      <c r="E17" s="6"/>
      <c r="F17" s="6"/>
      <c r="G17" s="6"/>
      <c r="H17" s="6"/>
      <c r="I17" s="7"/>
      <c r="J17" s="7"/>
    </row>
    <row r="18" spans="1:10" ht="19.5" customHeight="1">
      <c r="A18" s="14" t="s">
        <v>12</v>
      </c>
      <c r="B18" s="22" t="s">
        <v>40</v>
      </c>
      <c r="C18" s="97">
        <f>SUM(C19:C27)</f>
        <v>748000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200</v>
      </c>
      <c r="C19" s="98">
        <v>108000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197</v>
      </c>
      <c r="C20" s="98">
        <v>12000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201</v>
      </c>
      <c r="C21" s="98">
        <v>25500</v>
      </c>
      <c r="D21" s="6"/>
      <c r="E21" s="6"/>
      <c r="F21" s="6"/>
      <c r="G21" s="6"/>
      <c r="H21" s="6"/>
      <c r="I21" s="7"/>
      <c r="J21" s="7"/>
    </row>
    <row r="22" spans="1:10" ht="15" customHeight="1">
      <c r="A22" s="15"/>
      <c r="B22" s="20" t="s">
        <v>202</v>
      </c>
      <c r="C22" s="98">
        <v>550000</v>
      </c>
      <c r="D22" s="6"/>
      <c r="E22" s="6"/>
      <c r="F22" s="6"/>
      <c r="G22" s="6"/>
      <c r="H22" s="6"/>
      <c r="I22" s="7"/>
      <c r="J22" s="7"/>
    </row>
    <row r="23" spans="1:10" ht="15" customHeight="1">
      <c r="A23" s="15"/>
      <c r="B23" s="20" t="s">
        <v>203</v>
      </c>
      <c r="C23" s="98">
        <v>2500</v>
      </c>
      <c r="D23" s="6"/>
      <c r="E23" s="6"/>
      <c r="F23" s="6"/>
      <c r="G23" s="6"/>
      <c r="H23" s="6"/>
      <c r="I23" s="7"/>
      <c r="J23" s="7"/>
    </row>
    <row r="24" spans="1:10" ht="15" customHeight="1">
      <c r="A24" s="15"/>
      <c r="B24" s="20" t="s">
        <v>472</v>
      </c>
      <c r="C24" s="98">
        <v>6000</v>
      </c>
      <c r="D24" s="6"/>
      <c r="E24" s="6"/>
      <c r="F24" s="6"/>
      <c r="G24" s="6"/>
      <c r="H24" s="6"/>
      <c r="I24" s="7"/>
      <c r="J24" s="7"/>
    </row>
    <row r="25" spans="1:10" ht="15" customHeight="1">
      <c r="A25" s="15"/>
      <c r="B25" s="20" t="s">
        <v>204</v>
      </c>
      <c r="C25" s="98">
        <v>6000</v>
      </c>
      <c r="D25" s="6"/>
      <c r="E25" s="6"/>
      <c r="F25" s="6"/>
      <c r="G25" s="6"/>
      <c r="H25" s="6"/>
      <c r="I25" s="7"/>
      <c r="J25" s="7"/>
    </row>
    <row r="26" spans="1:10" ht="15" customHeight="1">
      <c r="A26" s="15"/>
      <c r="B26" s="20" t="s">
        <v>205</v>
      </c>
      <c r="C26" s="98">
        <v>8000</v>
      </c>
      <c r="D26" s="6"/>
      <c r="E26" s="6"/>
      <c r="F26" s="6"/>
      <c r="G26" s="6"/>
      <c r="H26" s="6"/>
      <c r="I26" s="7"/>
      <c r="J26" s="7"/>
    </row>
    <row r="27" spans="1:10" ht="15" customHeight="1">
      <c r="A27" s="15"/>
      <c r="B27" s="20" t="s">
        <v>206</v>
      </c>
      <c r="C27" s="98">
        <v>30000</v>
      </c>
      <c r="D27" s="6"/>
      <c r="E27" s="6"/>
      <c r="F27" s="6"/>
      <c r="G27" s="6"/>
      <c r="H27" s="6"/>
      <c r="I27" s="7"/>
      <c r="J27" s="7"/>
    </row>
    <row r="28" spans="1:10" ht="19.5" customHeight="1">
      <c r="A28" s="15" t="s">
        <v>13</v>
      </c>
      <c r="B28" s="20" t="s">
        <v>42</v>
      </c>
      <c r="C28" s="98">
        <f>SUM(C29:C30)</f>
        <v>30000</v>
      </c>
      <c r="D28" s="6"/>
      <c r="E28" s="6"/>
      <c r="F28" s="6"/>
      <c r="G28" s="6"/>
      <c r="H28" s="6"/>
      <c r="I28" s="7"/>
      <c r="J28" s="7"/>
    </row>
    <row r="29" spans="1:10" ht="15">
      <c r="A29" s="15"/>
      <c r="B29" s="23" t="s">
        <v>207</v>
      </c>
      <c r="C29" s="98">
        <v>30000</v>
      </c>
      <c r="D29" s="6"/>
      <c r="E29" s="6"/>
      <c r="F29" s="6"/>
      <c r="G29" s="6"/>
      <c r="H29" s="6"/>
      <c r="I29" s="7"/>
      <c r="J29" s="7"/>
    </row>
    <row r="30" spans="1:10" ht="15" customHeight="1">
      <c r="A30" s="16"/>
      <c r="B30" s="24"/>
      <c r="C30" s="99"/>
      <c r="D30" s="6"/>
      <c r="E30" s="6"/>
      <c r="F30" s="6"/>
      <c r="G30" s="6"/>
      <c r="H30" s="6"/>
      <c r="I30" s="7"/>
      <c r="J30" s="7"/>
    </row>
    <row r="31" spans="1:10" ht="19.5" customHeight="1">
      <c r="A31" s="13" t="s">
        <v>41</v>
      </c>
      <c r="B31" s="17" t="s">
        <v>62</v>
      </c>
      <c r="C31" s="95">
        <f>C12+C13-C17</f>
        <v>97123</v>
      </c>
      <c r="D31" s="6"/>
      <c r="E31" s="6"/>
      <c r="F31" s="6"/>
      <c r="G31" s="6"/>
      <c r="H31" s="6"/>
      <c r="I31" s="7"/>
      <c r="J31" s="7"/>
    </row>
    <row r="32" spans="1:10" ht="15">
      <c r="A32" s="6"/>
      <c r="B32" s="6"/>
      <c r="C32" s="6"/>
      <c r="D32" s="6"/>
      <c r="E32" s="6"/>
      <c r="F32" s="6"/>
      <c r="G32" s="6"/>
      <c r="H32" s="6"/>
      <c r="I32" s="7"/>
      <c r="J32" s="7"/>
    </row>
    <row r="33" spans="1:10" ht="15">
      <c r="A33" s="6"/>
      <c r="B33" s="6"/>
      <c r="C33" s="6"/>
      <c r="D33" s="6"/>
      <c r="E33" s="6"/>
      <c r="F33" s="6"/>
      <c r="G33" s="6"/>
      <c r="H33" s="6"/>
      <c r="I33" s="7"/>
      <c r="J33" s="7"/>
    </row>
    <row r="34" spans="1:10" ht="15">
      <c r="A34" s="635"/>
      <c r="B34" s="635"/>
      <c r="C34" s="635"/>
      <c r="D34" s="6"/>
      <c r="E34" s="6"/>
      <c r="F34" s="6"/>
      <c r="G34" s="6"/>
      <c r="H34" s="6"/>
      <c r="I34" s="7"/>
      <c r="J34" s="7"/>
    </row>
    <row r="35" spans="1:10" ht="15">
      <c r="A35" s="6"/>
      <c r="B35" s="6"/>
      <c r="C35" s="6"/>
      <c r="D35" s="6"/>
      <c r="E35" s="6"/>
      <c r="F35" s="6"/>
      <c r="G35" s="6"/>
      <c r="H35" s="6"/>
      <c r="I35" s="7"/>
      <c r="J35" s="7"/>
    </row>
    <row r="36" spans="1:10" ht="15">
      <c r="A36" s="6"/>
      <c r="B36" s="6"/>
      <c r="C36" s="6"/>
      <c r="D36" s="6"/>
      <c r="E36" s="6"/>
      <c r="F36" s="6"/>
      <c r="G36" s="6"/>
      <c r="H36" s="6"/>
      <c r="I36" s="7"/>
      <c r="J36" s="7"/>
    </row>
    <row r="37" spans="1:10" ht="15">
      <c r="A37" s="6"/>
      <c r="B37" s="6"/>
      <c r="C37" s="6"/>
      <c r="D37" s="6"/>
      <c r="E37" s="6"/>
      <c r="F37" s="6"/>
      <c r="G37" s="6"/>
      <c r="H37" s="6"/>
      <c r="I37" s="7"/>
      <c r="J37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/>
  <mergeCells count="3">
    <mergeCell ref="A7:C7"/>
    <mergeCell ref="A8:C8"/>
    <mergeCell ref="A34:C34"/>
  </mergeCells>
  <printOptions horizontalCentered="1"/>
  <pageMargins left="0.5905511811023623" right="0.5905511811023623" top="0.51" bottom="0.5905511811023623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zoomScalePageLayoutView="0" workbookViewId="0" topLeftCell="A4">
      <selection activeCell="M23" sqref="M23"/>
    </sheetView>
  </sheetViews>
  <sheetFormatPr defaultColWidth="9.00390625" defaultRowHeight="12.75"/>
  <cols>
    <col min="2" max="2" width="30.00390625" style="0" customWidth="1"/>
    <col min="3" max="3" width="11.25390625" style="0" hidden="1" customWidth="1"/>
    <col min="4" max="4" width="9.875" style="0" hidden="1" customWidth="1"/>
    <col min="5" max="5" width="15.875" style="0" hidden="1" customWidth="1"/>
    <col min="6" max="6" width="9.875" style="0" hidden="1" customWidth="1"/>
    <col min="7" max="10" width="9.875" style="0" bestFit="1" customWidth="1"/>
    <col min="11" max="11" width="10.125" style="0" customWidth="1"/>
    <col min="12" max="19" width="9.875" style="0" bestFit="1" customWidth="1"/>
    <col min="20" max="20" width="9.875" style="0" customWidth="1"/>
    <col min="21" max="24" width="9.875" style="0" bestFit="1" customWidth="1"/>
    <col min="25" max="25" width="9.75390625" style="0" customWidth="1"/>
    <col min="26" max="27" width="9.875" style="0" bestFit="1" customWidth="1"/>
  </cols>
  <sheetData>
    <row r="1" spans="1:27" ht="12.75">
      <c r="A1" s="187"/>
      <c r="B1" s="187"/>
      <c r="C1" s="187"/>
      <c r="D1" s="190"/>
      <c r="E1" s="187"/>
      <c r="F1" s="189"/>
      <c r="G1" s="187"/>
      <c r="H1" s="187"/>
      <c r="I1" s="187"/>
      <c r="J1" s="187"/>
      <c r="K1" s="188" t="s">
        <v>383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8" t="s">
        <v>383</v>
      </c>
      <c r="Z1" s="187"/>
      <c r="AA1" s="187"/>
    </row>
    <row r="2" spans="1:27" ht="12.75">
      <c r="A2" s="290"/>
      <c r="B2" s="291"/>
      <c r="C2" s="290"/>
      <c r="D2" s="190"/>
      <c r="E2" s="187"/>
      <c r="F2" s="189"/>
      <c r="G2" s="187"/>
      <c r="H2" s="187"/>
      <c r="I2" s="187"/>
      <c r="J2" s="187"/>
      <c r="K2" s="188" t="s">
        <v>384</v>
      </c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8" t="s">
        <v>384</v>
      </c>
      <c r="Z2" s="187"/>
      <c r="AA2" s="187"/>
    </row>
    <row r="3" spans="1:27" ht="12.75">
      <c r="A3" s="290"/>
      <c r="B3" s="291"/>
      <c r="C3" s="187"/>
      <c r="D3" s="190"/>
      <c r="E3" s="187"/>
      <c r="F3" s="189"/>
      <c r="G3" s="187"/>
      <c r="H3" s="187"/>
      <c r="I3" s="187"/>
      <c r="J3" s="187"/>
      <c r="K3" s="188" t="s">
        <v>165</v>
      </c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8" t="s">
        <v>165</v>
      </c>
      <c r="Z3" s="187"/>
      <c r="AA3" s="187"/>
    </row>
    <row r="4" spans="1:27" ht="12.75">
      <c r="A4" s="290"/>
      <c r="B4" s="291"/>
      <c r="C4" s="187"/>
      <c r="D4" s="190"/>
      <c r="E4" s="187"/>
      <c r="F4" s="189"/>
      <c r="G4" s="187"/>
      <c r="H4" s="187"/>
      <c r="I4" s="187"/>
      <c r="J4" s="187"/>
      <c r="K4" s="188" t="s">
        <v>385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 t="s">
        <v>385</v>
      </c>
      <c r="Z4" s="187"/>
      <c r="AA4" s="187"/>
    </row>
    <row r="5" spans="1:27" ht="12.75">
      <c r="A5" s="290"/>
      <c r="B5" s="291"/>
      <c r="C5" s="187"/>
      <c r="D5" s="190"/>
      <c r="E5" s="188"/>
      <c r="F5" s="189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27" ht="12.75">
      <c r="A6" s="290"/>
      <c r="B6" s="291"/>
      <c r="C6" s="187"/>
      <c r="D6" s="190"/>
      <c r="E6" s="190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</row>
    <row r="7" spans="1:27" ht="12.75">
      <c r="A7" s="290"/>
      <c r="B7" s="291"/>
      <c r="C7" s="187"/>
      <c r="D7" s="190"/>
      <c r="E7" s="190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27" ht="12.75">
      <c r="A8" s="290"/>
      <c r="B8" s="291"/>
      <c r="C8" s="187"/>
      <c r="D8" s="190"/>
      <c r="E8" s="190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</row>
    <row r="9" spans="1:27" ht="12.75">
      <c r="A9" s="290"/>
      <c r="B9" s="291"/>
      <c r="C9" s="187"/>
      <c r="D9" s="292"/>
      <c r="E9" s="290"/>
      <c r="F9" s="290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</row>
    <row r="10" spans="1:27" ht="12.75">
      <c r="A10" s="187"/>
      <c r="B10" s="636" t="s">
        <v>386</v>
      </c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 t="s">
        <v>386</v>
      </c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</row>
    <row r="11" spans="1:27" ht="12.75">
      <c r="A11" s="290"/>
      <c r="B11" s="293"/>
      <c r="C11" s="290"/>
      <c r="D11" s="290"/>
      <c r="E11" s="290"/>
      <c r="F11" s="290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</row>
    <row r="12" spans="1:27" ht="12.75">
      <c r="A12" s="290"/>
      <c r="B12" s="293"/>
      <c r="C12" s="290"/>
      <c r="D12" s="290"/>
      <c r="E12" s="290"/>
      <c r="F12" s="290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</row>
    <row r="13" spans="1:27" ht="12.75">
      <c r="A13" s="290"/>
      <c r="B13" s="291"/>
      <c r="C13" s="290"/>
      <c r="D13" s="290"/>
      <c r="E13" s="290"/>
      <c r="F13" s="290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</row>
    <row r="14" spans="1:27" ht="13.5" thickBo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91" t="s">
        <v>387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91" t="s">
        <v>387</v>
      </c>
    </row>
    <row r="15" spans="1:27" ht="12.75">
      <c r="A15" s="294"/>
      <c r="B15" s="295"/>
      <c r="C15" s="295"/>
      <c r="D15" s="637" t="s">
        <v>388</v>
      </c>
      <c r="E15" s="592"/>
      <c r="F15" s="592"/>
      <c r="G15" s="592"/>
      <c r="H15" s="592"/>
      <c r="I15" s="592"/>
      <c r="J15" s="592"/>
      <c r="K15" s="592"/>
      <c r="L15" s="592"/>
      <c r="M15" s="593"/>
      <c r="N15" s="296"/>
      <c r="O15" s="192"/>
      <c r="P15" s="192"/>
      <c r="Q15" s="192"/>
      <c r="R15" s="192"/>
      <c r="S15" s="192"/>
      <c r="T15" s="192" t="s">
        <v>388</v>
      </c>
      <c r="U15" s="192"/>
      <c r="V15" s="192"/>
      <c r="W15" s="192"/>
      <c r="X15" s="192"/>
      <c r="Y15" s="192"/>
      <c r="Z15" s="192"/>
      <c r="AA15" s="193"/>
    </row>
    <row r="16" spans="1:27" ht="12.75">
      <c r="A16" s="297"/>
      <c r="B16" s="298" t="s">
        <v>389</v>
      </c>
      <c r="C16" s="298" t="s">
        <v>390</v>
      </c>
      <c r="D16" s="299"/>
      <c r="E16" s="638" t="s">
        <v>391</v>
      </c>
      <c r="F16" s="300" t="s">
        <v>390</v>
      </c>
      <c r="G16" s="300" t="s">
        <v>392</v>
      </c>
      <c r="H16" s="301"/>
      <c r="I16" s="302"/>
      <c r="J16" s="301"/>
      <c r="K16" s="302"/>
      <c r="L16" s="301"/>
      <c r="M16" s="301"/>
      <c r="N16" s="301"/>
      <c r="O16" s="302"/>
      <c r="P16" s="301"/>
      <c r="Q16" s="302"/>
      <c r="R16" s="301"/>
      <c r="S16" s="302"/>
      <c r="T16" s="301"/>
      <c r="U16" s="302"/>
      <c r="V16" s="301"/>
      <c r="W16" s="302"/>
      <c r="X16" s="301"/>
      <c r="Y16" s="302"/>
      <c r="Z16" s="301"/>
      <c r="AA16" s="303"/>
    </row>
    <row r="17" spans="1:27" ht="12.75">
      <c r="A17" s="304" t="s">
        <v>112</v>
      </c>
      <c r="B17" s="298" t="s">
        <v>393</v>
      </c>
      <c r="C17" s="298" t="s">
        <v>394</v>
      </c>
      <c r="D17" s="298" t="s">
        <v>390</v>
      </c>
      <c r="E17" s="584"/>
      <c r="F17" s="305">
        <v>2008</v>
      </c>
      <c r="G17" s="305">
        <v>2009</v>
      </c>
      <c r="H17" s="305">
        <v>2010</v>
      </c>
      <c r="I17" s="306">
        <v>2011</v>
      </c>
      <c r="J17" s="305">
        <v>2012</v>
      </c>
      <c r="K17" s="306">
        <v>2013</v>
      </c>
      <c r="L17" s="305">
        <v>2014</v>
      </c>
      <c r="M17" s="305">
        <v>2015</v>
      </c>
      <c r="N17" s="305">
        <v>2016</v>
      </c>
      <c r="O17" s="306">
        <v>2017</v>
      </c>
      <c r="P17" s="305">
        <v>2018</v>
      </c>
      <c r="Q17" s="306">
        <v>2019</v>
      </c>
      <c r="R17" s="305">
        <v>2020</v>
      </c>
      <c r="S17" s="306">
        <v>2021</v>
      </c>
      <c r="T17" s="305">
        <v>2022</v>
      </c>
      <c r="U17" s="306">
        <v>2023</v>
      </c>
      <c r="V17" s="305">
        <v>2024</v>
      </c>
      <c r="W17" s="306">
        <v>2025</v>
      </c>
      <c r="X17" s="305">
        <v>2026</v>
      </c>
      <c r="Y17" s="306">
        <v>2027</v>
      </c>
      <c r="Z17" s="305">
        <v>2028</v>
      </c>
      <c r="AA17" s="307">
        <v>2029</v>
      </c>
    </row>
    <row r="18" spans="1:27" ht="12.75">
      <c r="A18" s="297"/>
      <c r="B18" s="299"/>
      <c r="C18" s="298" t="s">
        <v>395</v>
      </c>
      <c r="D18" s="308" t="s">
        <v>396</v>
      </c>
      <c r="E18" s="584"/>
      <c r="F18" s="309"/>
      <c r="G18" s="309"/>
      <c r="H18" s="309"/>
      <c r="I18" s="310"/>
      <c r="J18" s="309"/>
      <c r="K18" s="310"/>
      <c r="L18" s="309"/>
      <c r="M18" s="309"/>
      <c r="N18" s="309"/>
      <c r="O18" s="310"/>
      <c r="P18" s="309"/>
      <c r="Q18" s="310"/>
      <c r="R18" s="309"/>
      <c r="S18" s="310"/>
      <c r="T18" s="309"/>
      <c r="U18" s="310"/>
      <c r="V18" s="309"/>
      <c r="W18" s="310"/>
      <c r="X18" s="309"/>
      <c r="Y18" s="310"/>
      <c r="Z18" s="309"/>
      <c r="AA18" s="311"/>
    </row>
    <row r="19" spans="1:27" ht="13.5" thickBot="1">
      <c r="A19" s="312"/>
      <c r="B19" s="313"/>
      <c r="C19" s="314"/>
      <c r="D19" s="315"/>
      <c r="E19" s="639"/>
      <c r="F19" s="316"/>
      <c r="G19" s="316"/>
      <c r="H19" s="316"/>
      <c r="I19" s="317"/>
      <c r="J19" s="316"/>
      <c r="K19" s="317"/>
      <c r="L19" s="316"/>
      <c r="M19" s="316"/>
      <c r="N19" s="316"/>
      <c r="O19" s="317"/>
      <c r="P19" s="316"/>
      <c r="Q19" s="317"/>
      <c r="R19" s="316"/>
      <c r="S19" s="317"/>
      <c r="T19" s="316"/>
      <c r="U19" s="317"/>
      <c r="V19" s="316"/>
      <c r="W19" s="317"/>
      <c r="X19" s="316"/>
      <c r="Y19" s="317"/>
      <c r="Z19" s="316"/>
      <c r="AA19" s="318"/>
    </row>
    <row r="20" spans="1:27" ht="13.5" thickBot="1">
      <c r="A20" s="319">
        <v>1</v>
      </c>
      <c r="B20" s="320">
        <v>2</v>
      </c>
      <c r="C20" s="320">
        <v>3</v>
      </c>
      <c r="D20" s="320">
        <v>4</v>
      </c>
      <c r="E20" s="320">
        <v>5</v>
      </c>
      <c r="F20" s="321">
        <v>6</v>
      </c>
      <c r="G20" s="320">
        <v>7</v>
      </c>
      <c r="H20" s="321">
        <v>8</v>
      </c>
      <c r="I20" s="320">
        <v>9</v>
      </c>
      <c r="J20" s="321">
        <v>10</v>
      </c>
      <c r="K20" s="320">
        <v>11</v>
      </c>
      <c r="L20" s="321">
        <v>12</v>
      </c>
      <c r="M20" s="321">
        <v>13</v>
      </c>
      <c r="N20" s="321">
        <v>14</v>
      </c>
      <c r="O20" s="320">
        <v>15</v>
      </c>
      <c r="P20" s="321">
        <v>16</v>
      </c>
      <c r="Q20" s="320">
        <v>17</v>
      </c>
      <c r="R20" s="321">
        <v>18</v>
      </c>
      <c r="S20" s="320">
        <v>19</v>
      </c>
      <c r="T20" s="321">
        <v>20</v>
      </c>
      <c r="U20" s="320">
        <v>21</v>
      </c>
      <c r="V20" s="321">
        <v>22</v>
      </c>
      <c r="W20" s="320">
        <v>23</v>
      </c>
      <c r="X20" s="321">
        <v>24</v>
      </c>
      <c r="Y20" s="320">
        <v>25</v>
      </c>
      <c r="Z20" s="321">
        <v>26</v>
      </c>
      <c r="AA20" s="321">
        <v>27</v>
      </c>
    </row>
    <row r="21" spans="1:27" ht="12.75">
      <c r="A21" s="322" t="s">
        <v>12</v>
      </c>
      <c r="B21" s="323" t="s">
        <v>397</v>
      </c>
      <c r="C21" s="324">
        <v>0</v>
      </c>
      <c r="D21" s="325">
        <v>0</v>
      </c>
      <c r="E21" s="325">
        <v>4000000</v>
      </c>
      <c r="F21" s="326">
        <v>4000000</v>
      </c>
      <c r="G21" s="327">
        <v>6100000</v>
      </c>
      <c r="H21" s="327">
        <v>6100000</v>
      </c>
      <c r="I21" s="327">
        <v>6100000</v>
      </c>
      <c r="J21" s="328">
        <v>6100000</v>
      </c>
      <c r="K21" s="327">
        <f>J21-'[2]Sytuacja finans.'!J29</f>
        <v>5700000</v>
      </c>
      <c r="L21" s="327">
        <f>K21-'[2]Sytuacja finans.'!K29</f>
        <v>5300000</v>
      </c>
      <c r="M21" s="327">
        <f>L21-'[2]Sytuacja finans.'!L29</f>
        <v>4690000</v>
      </c>
      <c r="N21" s="327">
        <f>M21-'[2]Sytuacja finans.'!M29</f>
        <v>4080000</v>
      </c>
      <c r="O21" s="327">
        <f>N21-'[2]Sytuacja finans.'!N29</f>
        <v>3470000</v>
      </c>
      <c r="P21" s="327">
        <f>O21-'[2]Sytuacja finans.'!O29</f>
        <v>2860000</v>
      </c>
      <c r="Q21" s="327">
        <f>P21-'[2]Sytuacja finans.'!P29</f>
        <v>2250000</v>
      </c>
      <c r="R21" s="327">
        <f>Q21-'[2]Sytuacja finans.'!Q29</f>
        <v>1640000</v>
      </c>
      <c r="S21" s="327">
        <f>R21-'[2]Sytuacja finans.'!R29</f>
        <v>1030000</v>
      </c>
      <c r="T21" s="327">
        <f>S21-'[2]Sytuacja finans.'!S29</f>
        <v>420000</v>
      </c>
      <c r="U21" s="327">
        <f>T21-'[2]Sytuacja finans.'!T29</f>
        <v>210000</v>
      </c>
      <c r="V21" s="327">
        <f>U21-'[2]Sytuacja finans.'!U29</f>
        <v>0</v>
      </c>
      <c r="W21" s="326">
        <v>0</v>
      </c>
      <c r="X21" s="326">
        <v>0</v>
      </c>
      <c r="Y21" s="326">
        <v>0</v>
      </c>
      <c r="Z21" s="326">
        <v>0</v>
      </c>
      <c r="AA21" s="326">
        <v>0</v>
      </c>
    </row>
    <row r="22" spans="1:27" ht="12.75">
      <c r="A22" s="329" t="s">
        <v>13</v>
      </c>
      <c r="B22" s="330" t="s">
        <v>20</v>
      </c>
      <c r="C22" s="331">
        <v>11018970</v>
      </c>
      <c r="D22" s="332">
        <v>11468903</v>
      </c>
      <c r="E22" s="332">
        <v>7478903</v>
      </c>
      <c r="F22" s="333">
        <f>E22-'[2]Żródła finans.'!D27</f>
        <v>7050136</v>
      </c>
      <c r="G22" s="333">
        <f>F22+2295049-'[3]11a'!F21</f>
        <v>8833847</v>
      </c>
      <c r="H22" s="333">
        <f>G22+986232-511338</f>
        <v>9308741</v>
      </c>
      <c r="I22" s="333">
        <f>H22-441878</f>
        <v>8866863</v>
      </c>
      <c r="J22" s="333">
        <f>I22-495865</f>
        <v>8370998</v>
      </c>
      <c r="K22" s="333">
        <f>J22-558390</f>
        <v>7812608</v>
      </c>
      <c r="L22" s="333">
        <f>K22-594801</f>
        <v>7217807</v>
      </c>
      <c r="M22" s="333">
        <f>L22-737368</f>
        <v>6480439</v>
      </c>
      <c r="N22" s="333">
        <f>M22-'syt. finans.'!M21</f>
        <v>5643069</v>
      </c>
      <c r="O22" s="333">
        <f>N22-'syt. finans.'!N21</f>
        <v>4874508</v>
      </c>
      <c r="P22" s="333">
        <f>O22-'syt. finans.'!O21</f>
        <v>4202276</v>
      </c>
      <c r="Q22" s="333">
        <f>P22-'syt. finans.'!P21</f>
        <v>3530044</v>
      </c>
      <c r="R22" s="333">
        <f>Q22-'syt. finans.'!Q21</f>
        <v>2921534</v>
      </c>
      <c r="S22" s="333">
        <f>R22-'syt. finans.'!R21</f>
        <v>2376706</v>
      </c>
      <c r="T22" s="333">
        <f>S22-'syt. finans.'!S21</f>
        <v>1831878</v>
      </c>
      <c r="U22" s="333">
        <f>T22-'syt. finans.'!T21</f>
        <v>1484279</v>
      </c>
      <c r="V22" s="333">
        <f>U22-'syt. finans.'!U21</f>
        <v>1218431</v>
      </c>
      <c r="W22" s="333">
        <f>V22-'syt. finans.'!V21</f>
        <v>952583</v>
      </c>
      <c r="X22" s="333">
        <f>W22-'syt. finans.'!W21</f>
        <v>686735</v>
      </c>
      <c r="Y22" s="333">
        <f>X22-'syt. finans.'!X21</f>
        <v>420887</v>
      </c>
      <c r="Z22" s="333">
        <f>Y22-'syt. finans.'!Y21</f>
        <v>155039</v>
      </c>
      <c r="AA22" s="333">
        <f>Z22-'syt. finans.'!Z21</f>
        <v>0</v>
      </c>
    </row>
    <row r="23" spans="1:27" ht="12.75">
      <c r="A23" s="329" t="s">
        <v>14</v>
      </c>
      <c r="B23" s="330" t="s">
        <v>528</v>
      </c>
      <c r="C23" s="331"/>
      <c r="D23" s="332"/>
      <c r="E23" s="332"/>
      <c r="F23" s="333"/>
      <c r="G23" s="333"/>
      <c r="H23" s="333">
        <f>965038-178161</f>
        <v>786877</v>
      </c>
      <c r="I23" s="333">
        <f>H23-178161</f>
        <v>608716</v>
      </c>
      <c r="J23" s="333">
        <f>I23-178161</f>
        <v>430555</v>
      </c>
      <c r="K23" s="333">
        <f>J23-178161</f>
        <v>252394</v>
      </c>
      <c r="L23" s="333">
        <f>K23-178161</f>
        <v>74233</v>
      </c>
      <c r="M23" s="333">
        <f>L23-74233</f>
        <v>0</v>
      </c>
      <c r="N23" s="333"/>
      <c r="O23" s="421"/>
      <c r="P23" s="333"/>
      <c r="Q23" s="421"/>
      <c r="R23" s="333"/>
      <c r="S23" s="421"/>
      <c r="T23" s="333"/>
      <c r="U23" s="333"/>
      <c r="V23" s="333"/>
      <c r="W23" s="333"/>
      <c r="X23" s="333"/>
      <c r="Y23" s="333"/>
      <c r="Z23" s="333"/>
      <c r="AA23" s="333"/>
    </row>
    <row r="24" spans="1:27" ht="13.5" thickBot="1">
      <c r="A24" s="334" t="s">
        <v>1</v>
      </c>
      <c r="B24" s="323" t="s">
        <v>21</v>
      </c>
      <c r="C24" s="324">
        <v>171248</v>
      </c>
      <c r="D24" s="325">
        <v>20000</v>
      </c>
      <c r="E24" s="325">
        <v>10000</v>
      </c>
      <c r="F24" s="326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2">
        <v>0</v>
      </c>
      <c r="M24" s="252">
        <v>0</v>
      </c>
      <c r="N24" s="252">
        <v>0</v>
      </c>
      <c r="O24" s="336">
        <v>0</v>
      </c>
      <c r="P24" s="252">
        <v>0</v>
      </c>
      <c r="Q24" s="336">
        <v>0</v>
      </c>
      <c r="R24" s="252">
        <v>0</v>
      </c>
      <c r="S24" s="336">
        <v>0</v>
      </c>
      <c r="T24" s="252">
        <v>0</v>
      </c>
      <c r="U24" s="252">
        <v>0</v>
      </c>
      <c r="V24" s="252">
        <v>0</v>
      </c>
      <c r="W24" s="252">
        <v>0</v>
      </c>
      <c r="X24" s="252">
        <v>0</v>
      </c>
      <c r="Y24" s="252">
        <v>0</v>
      </c>
      <c r="Z24" s="252">
        <v>0</v>
      </c>
      <c r="AA24" s="252">
        <v>0</v>
      </c>
    </row>
    <row r="25" spans="1:27" ht="12.75">
      <c r="A25" s="322" t="s">
        <v>19</v>
      </c>
      <c r="B25" s="330" t="s">
        <v>398</v>
      </c>
      <c r="C25" s="331"/>
      <c r="D25" s="332"/>
      <c r="E25" s="332"/>
      <c r="F25" s="333"/>
      <c r="G25" s="335"/>
      <c r="H25" s="335"/>
      <c r="I25" s="337"/>
      <c r="J25" s="335"/>
      <c r="K25" s="337"/>
      <c r="L25" s="335"/>
      <c r="M25" s="335"/>
      <c r="N25" s="335"/>
      <c r="O25" s="337"/>
      <c r="P25" s="335"/>
      <c r="Q25" s="337"/>
      <c r="R25" s="335"/>
      <c r="S25" s="337"/>
      <c r="T25" s="335"/>
      <c r="U25" s="335"/>
      <c r="V25" s="335"/>
      <c r="W25" s="335"/>
      <c r="X25" s="335"/>
      <c r="Y25" s="335"/>
      <c r="Z25" s="335"/>
      <c r="AA25" s="335"/>
    </row>
    <row r="26" spans="1:27" ht="12.75">
      <c r="A26" s="329" t="s">
        <v>22</v>
      </c>
      <c r="B26" s="330" t="s">
        <v>525</v>
      </c>
      <c r="C26" s="331"/>
      <c r="D26" s="332"/>
      <c r="E26" s="332"/>
      <c r="F26" s="333"/>
      <c r="G26" s="335"/>
      <c r="H26" s="335">
        <v>398604</v>
      </c>
      <c r="I26" s="337">
        <v>398604</v>
      </c>
      <c r="J26" s="335">
        <v>398604</v>
      </c>
      <c r="K26" s="337">
        <v>398604</v>
      </c>
      <c r="L26" s="335">
        <v>398604</v>
      </c>
      <c r="M26" s="335">
        <v>398604</v>
      </c>
      <c r="N26" s="335">
        <v>0</v>
      </c>
      <c r="O26" s="337"/>
      <c r="P26" s="335"/>
      <c r="Q26" s="337"/>
      <c r="R26" s="335"/>
      <c r="S26" s="337"/>
      <c r="T26" s="335"/>
      <c r="U26" s="335"/>
      <c r="V26" s="335"/>
      <c r="W26" s="335"/>
      <c r="X26" s="335"/>
      <c r="Y26" s="335"/>
      <c r="Z26" s="335"/>
      <c r="AA26" s="335"/>
    </row>
    <row r="27" spans="1:27" ht="12.75">
      <c r="A27" s="349"/>
      <c r="B27" s="323" t="s">
        <v>399</v>
      </c>
      <c r="C27" s="324">
        <v>0</v>
      </c>
      <c r="D27" s="325">
        <f aca="true" t="shared" si="0" ref="D27:AA27">D32</f>
        <v>0</v>
      </c>
      <c r="E27" s="325">
        <f t="shared" si="0"/>
        <v>0</v>
      </c>
      <c r="F27" s="326">
        <f t="shared" si="0"/>
        <v>0</v>
      </c>
      <c r="G27" s="252">
        <f t="shared" si="0"/>
        <v>0</v>
      </c>
      <c r="H27" s="252">
        <f t="shared" si="0"/>
        <v>0</v>
      </c>
      <c r="I27" s="336">
        <f t="shared" si="0"/>
        <v>0</v>
      </c>
      <c r="J27" s="252">
        <f t="shared" si="0"/>
        <v>0</v>
      </c>
      <c r="K27" s="336">
        <f t="shared" si="0"/>
        <v>0</v>
      </c>
      <c r="L27" s="252">
        <f t="shared" si="0"/>
        <v>0</v>
      </c>
      <c r="M27" s="252">
        <f t="shared" si="0"/>
        <v>0</v>
      </c>
      <c r="N27" s="252">
        <f t="shared" si="0"/>
        <v>0</v>
      </c>
      <c r="O27" s="336">
        <f t="shared" si="0"/>
        <v>0</v>
      </c>
      <c r="P27" s="252">
        <f t="shared" si="0"/>
        <v>0</v>
      </c>
      <c r="Q27" s="336">
        <f t="shared" si="0"/>
        <v>0</v>
      </c>
      <c r="R27" s="252">
        <f t="shared" si="0"/>
        <v>0</v>
      </c>
      <c r="S27" s="336">
        <f t="shared" si="0"/>
        <v>0</v>
      </c>
      <c r="T27" s="252">
        <f t="shared" si="0"/>
        <v>0</v>
      </c>
      <c r="U27" s="252">
        <f t="shared" si="0"/>
        <v>0</v>
      </c>
      <c r="V27" s="252">
        <f t="shared" si="0"/>
        <v>0</v>
      </c>
      <c r="W27" s="252">
        <f t="shared" si="0"/>
        <v>0</v>
      </c>
      <c r="X27" s="252">
        <f t="shared" si="0"/>
        <v>0</v>
      </c>
      <c r="Y27" s="252">
        <f t="shared" si="0"/>
        <v>0</v>
      </c>
      <c r="Z27" s="252">
        <f t="shared" si="0"/>
        <v>0</v>
      </c>
      <c r="AA27" s="252">
        <f t="shared" si="0"/>
        <v>0</v>
      </c>
    </row>
    <row r="28" spans="1:27" ht="12.75">
      <c r="A28" s="334"/>
      <c r="B28" s="323" t="s">
        <v>400</v>
      </c>
      <c r="C28" s="324"/>
      <c r="D28" s="325"/>
      <c r="E28" s="325"/>
      <c r="F28" s="326"/>
      <c r="G28" s="252"/>
      <c r="H28" s="252"/>
      <c r="I28" s="336"/>
      <c r="J28" s="252"/>
      <c r="K28" s="336"/>
      <c r="L28" s="252"/>
      <c r="M28" s="252"/>
      <c r="N28" s="252"/>
      <c r="O28" s="336"/>
      <c r="P28" s="252"/>
      <c r="Q28" s="336"/>
      <c r="R28" s="252"/>
      <c r="S28" s="336"/>
      <c r="T28" s="252"/>
      <c r="U28" s="252"/>
      <c r="V28" s="252"/>
      <c r="W28" s="252"/>
      <c r="X28" s="252"/>
      <c r="Y28" s="252"/>
      <c r="Z28" s="252"/>
      <c r="AA28" s="252"/>
    </row>
    <row r="29" spans="1:27" ht="12.75">
      <c r="A29" s="334"/>
      <c r="B29" s="323" t="s">
        <v>401</v>
      </c>
      <c r="C29" s="324"/>
      <c r="D29" s="325"/>
      <c r="E29" s="325"/>
      <c r="F29" s="326"/>
      <c r="G29" s="252"/>
      <c r="H29" s="252"/>
      <c r="I29" s="336"/>
      <c r="J29" s="252"/>
      <c r="K29" s="336"/>
      <c r="L29" s="252"/>
      <c r="M29" s="252"/>
      <c r="N29" s="252"/>
      <c r="O29" s="336"/>
      <c r="P29" s="252"/>
      <c r="Q29" s="336"/>
      <c r="R29" s="252"/>
      <c r="S29" s="336"/>
      <c r="T29" s="252"/>
      <c r="U29" s="252"/>
      <c r="V29" s="252"/>
      <c r="W29" s="252"/>
      <c r="X29" s="252"/>
      <c r="Y29" s="252"/>
      <c r="Z29" s="252"/>
      <c r="AA29" s="252"/>
    </row>
    <row r="30" spans="1:27" ht="12.75">
      <c r="A30" s="334"/>
      <c r="B30" s="330" t="s">
        <v>402</v>
      </c>
      <c r="C30" s="331"/>
      <c r="D30" s="332"/>
      <c r="E30" s="332"/>
      <c r="F30" s="333"/>
      <c r="G30" s="335"/>
      <c r="H30" s="335"/>
      <c r="I30" s="337"/>
      <c r="J30" s="335"/>
      <c r="K30" s="337"/>
      <c r="L30" s="335"/>
      <c r="M30" s="335"/>
      <c r="N30" s="335"/>
      <c r="O30" s="337"/>
      <c r="P30" s="335"/>
      <c r="Q30" s="337"/>
      <c r="R30" s="335"/>
      <c r="S30" s="337"/>
      <c r="T30" s="335"/>
      <c r="U30" s="335"/>
      <c r="V30" s="335"/>
      <c r="W30" s="335"/>
      <c r="X30" s="335"/>
      <c r="Y30" s="335"/>
      <c r="Z30" s="335"/>
      <c r="AA30" s="335"/>
    </row>
    <row r="31" spans="1:27" ht="12.75">
      <c r="A31" s="334"/>
      <c r="B31" s="323" t="s">
        <v>403</v>
      </c>
      <c r="C31" s="324"/>
      <c r="D31" s="325"/>
      <c r="E31" s="325"/>
      <c r="F31" s="326"/>
      <c r="G31" s="252"/>
      <c r="H31" s="252"/>
      <c r="I31" s="336"/>
      <c r="J31" s="252"/>
      <c r="K31" s="336"/>
      <c r="L31" s="252"/>
      <c r="M31" s="252"/>
      <c r="N31" s="252"/>
      <c r="O31" s="336"/>
      <c r="P31" s="252"/>
      <c r="Q31" s="336"/>
      <c r="R31" s="252"/>
      <c r="S31" s="336"/>
      <c r="T31" s="252"/>
      <c r="U31" s="252"/>
      <c r="V31" s="252"/>
      <c r="W31" s="252"/>
      <c r="X31" s="252"/>
      <c r="Y31" s="252"/>
      <c r="Z31" s="252"/>
      <c r="AA31" s="252"/>
    </row>
    <row r="32" spans="1:27" ht="13.5" thickBot="1">
      <c r="A32" s="422"/>
      <c r="B32" s="330" t="s">
        <v>404</v>
      </c>
      <c r="C32" s="338"/>
      <c r="D32" s="332"/>
      <c r="E32" s="332"/>
      <c r="F32" s="333"/>
      <c r="G32" s="335"/>
      <c r="H32" s="335"/>
      <c r="I32" s="337"/>
      <c r="J32" s="335"/>
      <c r="K32" s="337"/>
      <c r="L32" s="335"/>
      <c r="M32" s="335"/>
      <c r="N32" s="335"/>
      <c r="O32" s="337"/>
      <c r="P32" s="335"/>
      <c r="Q32" s="337"/>
      <c r="R32" s="335"/>
      <c r="S32" s="337"/>
      <c r="T32" s="335"/>
      <c r="U32" s="335"/>
      <c r="V32" s="335"/>
      <c r="W32" s="335"/>
      <c r="X32" s="335"/>
      <c r="Y32" s="335"/>
      <c r="Z32" s="335"/>
      <c r="AA32" s="335"/>
    </row>
    <row r="33" spans="1:27" ht="12.75">
      <c r="A33" s="322" t="s">
        <v>25</v>
      </c>
      <c r="B33" s="339" t="s">
        <v>405</v>
      </c>
      <c r="C33" s="340"/>
      <c r="D33" s="341"/>
      <c r="E33" s="341"/>
      <c r="F33" s="342"/>
      <c r="G33" s="259"/>
      <c r="H33" s="259"/>
      <c r="I33" s="343"/>
      <c r="J33" s="259"/>
      <c r="K33" s="343"/>
      <c r="L33" s="259"/>
      <c r="M33" s="259"/>
      <c r="N33" s="259"/>
      <c r="O33" s="343"/>
      <c r="P33" s="259"/>
      <c r="Q33" s="343"/>
      <c r="R33" s="259"/>
      <c r="S33" s="343"/>
      <c r="T33" s="259"/>
      <c r="U33" s="259"/>
      <c r="V33" s="259"/>
      <c r="W33" s="259"/>
      <c r="X33" s="259"/>
      <c r="Y33" s="259"/>
      <c r="Z33" s="259"/>
      <c r="AA33" s="259"/>
    </row>
    <row r="34" spans="1:27" ht="12.75">
      <c r="A34" s="329" t="s">
        <v>31</v>
      </c>
      <c r="B34" s="339" t="s">
        <v>406</v>
      </c>
      <c r="C34" s="344">
        <f aca="true" t="shared" si="1" ref="C34:AA34">SUM(C21:C27)</f>
        <v>11190218</v>
      </c>
      <c r="D34" s="345">
        <f t="shared" si="1"/>
        <v>11488903</v>
      </c>
      <c r="E34" s="345">
        <f t="shared" si="1"/>
        <v>11488903</v>
      </c>
      <c r="F34" s="346">
        <f>SUM(F21:F27)</f>
        <v>11050136</v>
      </c>
      <c r="G34" s="347">
        <f>SUM(G21:G27)</f>
        <v>14933847</v>
      </c>
      <c r="H34" s="347">
        <f t="shared" si="1"/>
        <v>16594222</v>
      </c>
      <c r="I34" s="348">
        <f t="shared" si="1"/>
        <v>15974183</v>
      </c>
      <c r="J34" s="347">
        <f t="shared" si="1"/>
        <v>15300157</v>
      </c>
      <c r="K34" s="348">
        <f t="shared" si="1"/>
        <v>14163606</v>
      </c>
      <c r="L34" s="347">
        <f t="shared" si="1"/>
        <v>12990644</v>
      </c>
      <c r="M34" s="347">
        <f t="shared" si="1"/>
        <v>11569043</v>
      </c>
      <c r="N34" s="347">
        <f t="shared" si="1"/>
        <v>9723069</v>
      </c>
      <c r="O34" s="348">
        <f t="shared" si="1"/>
        <v>8344508</v>
      </c>
      <c r="P34" s="347">
        <f t="shared" si="1"/>
        <v>7062276</v>
      </c>
      <c r="Q34" s="348">
        <f t="shared" si="1"/>
        <v>5780044</v>
      </c>
      <c r="R34" s="347">
        <f t="shared" si="1"/>
        <v>4561534</v>
      </c>
      <c r="S34" s="348">
        <f t="shared" si="1"/>
        <v>3406706</v>
      </c>
      <c r="T34" s="347">
        <f t="shared" si="1"/>
        <v>2251878</v>
      </c>
      <c r="U34" s="347">
        <f t="shared" si="1"/>
        <v>1694279</v>
      </c>
      <c r="V34" s="347">
        <f t="shared" si="1"/>
        <v>1218431</v>
      </c>
      <c r="W34" s="347">
        <f t="shared" si="1"/>
        <v>952583</v>
      </c>
      <c r="X34" s="347">
        <f t="shared" si="1"/>
        <v>686735</v>
      </c>
      <c r="Y34" s="347">
        <f t="shared" si="1"/>
        <v>420887</v>
      </c>
      <c r="Z34" s="347">
        <f t="shared" si="1"/>
        <v>155039</v>
      </c>
      <c r="AA34" s="347">
        <f t="shared" si="1"/>
        <v>0</v>
      </c>
    </row>
    <row r="35" spans="1:27" ht="13.5" thickBot="1">
      <c r="A35" s="329" t="s">
        <v>47</v>
      </c>
      <c r="B35" s="350" t="s">
        <v>407</v>
      </c>
      <c r="C35" s="351">
        <v>32826290</v>
      </c>
      <c r="D35" s="352">
        <v>37952654</v>
      </c>
      <c r="E35" s="353" t="e">
        <f>#REF!</f>
        <v>#REF!</v>
      </c>
      <c r="F35" s="352">
        <f>'[2]Sytuacja finans.'!D11</f>
        <v>38635998</v>
      </c>
      <c r="G35" s="352">
        <f>'[3]11a'!F11</f>
        <v>48874566</v>
      </c>
      <c r="H35" s="352">
        <f>'syt. finans.'!G11</f>
        <v>57227065</v>
      </c>
      <c r="I35" s="352">
        <f>'syt. finans.'!H11</f>
        <v>58029411.199999996</v>
      </c>
      <c r="J35" s="352">
        <f>'syt. finans.'!I11</f>
        <v>58379894.68639999</v>
      </c>
      <c r="K35" s="352">
        <f>'syt. finans.'!J11</f>
        <v>58732734.22816098</v>
      </c>
      <c r="L35" s="352">
        <f>'syt. finans.'!K11</f>
        <v>59087947.09195283</v>
      </c>
      <c r="M35" s="352">
        <f>'syt. finans.'!L11</f>
        <v>59445551.51199013</v>
      </c>
      <c r="N35" s="352">
        <f>'syt. finans.'!M11</f>
        <v>59805565.600973405</v>
      </c>
      <c r="O35" s="352">
        <f>'syt. finans.'!N11</f>
        <v>60168007.625987865</v>
      </c>
      <c r="P35" s="352">
        <f>'syt. finans.'!O11</f>
        <v>60532896.00080274</v>
      </c>
      <c r="Q35" s="352">
        <f>'syt. finans.'!P11</f>
        <v>60900249.30085853</v>
      </c>
      <c r="R35" s="352">
        <f>'syt. finans.'!Q11</f>
        <v>61270086.255615115</v>
      </c>
      <c r="S35" s="352">
        <f>'syt. finans.'!R11</f>
        <v>61642425.75222802</v>
      </c>
      <c r="T35" s="352">
        <f>'syt. finans.'!S11</f>
        <v>62017286.83697732</v>
      </c>
      <c r="U35" s="352">
        <f>'syt. finans.'!T11</f>
        <v>62394688.71671027</v>
      </c>
      <c r="V35" s="352">
        <f>'syt. finans.'!U11</f>
        <v>62774650.76029734</v>
      </c>
      <c r="W35" s="352">
        <f>'syt. finans.'!V11</f>
        <v>63157192.50010239</v>
      </c>
      <c r="X35" s="352">
        <f>'syt. finans.'!W11</f>
        <v>63542333.633466505</v>
      </c>
      <c r="Y35" s="352">
        <f>'syt. finans.'!X11</f>
        <v>63930094.02420607</v>
      </c>
      <c r="Z35" s="352">
        <f>'syt. finans.'!Y11</f>
        <v>64320493.70412506</v>
      </c>
      <c r="AA35" s="352">
        <f>'syt. finans.'!Z11</f>
        <v>64713552.700947635</v>
      </c>
    </row>
    <row r="36" spans="1:27" ht="13.5" thickBot="1">
      <c r="A36" s="334" t="s">
        <v>180</v>
      </c>
      <c r="B36" s="354" t="s">
        <v>408</v>
      </c>
      <c r="C36" s="355">
        <f aca="true" t="shared" si="2" ref="C36:AA36">C34/C35*100</f>
        <v>34.08919497146952</v>
      </c>
      <c r="D36" s="356">
        <f t="shared" si="2"/>
        <v>30.271672173440095</v>
      </c>
      <c r="E36" s="356" t="e">
        <f t="shared" si="2"/>
        <v>#REF!</v>
      </c>
      <c r="F36" s="356">
        <f t="shared" si="2"/>
        <v>28.600622662833764</v>
      </c>
      <c r="G36" s="357">
        <f t="shared" si="2"/>
        <v>30.555457003955798</v>
      </c>
      <c r="H36" s="356">
        <f t="shared" si="2"/>
        <v>28.9971572017541</v>
      </c>
      <c r="I36" s="357">
        <f t="shared" si="2"/>
        <v>27.52773579753296</v>
      </c>
      <c r="J36" s="356">
        <f t="shared" si="2"/>
        <v>26.207921549341677</v>
      </c>
      <c r="K36" s="357">
        <f t="shared" si="2"/>
        <v>24.115352683868206</v>
      </c>
      <c r="L36" s="356">
        <f t="shared" si="2"/>
        <v>21.985268805808946</v>
      </c>
      <c r="M36" s="356">
        <f t="shared" si="2"/>
        <v>19.461579051321497</v>
      </c>
      <c r="N36" s="356">
        <f t="shared" si="2"/>
        <v>16.257799591551304</v>
      </c>
      <c r="O36" s="357">
        <f t="shared" si="2"/>
        <v>13.868679268674713</v>
      </c>
      <c r="P36" s="356">
        <f t="shared" si="2"/>
        <v>11.666839795516054</v>
      </c>
      <c r="Q36" s="357">
        <f t="shared" si="2"/>
        <v>9.491002198440125</v>
      </c>
      <c r="R36" s="356">
        <f t="shared" si="2"/>
        <v>7.44496095691714</v>
      </c>
      <c r="S36" s="358">
        <f t="shared" si="2"/>
        <v>5.526560576466066</v>
      </c>
      <c r="T36" s="356">
        <f t="shared" si="2"/>
        <v>3.631048881450479</v>
      </c>
      <c r="U36" s="356">
        <f t="shared" si="2"/>
        <v>2.715421832926375</v>
      </c>
      <c r="V36" s="356">
        <f t="shared" si="2"/>
        <v>1.9409602207944305</v>
      </c>
      <c r="W36" s="356">
        <f t="shared" si="2"/>
        <v>1.508273186776717</v>
      </c>
      <c r="X36" s="356">
        <f t="shared" si="2"/>
        <v>1.0807519345470027</v>
      </c>
      <c r="Y36" s="356">
        <f t="shared" si="2"/>
        <v>0.6583550461237209</v>
      </c>
      <c r="Z36" s="356">
        <f t="shared" si="2"/>
        <v>0.24104137122016042</v>
      </c>
      <c r="AA36" s="359">
        <f t="shared" si="2"/>
        <v>0</v>
      </c>
    </row>
  </sheetData>
  <sheetProtection/>
  <mergeCells count="4">
    <mergeCell ref="B10:M10"/>
    <mergeCell ref="N10:AA10"/>
    <mergeCell ref="D15:M15"/>
    <mergeCell ref="E16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SheetLayoutView="100" zoomScalePageLayoutView="0" workbookViewId="0" topLeftCell="A37">
      <selection activeCell="G11" sqref="G11"/>
    </sheetView>
  </sheetViews>
  <sheetFormatPr defaultColWidth="9.00390625" defaultRowHeight="12.75"/>
  <cols>
    <col min="2" max="2" width="37.25390625" style="0" bestFit="1" customWidth="1"/>
    <col min="3" max="5" width="0" style="0" hidden="1" customWidth="1"/>
    <col min="6" max="10" width="10.125" style="0" bestFit="1" customWidth="1"/>
    <col min="11" max="11" width="11.00390625" style="0" customWidth="1"/>
    <col min="12" max="24" width="10.125" style="0" bestFit="1" customWidth="1"/>
    <col min="25" max="25" width="10.125" style="0" customWidth="1"/>
    <col min="26" max="26" width="10.125" style="0" bestFit="1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409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409</v>
      </c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410</v>
      </c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165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165</v>
      </c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412</v>
      </c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533" t="s">
        <v>413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1"/>
      <c r="B7" s="1"/>
      <c r="C7" s="1"/>
      <c r="D7" s="1"/>
      <c r="E7" s="1"/>
      <c r="F7" s="1"/>
      <c r="G7" s="8"/>
      <c r="H7" s="1"/>
      <c r="I7" s="1"/>
      <c r="J7" s="1"/>
      <c r="K7" s="1"/>
      <c r="L7" s="8" t="s">
        <v>44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60" t="s">
        <v>44</v>
      </c>
    </row>
    <row r="8" spans="1:26" ht="13.5" thickBot="1">
      <c r="A8" s="645" t="s">
        <v>112</v>
      </c>
      <c r="B8" s="645" t="s">
        <v>0</v>
      </c>
      <c r="C8" s="647" t="s">
        <v>414</v>
      </c>
      <c r="D8" s="647" t="s">
        <v>415</v>
      </c>
      <c r="E8" s="642" t="s">
        <v>416</v>
      </c>
      <c r="F8" s="643"/>
      <c r="G8" s="643"/>
      <c r="H8" s="643"/>
      <c r="I8" s="643"/>
      <c r="J8" s="643"/>
      <c r="K8" s="643"/>
      <c r="L8" s="644"/>
      <c r="M8" s="642" t="s">
        <v>416</v>
      </c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4"/>
    </row>
    <row r="9" spans="1:26" ht="13.5" thickBot="1">
      <c r="A9" s="646"/>
      <c r="B9" s="646"/>
      <c r="C9" s="648"/>
      <c r="D9" s="648"/>
      <c r="E9" s="361" t="s">
        <v>417</v>
      </c>
      <c r="F9" s="361" t="s">
        <v>418</v>
      </c>
      <c r="G9" s="361" t="s">
        <v>137</v>
      </c>
      <c r="H9" s="361" t="s">
        <v>138</v>
      </c>
      <c r="I9" s="361" t="s">
        <v>142</v>
      </c>
      <c r="J9" s="361" t="s">
        <v>419</v>
      </c>
      <c r="K9" s="361" t="s">
        <v>420</v>
      </c>
      <c r="L9" s="361" t="s">
        <v>421</v>
      </c>
      <c r="M9" s="361" t="s">
        <v>422</v>
      </c>
      <c r="N9" s="361" t="s">
        <v>423</v>
      </c>
      <c r="O9" s="361" t="s">
        <v>424</v>
      </c>
      <c r="P9" s="361" t="s">
        <v>425</v>
      </c>
      <c r="Q9" s="361" t="s">
        <v>426</v>
      </c>
      <c r="R9" s="361" t="s">
        <v>427</v>
      </c>
      <c r="S9" s="361" t="s">
        <v>428</v>
      </c>
      <c r="T9" s="361" t="s">
        <v>429</v>
      </c>
      <c r="U9" s="361" t="s">
        <v>430</v>
      </c>
      <c r="V9" s="361" t="s">
        <v>431</v>
      </c>
      <c r="W9" s="361" t="s">
        <v>432</v>
      </c>
      <c r="X9" s="361" t="s">
        <v>433</v>
      </c>
      <c r="Y9" s="361" t="s">
        <v>434</v>
      </c>
      <c r="Z9" s="361" t="s">
        <v>435</v>
      </c>
    </row>
    <row r="10" spans="1:26" ht="13.5" thickBot="1">
      <c r="A10" s="362">
        <v>1</v>
      </c>
      <c r="B10" s="362">
        <v>2</v>
      </c>
      <c r="C10" s="362">
        <v>3</v>
      </c>
      <c r="D10" s="362">
        <v>4</v>
      </c>
      <c r="E10" s="362">
        <v>5</v>
      </c>
      <c r="F10" s="362">
        <v>6</v>
      </c>
      <c r="G10" s="362">
        <v>7</v>
      </c>
      <c r="H10" s="362">
        <v>8</v>
      </c>
      <c r="I10" s="362">
        <v>9</v>
      </c>
      <c r="J10" s="362">
        <v>10</v>
      </c>
      <c r="K10" s="362">
        <v>11</v>
      </c>
      <c r="L10" s="362">
        <v>12</v>
      </c>
      <c r="M10" s="362">
        <v>13</v>
      </c>
      <c r="N10" s="362">
        <v>14</v>
      </c>
      <c r="O10" s="362">
        <v>15</v>
      </c>
      <c r="P10" s="362">
        <v>16</v>
      </c>
      <c r="Q10" s="362">
        <v>17</v>
      </c>
      <c r="R10" s="362">
        <v>18</v>
      </c>
      <c r="S10" s="362">
        <v>19</v>
      </c>
      <c r="T10" s="362">
        <v>20</v>
      </c>
      <c r="U10" s="362">
        <v>21</v>
      </c>
      <c r="V10" s="362">
        <v>22</v>
      </c>
      <c r="W10" s="362">
        <v>23</v>
      </c>
      <c r="X10" s="362">
        <v>24</v>
      </c>
      <c r="Y10" s="362">
        <v>25</v>
      </c>
      <c r="Z10" s="362">
        <v>26</v>
      </c>
    </row>
    <row r="11" spans="1:26" ht="12.75">
      <c r="A11" s="363" t="s">
        <v>11</v>
      </c>
      <c r="B11" s="364" t="s">
        <v>436</v>
      </c>
      <c r="C11" s="365">
        <f aca="true" t="shared" si="0" ref="C11:Z11">C12+C16+C17</f>
        <v>36867168</v>
      </c>
      <c r="D11" s="365">
        <f t="shared" si="0"/>
        <v>38635998</v>
      </c>
      <c r="E11" s="365">
        <f t="shared" si="0"/>
        <v>34348535</v>
      </c>
      <c r="F11" s="365">
        <f t="shared" si="0"/>
        <v>48874566</v>
      </c>
      <c r="G11" s="365">
        <f t="shared" si="0"/>
        <v>57227065</v>
      </c>
      <c r="H11" s="365">
        <f t="shared" si="0"/>
        <v>58029411.199999996</v>
      </c>
      <c r="I11" s="365">
        <f t="shared" si="0"/>
        <v>58379894.68639999</v>
      </c>
      <c r="J11" s="365">
        <f t="shared" si="0"/>
        <v>58732734.22816098</v>
      </c>
      <c r="K11" s="365">
        <f t="shared" si="0"/>
        <v>59087947.09195283</v>
      </c>
      <c r="L11" s="365">
        <f t="shared" si="0"/>
        <v>59445551.51199013</v>
      </c>
      <c r="M11" s="365">
        <f t="shared" si="0"/>
        <v>59805565.600973405</v>
      </c>
      <c r="N11" s="365">
        <f t="shared" si="0"/>
        <v>60168007.625987865</v>
      </c>
      <c r="O11" s="365">
        <f t="shared" si="0"/>
        <v>60532896.00080274</v>
      </c>
      <c r="P11" s="365">
        <f t="shared" si="0"/>
        <v>60900249.30085853</v>
      </c>
      <c r="Q11" s="365">
        <f t="shared" si="0"/>
        <v>61270086.255615115</v>
      </c>
      <c r="R11" s="365">
        <f t="shared" si="0"/>
        <v>61642425.75222802</v>
      </c>
      <c r="S11" s="365">
        <f t="shared" si="0"/>
        <v>62017286.83697732</v>
      </c>
      <c r="T11" s="365">
        <f t="shared" si="0"/>
        <v>62394688.71671027</v>
      </c>
      <c r="U11" s="365">
        <f t="shared" si="0"/>
        <v>62774650.76029734</v>
      </c>
      <c r="V11" s="365">
        <f t="shared" si="0"/>
        <v>63157192.50010239</v>
      </c>
      <c r="W11" s="365">
        <f t="shared" si="0"/>
        <v>63542333.633466505</v>
      </c>
      <c r="X11" s="365">
        <f t="shared" si="0"/>
        <v>63930094.02420607</v>
      </c>
      <c r="Y11" s="365">
        <f t="shared" si="0"/>
        <v>64320493.70412506</v>
      </c>
      <c r="Z11" s="365">
        <f t="shared" si="0"/>
        <v>64713552.700947635</v>
      </c>
    </row>
    <row r="12" spans="1:26" ht="12.75">
      <c r="A12" s="366" t="s">
        <v>437</v>
      </c>
      <c r="B12" s="367" t="s">
        <v>438</v>
      </c>
      <c r="C12" s="368">
        <f>SUM(C13:C15)</f>
        <v>10099876</v>
      </c>
      <c r="D12" s="369">
        <f>SUM(D13:D15)</f>
        <v>11134947</v>
      </c>
      <c r="E12" s="368">
        <f>SUM(E13:E15)</f>
        <v>9462991</v>
      </c>
      <c r="F12" s="368">
        <f>SUM(F13:F15)</f>
        <v>10884845</v>
      </c>
      <c r="G12" s="368">
        <f>SUM(G13:G15)</f>
        <v>12057841</v>
      </c>
      <c r="H12" s="368">
        <f>H13+H14+H15</f>
        <v>12634341.080000002</v>
      </c>
      <c r="I12" s="368">
        <f aca="true" t="shared" si="1" ref="I12:Z12">SUM(I13:I15)</f>
        <v>12757849.2158</v>
      </c>
      <c r="J12" s="368">
        <f t="shared" si="1"/>
        <v>12882578.530207999</v>
      </c>
      <c r="K12" s="368">
        <f t="shared" si="1"/>
        <v>13008540.615510082</v>
      </c>
      <c r="L12" s="368">
        <f t="shared" si="1"/>
        <v>13135748.003165182</v>
      </c>
      <c r="M12" s="368">
        <f t="shared" si="1"/>
        <v>13264213.074604332</v>
      </c>
      <c r="N12" s="368">
        <f t="shared" si="1"/>
        <v>13393948.336986952</v>
      </c>
      <c r="O12" s="368">
        <f t="shared" si="1"/>
        <v>13524966.415356822</v>
      </c>
      <c r="P12" s="368">
        <f t="shared" si="1"/>
        <v>13657280.067485392</v>
      </c>
      <c r="Q12" s="368">
        <f t="shared" si="1"/>
        <v>13790902.17607512</v>
      </c>
      <c r="R12" s="368">
        <f t="shared" si="1"/>
        <v>13925845.75229032</v>
      </c>
      <c r="S12" s="368">
        <f t="shared" si="1"/>
        <v>14062123.937039945</v>
      </c>
      <c r="T12" s="368">
        <f t="shared" si="1"/>
        <v>14199750.0022732</v>
      </c>
      <c r="U12" s="368">
        <f t="shared" si="1"/>
        <v>14338737.3522881</v>
      </c>
      <c r="V12" s="368">
        <f t="shared" si="1"/>
        <v>14479099.525053114</v>
      </c>
      <c r="W12" s="368">
        <f t="shared" si="1"/>
        <v>14620850.193541985</v>
      </c>
      <c r="X12" s="368">
        <f t="shared" si="1"/>
        <v>14764003.167081937</v>
      </c>
      <c r="Y12" s="368">
        <f t="shared" si="1"/>
        <v>14908572.392715313</v>
      </c>
      <c r="Z12" s="368">
        <f t="shared" si="1"/>
        <v>15054571.782980833</v>
      </c>
    </row>
    <row r="13" spans="1:26" ht="12.75">
      <c r="A13" s="366" t="s">
        <v>12</v>
      </c>
      <c r="B13" s="367" t="s">
        <v>439</v>
      </c>
      <c r="C13" s="368">
        <v>5049604</v>
      </c>
      <c r="D13" s="368">
        <v>6058731</v>
      </c>
      <c r="E13" s="368">
        <v>4501339</v>
      </c>
      <c r="F13" s="368">
        <v>6506735</v>
      </c>
      <c r="G13" s="368">
        <v>7798053</v>
      </c>
      <c r="H13" s="368">
        <f aca="true" t="shared" si="2" ref="H13:Z13">G13*1.01</f>
        <v>7876033.53</v>
      </c>
      <c r="I13" s="368">
        <f t="shared" si="2"/>
        <v>7954793.865300001</v>
      </c>
      <c r="J13" s="368">
        <f t="shared" si="2"/>
        <v>8034341.803953</v>
      </c>
      <c r="K13" s="368">
        <f t="shared" si="2"/>
        <v>8114685.221992531</v>
      </c>
      <c r="L13" s="368">
        <f t="shared" si="2"/>
        <v>8195832.074212456</v>
      </c>
      <c r="M13" s="368">
        <f t="shared" si="2"/>
        <v>8277790.394954581</v>
      </c>
      <c r="N13" s="368">
        <f t="shared" si="2"/>
        <v>8360568.2989041265</v>
      </c>
      <c r="O13" s="368">
        <f t="shared" si="2"/>
        <v>8444173.981893169</v>
      </c>
      <c r="P13" s="368">
        <f t="shared" si="2"/>
        <v>8528615.721712101</v>
      </c>
      <c r="Q13" s="368">
        <f t="shared" si="2"/>
        <v>8613901.878929222</v>
      </c>
      <c r="R13" s="368">
        <f t="shared" si="2"/>
        <v>8700040.897718513</v>
      </c>
      <c r="S13" s="368">
        <f t="shared" si="2"/>
        <v>8787041.306695698</v>
      </c>
      <c r="T13" s="368">
        <f t="shared" si="2"/>
        <v>8874911.719762655</v>
      </c>
      <c r="U13" s="368">
        <f t="shared" si="2"/>
        <v>8963660.836960282</v>
      </c>
      <c r="V13" s="368">
        <f t="shared" si="2"/>
        <v>9053297.445329886</v>
      </c>
      <c r="W13" s="368">
        <f t="shared" si="2"/>
        <v>9143830.419783184</v>
      </c>
      <c r="X13" s="368">
        <f t="shared" si="2"/>
        <v>9235268.723981015</v>
      </c>
      <c r="Y13" s="368">
        <f t="shared" si="2"/>
        <v>9327621.411220826</v>
      </c>
      <c r="Z13" s="368">
        <f t="shared" si="2"/>
        <v>9420897.625333035</v>
      </c>
    </row>
    <row r="14" spans="1:26" ht="12.75">
      <c r="A14" s="366" t="s">
        <v>13</v>
      </c>
      <c r="B14" s="367" t="s">
        <v>440</v>
      </c>
      <c r="C14" s="368">
        <v>1181586</v>
      </c>
      <c r="D14" s="368">
        <v>582661</v>
      </c>
      <c r="E14" s="368">
        <v>1367300</v>
      </c>
      <c r="F14" s="368">
        <v>527300</v>
      </c>
      <c r="G14" s="368">
        <v>110033</v>
      </c>
      <c r="H14" s="368">
        <v>567055</v>
      </c>
      <c r="I14" s="368">
        <f aca="true" t="shared" si="3" ref="I14:Y14">H14*1.005</f>
        <v>569890.2749999999</v>
      </c>
      <c r="J14" s="368">
        <v>572740</v>
      </c>
      <c r="K14" s="368">
        <f t="shared" si="3"/>
        <v>575603.7</v>
      </c>
      <c r="L14" s="368">
        <f t="shared" si="3"/>
        <v>578481.7184999998</v>
      </c>
      <c r="M14" s="368">
        <f t="shared" si="3"/>
        <v>581374.1270924998</v>
      </c>
      <c r="N14" s="368">
        <f>ROUND(M14*1.005,0)</f>
        <v>584281</v>
      </c>
      <c r="O14" s="368">
        <f>(N14*1.005)</f>
        <v>587202.4049999999</v>
      </c>
      <c r="P14" s="368">
        <f t="shared" si="3"/>
        <v>590138.4170249999</v>
      </c>
      <c r="Q14" s="368">
        <f t="shared" si="3"/>
        <v>593089.1091101248</v>
      </c>
      <c r="R14" s="368">
        <f t="shared" si="3"/>
        <v>596054.5546556753</v>
      </c>
      <c r="S14" s="368">
        <f t="shared" si="3"/>
        <v>599034.8274289536</v>
      </c>
      <c r="T14" s="368">
        <f t="shared" si="3"/>
        <v>602030.0015660983</v>
      </c>
      <c r="U14" s="368">
        <f t="shared" si="3"/>
        <v>605040.1515739288</v>
      </c>
      <c r="V14" s="368">
        <f t="shared" si="3"/>
        <v>608065.3523317984</v>
      </c>
      <c r="W14" s="368">
        <f t="shared" si="3"/>
        <v>611105.6790934573</v>
      </c>
      <c r="X14" s="368">
        <f t="shared" si="3"/>
        <v>614161.2074889245</v>
      </c>
      <c r="Y14" s="368">
        <f t="shared" si="3"/>
        <v>617232.013526369</v>
      </c>
      <c r="Z14" s="368">
        <f>ROUND(Y14*1.005,0)</f>
        <v>620318</v>
      </c>
    </row>
    <row r="15" spans="1:26" ht="12.75">
      <c r="A15" s="366" t="s">
        <v>14</v>
      </c>
      <c r="B15" s="370" t="s">
        <v>441</v>
      </c>
      <c r="C15" s="371">
        <v>3868686</v>
      </c>
      <c r="D15" s="371">
        <v>4493555</v>
      </c>
      <c r="E15" s="371">
        <v>3594352</v>
      </c>
      <c r="F15" s="371">
        <v>3850810</v>
      </c>
      <c r="G15" s="371">
        <v>4149755</v>
      </c>
      <c r="H15" s="371">
        <f aca="true" t="shared" si="4" ref="H15:Z15">G15*1.01</f>
        <v>4191252.55</v>
      </c>
      <c r="I15" s="371">
        <f t="shared" si="4"/>
        <v>4233165.0755</v>
      </c>
      <c r="J15" s="371">
        <f t="shared" si="4"/>
        <v>4275496.726255001</v>
      </c>
      <c r="K15" s="371">
        <f t="shared" si="4"/>
        <v>4318251.693517551</v>
      </c>
      <c r="L15" s="371">
        <f t="shared" si="4"/>
        <v>4361434.210452726</v>
      </c>
      <c r="M15" s="371">
        <f t="shared" si="4"/>
        <v>4405048.552557253</v>
      </c>
      <c r="N15" s="371">
        <f t="shared" si="4"/>
        <v>4449099.038082826</v>
      </c>
      <c r="O15" s="371">
        <f t="shared" si="4"/>
        <v>4493590.028463654</v>
      </c>
      <c r="P15" s="371">
        <f t="shared" si="4"/>
        <v>4538525.928748291</v>
      </c>
      <c r="Q15" s="371">
        <f t="shared" si="4"/>
        <v>4583911.188035774</v>
      </c>
      <c r="R15" s="371">
        <f t="shared" si="4"/>
        <v>4629750.299916131</v>
      </c>
      <c r="S15" s="371">
        <f t="shared" si="4"/>
        <v>4676047.802915293</v>
      </c>
      <c r="T15" s="371">
        <f t="shared" si="4"/>
        <v>4722808.280944446</v>
      </c>
      <c r="U15" s="371">
        <f t="shared" si="4"/>
        <v>4770036.363753891</v>
      </c>
      <c r="V15" s="371">
        <f t="shared" si="4"/>
        <v>4817736.727391429</v>
      </c>
      <c r="W15" s="371">
        <f t="shared" si="4"/>
        <v>4865914.094665344</v>
      </c>
      <c r="X15" s="371">
        <f t="shared" si="4"/>
        <v>4914573.235611998</v>
      </c>
      <c r="Y15" s="371">
        <f t="shared" si="4"/>
        <v>4963718.967968117</v>
      </c>
      <c r="Z15" s="371">
        <f t="shared" si="4"/>
        <v>5013356.157647799</v>
      </c>
    </row>
    <row r="16" spans="1:26" ht="12.75">
      <c r="A16" s="366" t="s">
        <v>442</v>
      </c>
      <c r="B16" s="372" t="s">
        <v>443</v>
      </c>
      <c r="C16" s="368">
        <v>19893594</v>
      </c>
      <c r="D16" s="368">
        <v>20335029</v>
      </c>
      <c r="E16" s="368">
        <v>19010518</v>
      </c>
      <c r="F16" s="368">
        <v>23519230</v>
      </c>
      <c r="G16" s="368">
        <v>27095372</v>
      </c>
      <c r="H16" s="368">
        <f aca="true" t="shared" si="5" ref="H16:W17">G16*1.005</f>
        <v>27230848.859999996</v>
      </c>
      <c r="I16" s="368">
        <f t="shared" si="5"/>
        <v>27367003.104299992</v>
      </c>
      <c r="J16" s="368">
        <f t="shared" si="5"/>
        <v>27503838.11982149</v>
      </c>
      <c r="K16" s="368">
        <f t="shared" si="5"/>
        <v>27641357.310420595</v>
      </c>
      <c r="L16" s="368">
        <f t="shared" si="5"/>
        <v>27779564.096972696</v>
      </c>
      <c r="M16" s="368">
        <f t="shared" si="5"/>
        <v>27918461.91745756</v>
      </c>
      <c r="N16" s="368">
        <f t="shared" si="5"/>
        <v>28058054.227044843</v>
      </c>
      <c r="O16" s="368">
        <f t="shared" si="5"/>
        <v>28198344.498180065</v>
      </c>
      <c r="P16" s="368">
        <f t="shared" si="5"/>
        <v>28339336.22067096</v>
      </c>
      <c r="Q16" s="368">
        <f t="shared" si="5"/>
        <v>28481032.901774313</v>
      </c>
      <c r="R16" s="368">
        <f t="shared" si="5"/>
        <v>28623438.06628318</v>
      </c>
      <c r="S16" s="368">
        <f t="shared" si="5"/>
        <v>28766555.256614596</v>
      </c>
      <c r="T16" s="368">
        <f t="shared" si="5"/>
        <v>28910388.032897666</v>
      </c>
      <c r="U16" s="368">
        <f t="shared" si="5"/>
        <v>29054939.97306215</v>
      </c>
      <c r="V16" s="368">
        <f t="shared" si="5"/>
        <v>29200214.672927458</v>
      </c>
      <c r="W16" s="368">
        <f t="shared" si="5"/>
        <v>29346215.746292092</v>
      </c>
      <c r="X16" s="368">
        <f aca="true" t="shared" si="6" ref="X16:Z17">W16*1.005</f>
        <v>29492946.82502355</v>
      </c>
      <c r="Y16" s="368">
        <f t="shared" si="6"/>
        <v>29640411.559148666</v>
      </c>
      <c r="Z16" s="368">
        <f t="shared" si="6"/>
        <v>29788613.616944406</v>
      </c>
    </row>
    <row r="17" spans="1:26" ht="12.75">
      <c r="A17" s="366" t="s">
        <v>444</v>
      </c>
      <c r="B17" s="367" t="s">
        <v>445</v>
      </c>
      <c r="C17" s="368">
        <v>6873698</v>
      </c>
      <c r="D17" s="368">
        <v>7166022</v>
      </c>
      <c r="E17" s="368">
        <v>5875026</v>
      </c>
      <c r="F17" s="368">
        <v>14470491</v>
      </c>
      <c r="G17" s="368">
        <v>18073852</v>
      </c>
      <c r="H17" s="368">
        <f>G17*1.005</f>
        <v>18164221.259999998</v>
      </c>
      <c r="I17" s="368">
        <f t="shared" si="5"/>
        <v>18255042.366299994</v>
      </c>
      <c r="J17" s="368">
        <f t="shared" si="5"/>
        <v>18346317.578131493</v>
      </c>
      <c r="K17" s="368">
        <f t="shared" si="5"/>
        <v>18438049.166022148</v>
      </c>
      <c r="L17" s="368">
        <f t="shared" si="5"/>
        <v>18530239.411852255</v>
      </c>
      <c r="M17" s="368">
        <f t="shared" si="5"/>
        <v>18622890.608911514</v>
      </c>
      <c r="N17" s="368">
        <f t="shared" si="5"/>
        <v>18716005.06195607</v>
      </c>
      <c r="O17" s="368">
        <f t="shared" si="5"/>
        <v>18809585.08726585</v>
      </c>
      <c r="P17" s="368">
        <f t="shared" si="5"/>
        <v>18903633.01270218</v>
      </c>
      <c r="Q17" s="368">
        <f t="shared" si="5"/>
        <v>18998151.177765686</v>
      </c>
      <c r="R17" s="368">
        <f t="shared" si="5"/>
        <v>19093141.933654513</v>
      </c>
      <c r="S17" s="368">
        <f t="shared" si="5"/>
        <v>19188607.643322784</v>
      </c>
      <c r="T17" s="368">
        <f t="shared" si="5"/>
        <v>19284550.681539398</v>
      </c>
      <c r="U17" s="368">
        <f t="shared" si="5"/>
        <v>19380973.434947092</v>
      </c>
      <c r="V17" s="368">
        <f t="shared" si="5"/>
        <v>19477878.302121826</v>
      </c>
      <c r="W17" s="368">
        <f t="shared" si="5"/>
        <v>19575267.69363243</v>
      </c>
      <c r="X17" s="368">
        <f t="shared" si="6"/>
        <v>19673144.03210059</v>
      </c>
      <c r="Y17" s="368">
        <f t="shared" si="6"/>
        <v>19771509.75226109</v>
      </c>
      <c r="Z17" s="368">
        <f t="shared" si="6"/>
        <v>19870367.301022395</v>
      </c>
    </row>
    <row r="18" spans="1:26" ht="12.75">
      <c r="A18" s="366" t="s">
        <v>16</v>
      </c>
      <c r="B18" s="373" t="s">
        <v>446</v>
      </c>
      <c r="C18" s="374">
        <v>33653721</v>
      </c>
      <c r="D18" s="374">
        <v>36182161</v>
      </c>
      <c r="E18" s="374">
        <v>33384525</v>
      </c>
      <c r="F18" s="374">
        <v>52140783</v>
      </c>
      <c r="G18" s="374">
        <v>57621478</v>
      </c>
      <c r="H18" s="374">
        <f>G18*1.005</f>
        <v>57909585.38999999</v>
      </c>
      <c r="I18" s="374">
        <f aca="true" t="shared" si="7" ref="I18:Z18">H18*1.001</f>
        <v>57967494.97538999</v>
      </c>
      <c r="J18" s="374">
        <f t="shared" si="7"/>
        <v>58025462.47036537</v>
      </c>
      <c r="K18" s="374">
        <f t="shared" si="7"/>
        <v>58083487.93283573</v>
      </c>
      <c r="L18" s="374">
        <f t="shared" si="7"/>
        <v>58141571.42076856</v>
      </c>
      <c r="M18" s="374">
        <f t="shared" si="7"/>
        <v>58199712.99218932</v>
      </c>
      <c r="N18" s="374">
        <f t="shared" si="7"/>
        <v>58257912.7051815</v>
      </c>
      <c r="O18" s="374">
        <f t="shared" si="7"/>
        <v>58316170.61788668</v>
      </c>
      <c r="P18" s="374">
        <f t="shared" si="7"/>
        <v>58374486.788504556</v>
      </c>
      <c r="Q18" s="374">
        <f t="shared" si="7"/>
        <v>58432861.27529305</v>
      </c>
      <c r="R18" s="374">
        <f t="shared" si="7"/>
        <v>58491294.13656834</v>
      </c>
      <c r="S18" s="374">
        <f t="shared" si="7"/>
        <v>58549785.4307049</v>
      </c>
      <c r="T18" s="374">
        <f t="shared" si="7"/>
        <v>58608335.2161356</v>
      </c>
      <c r="U18" s="374">
        <f t="shared" si="7"/>
        <v>58666943.551351726</v>
      </c>
      <c r="V18" s="374">
        <f t="shared" si="7"/>
        <v>58725610.49490307</v>
      </c>
      <c r="W18" s="374">
        <f t="shared" si="7"/>
        <v>58784336.10539797</v>
      </c>
      <c r="X18" s="374">
        <f t="shared" si="7"/>
        <v>58843120.44150336</v>
      </c>
      <c r="Y18" s="374">
        <f t="shared" si="7"/>
        <v>58901963.56194486</v>
      </c>
      <c r="Z18" s="374">
        <f t="shared" si="7"/>
        <v>58960865.525506794</v>
      </c>
    </row>
    <row r="19" spans="1:26" ht="12.75">
      <c r="A19" s="366" t="s">
        <v>17</v>
      </c>
      <c r="B19" s="373" t="s">
        <v>447</v>
      </c>
      <c r="C19" s="374">
        <f aca="true" t="shared" si="8" ref="C19:Z19">C20+C24+C28+C29+C30</f>
        <v>1389131</v>
      </c>
      <c r="D19" s="374">
        <f t="shared" si="8"/>
        <v>1404002</v>
      </c>
      <c r="E19" s="374">
        <f t="shared" si="8"/>
        <v>1228172.661</v>
      </c>
      <c r="F19" s="374">
        <f>F20+F24+F28+F29+F30</f>
        <v>1881419</v>
      </c>
      <c r="G19" s="374">
        <f t="shared" si="8"/>
        <v>2224171</v>
      </c>
      <c r="H19" s="374">
        <f t="shared" si="8"/>
        <v>2205225</v>
      </c>
      <c r="I19" s="374">
        <f t="shared" si="8"/>
        <v>2221513</v>
      </c>
      <c r="J19" s="374">
        <f t="shared" si="8"/>
        <v>2642873</v>
      </c>
      <c r="K19" s="374">
        <f t="shared" si="8"/>
        <v>2634105</v>
      </c>
      <c r="L19" s="374">
        <f t="shared" si="8"/>
        <v>2835227</v>
      </c>
      <c r="M19" s="374">
        <f t="shared" si="8"/>
        <v>2708375</v>
      </c>
      <c r="N19" s="374">
        <f t="shared" si="8"/>
        <v>2487067</v>
      </c>
      <c r="O19" s="374">
        <f t="shared" si="8"/>
        <v>2232339</v>
      </c>
      <c r="P19" s="374">
        <f t="shared" si="8"/>
        <v>2078000</v>
      </c>
      <c r="Q19" s="374">
        <f t="shared" si="8"/>
        <v>1865622</v>
      </c>
      <c r="R19" s="374">
        <f t="shared" si="8"/>
        <v>1657376</v>
      </c>
      <c r="S19" s="374">
        <f t="shared" si="8"/>
        <v>1520660</v>
      </c>
      <c r="T19" s="374">
        <f t="shared" si="8"/>
        <v>824071</v>
      </c>
      <c r="U19" s="374">
        <f t="shared" si="8"/>
        <v>622023</v>
      </c>
      <c r="V19" s="374">
        <f t="shared" si="8"/>
        <v>365810</v>
      </c>
      <c r="W19" s="374">
        <f t="shared" si="8"/>
        <v>337735</v>
      </c>
      <c r="X19" s="374">
        <f t="shared" si="8"/>
        <v>321850</v>
      </c>
      <c r="Y19" s="374">
        <f t="shared" si="8"/>
        <v>306365</v>
      </c>
      <c r="Z19" s="374">
        <f t="shared" si="8"/>
        <v>179871</v>
      </c>
    </row>
    <row r="20" spans="1:26" ht="25.5">
      <c r="A20" s="366" t="s">
        <v>437</v>
      </c>
      <c r="B20" s="375" t="s">
        <v>448</v>
      </c>
      <c r="C20" s="368">
        <f aca="true" t="shared" si="9" ref="C20:Z20">SUM(C21:C23)</f>
        <v>1085243</v>
      </c>
      <c r="D20" s="368">
        <f t="shared" si="9"/>
        <v>1204002</v>
      </c>
      <c r="E20" s="368">
        <f t="shared" si="9"/>
        <v>939284.6610000001</v>
      </c>
      <c r="F20" s="368">
        <f t="shared" si="9"/>
        <v>1600649</v>
      </c>
      <c r="G20" s="368">
        <f t="shared" si="9"/>
        <v>1927499</v>
      </c>
      <c r="H20" s="368">
        <f t="shared" si="9"/>
        <v>2205225</v>
      </c>
      <c r="I20" s="368">
        <f t="shared" si="9"/>
        <v>2221513</v>
      </c>
      <c r="J20" s="368">
        <f t="shared" si="9"/>
        <v>2242873</v>
      </c>
      <c r="K20" s="368">
        <f t="shared" si="9"/>
        <v>2234105</v>
      </c>
      <c r="L20" s="368">
        <f t="shared" si="9"/>
        <v>2225227</v>
      </c>
      <c r="M20" s="368">
        <f t="shared" si="9"/>
        <v>2098375</v>
      </c>
      <c r="N20" s="368">
        <f t="shared" si="9"/>
        <v>1877067</v>
      </c>
      <c r="O20" s="368">
        <f t="shared" si="9"/>
        <v>1622339</v>
      </c>
      <c r="P20" s="368">
        <f t="shared" si="9"/>
        <v>1468000</v>
      </c>
      <c r="Q20" s="368">
        <f t="shared" si="9"/>
        <v>1255622</v>
      </c>
      <c r="R20" s="368">
        <f t="shared" si="9"/>
        <v>1047376</v>
      </c>
      <c r="S20" s="368">
        <f t="shared" si="9"/>
        <v>910660</v>
      </c>
      <c r="T20" s="368">
        <f t="shared" si="9"/>
        <v>614071</v>
      </c>
      <c r="U20" s="368">
        <f t="shared" si="9"/>
        <v>412023</v>
      </c>
      <c r="V20" s="368">
        <f t="shared" si="9"/>
        <v>365810</v>
      </c>
      <c r="W20" s="368">
        <f t="shared" si="9"/>
        <v>337735</v>
      </c>
      <c r="X20" s="368">
        <f t="shared" si="9"/>
        <v>321850</v>
      </c>
      <c r="Y20" s="368">
        <f t="shared" si="9"/>
        <v>306365</v>
      </c>
      <c r="Z20" s="368">
        <f t="shared" si="9"/>
        <v>179871</v>
      </c>
    </row>
    <row r="21" spans="1:26" ht="12.75">
      <c r="A21" s="366" t="s">
        <v>12</v>
      </c>
      <c r="B21" s="367" t="s">
        <v>449</v>
      </c>
      <c r="C21" s="368">
        <f>'[2]Żródła finans.'!D27+'[2]Żródła finans.'!D28</f>
        <v>438767</v>
      </c>
      <c r="D21" s="368">
        <v>438767</v>
      </c>
      <c r="E21" s="368">
        <v>0</v>
      </c>
      <c r="F21" s="368">
        <f>'[2]Żródła finans.'!E27</f>
        <v>511338</v>
      </c>
      <c r="G21" s="368">
        <f>511338+178161</f>
        <v>689499</v>
      </c>
      <c r="H21" s="368">
        <f>441878+178161</f>
        <v>620039</v>
      </c>
      <c r="I21" s="368">
        <f>495865+178161</f>
        <v>674026</v>
      </c>
      <c r="J21" s="368">
        <f>558390+178161</f>
        <v>736551</v>
      </c>
      <c r="K21" s="368">
        <f>594801+178161</f>
        <v>772962</v>
      </c>
      <c r="L21" s="368">
        <f>737368+74233</f>
        <v>811601</v>
      </c>
      <c r="M21" s="368">
        <v>837370</v>
      </c>
      <c r="N21" s="368">
        <v>768561</v>
      </c>
      <c r="O21" s="368">
        <f>265848+406384</f>
        <v>672232</v>
      </c>
      <c r="P21" s="368">
        <f>265848+406384</f>
        <v>672232</v>
      </c>
      <c r="Q21" s="368">
        <f>265848+342662</f>
        <v>608510</v>
      </c>
      <c r="R21" s="368">
        <f>265848+278980</f>
        <v>544828</v>
      </c>
      <c r="S21" s="368">
        <f>265848+278980</f>
        <v>544828</v>
      </c>
      <c r="T21" s="368">
        <f>265848+81751</f>
        <v>347599</v>
      </c>
      <c r="U21" s="368">
        <v>265848</v>
      </c>
      <c r="V21" s="368">
        <v>265848</v>
      </c>
      <c r="W21" s="368">
        <v>265848</v>
      </c>
      <c r="X21" s="368">
        <v>265848</v>
      </c>
      <c r="Y21" s="368">
        <v>265848</v>
      </c>
      <c r="Z21" s="368">
        <v>155039</v>
      </c>
    </row>
    <row r="22" spans="1:26" ht="63.75">
      <c r="A22" s="366" t="s">
        <v>13</v>
      </c>
      <c r="B22" s="375" t="s">
        <v>450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</row>
    <row r="23" spans="1:26" ht="12.75">
      <c r="A23" s="366" t="s">
        <v>14</v>
      </c>
      <c r="B23" s="367" t="s">
        <v>451</v>
      </c>
      <c r="C23" s="368">
        <v>646476</v>
      </c>
      <c r="D23" s="368">
        <v>765235</v>
      </c>
      <c r="E23" s="368">
        <f>E32*5.9%</f>
        <v>939284.6610000001</v>
      </c>
      <c r="F23" s="368">
        <v>1089311</v>
      </c>
      <c r="G23" s="368">
        <v>1238000</v>
      </c>
      <c r="H23" s="368">
        <v>1585186</v>
      </c>
      <c r="I23" s="368">
        <v>1547487</v>
      </c>
      <c r="J23" s="368">
        <v>1506322</v>
      </c>
      <c r="K23" s="368">
        <v>1461143</v>
      </c>
      <c r="L23" s="368">
        <v>1413626</v>
      </c>
      <c r="M23" s="368">
        <v>1261005</v>
      </c>
      <c r="N23" s="368">
        <v>1108506</v>
      </c>
      <c r="O23" s="368">
        <v>950107</v>
      </c>
      <c r="P23" s="368">
        <v>795768</v>
      </c>
      <c r="Q23" s="368">
        <v>647112</v>
      </c>
      <c r="R23" s="368">
        <v>502548</v>
      </c>
      <c r="S23" s="368">
        <v>365832</v>
      </c>
      <c r="T23" s="368">
        <v>266472</v>
      </c>
      <c r="U23" s="368">
        <v>146175</v>
      </c>
      <c r="V23" s="368">
        <v>99962</v>
      </c>
      <c r="W23" s="368">
        <v>71887</v>
      </c>
      <c r="X23" s="368">
        <v>56002</v>
      </c>
      <c r="Y23" s="368">
        <v>40517</v>
      </c>
      <c r="Z23" s="368">
        <v>24832</v>
      </c>
    </row>
    <row r="24" spans="1:26" ht="25.5">
      <c r="A24" s="366" t="s">
        <v>442</v>
      </c>
      <c r="B24" s="375" t="s">
        <v>452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</row>
    <row r="25" spans="1:26" ht="12.75">
      <c r="A25" s="366" t="s">
        <v>12</v>
      </c>
      <c r="B25" s="367" t="s">
        <v>449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</row>
    <row r="26" spans="1:26" ht="63.75">
      <c r="A26" s="366" t="s">
        <v>13</v>
      </c>
      <c r="B26" s="375" t="s">
        <v>450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</row>
    <row r="27" spans="1:26" ht="12.75">
      <c r="A27" s="366" t="s">
        <v>14</v>
      </c>
      <c r="B27" s="367" t="s">
        <v>451</v>
      </c>
      <c r="C27" s="368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</row>
    <row r="28" spans="1:26" ht="12.75">
      <c r="A28" s="366" t="s">
        <v>444</v>
      </c>
      <c r="B28" s="367" t="s">
        <v>453</v>
      </c>
      <c r="C28" s="368"/>
      <c r="D28" s="368">
        <v>0</v>
      </c>
      <c r="E28" s="368">
        <v>288888</v>
      </c>
      <c r="F28" s="368">
        <v>250770</v>
      </c>
      <c r="G28" s="368">
        <v>0</v>
      </c>
      <c r="H28" s="368"/>
      <c r="I28" s="368"/>
      <c r="J28" s="368"/>
      <c r="K28" s="368"/>
      <c r="L28" s="368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</row>
    <row r="29" spans="1:26" ht="12.75">
      <c r="A29" s="366" t="s">
        <v>454</v>
      </c>
      <c r="B29" s="367" t="s">
        <v>24</v>
      </c>
      <c r="C29" s="367"/>
      <c r="D29" s="367"/>
      <c r="E29" s="367"/>
      <c r="F29" s="367"/>
      <c r="G29" s="367"/>
      <c r="H29" s="367"/>
      <c r="I29" s="367"/>
      <c r="J29" s="368">
        <v>400000</v>
      </c>
      <c r="K29" s="368">
        <v>400000</v>
      </c>
      <c r="L29" s="368">
        <v>610000</v>
      </c>
      <c r="M29" s="368">
        <v>610000</v>
      </c>
      <c r="N29" s="368">
        <v>610000</v>
      </c>
      <c r="O29" s="368">
        <v>610000</v>
      </c>
      <c r="P29" s="368">
        <v>610000</v>
      </c>
      <c r="Q29" s="368">
        <v>610000</v>
      </c>
      <c r="R29" s="368">
        <v>610000</v>
      </c>
      <c r="S29" s="368">
        <v>610000</v>
      </c>
      <c r="T29" s="367">
        <v>210000</v>
      </c>
      <c r="U29" s="367">
        <v>210000</v>
      </c>
      <c r="V29" s="367"/>
      <c r="W29" s="367"/>
      <c r="X29" s="367"/>
      <c r="Y29" s="367"/>
      <c r="Z29" s="367"/>
    </row>
    <row r="30" spans="1:26" ht="12.75">
      <c r="A30" s="366" t="s">
        <v>455</v>
      </c>
      <c r="B30" s="367" t="s">
        <v>456</v>
      </c>
      <c r="C30" s="368">
        <v>303888</v>
      </c>
      <c r="D30" s="368">
        <v>200000</v>
      </c>
      <c r="E30" s="367"/>
      <c r="F30" s="368">
        <v>30000</v>
      </c>
      <c r="G30" s="368">
        <v>296672</v>
      </c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</row>
    <row r="31" spans="1:26" ht="12.75">
      <c r="A31" s="366" t="s">
        <v>41</v>
      </c>
      <c r="B31" s="373" t="s">
        <v>457</v>
      </c>
      <c r="C31" s="374">
        <f aca="true" t="shared" si="10" ref="C31:Z31">C11-C18</f>
        <v>3213447</v>
      </c>
      <c r="D31" s="374">
        <f t="shared" si="10"/>
        <v>2453837</v>
      </c>
      <c r="E31" s="374">
        <f t="shared" si="10"/>
        <v>964010</v>
      </c>
      <c r="F31" s="374">
        <f t="shared" si="10"/>
        <v>-3266217</v>
      </c>
      <c r="G31" s="374">
        <f t="shared" si="10"/>
        <v>-394413</v>
      </c>
      <c r="H31" s="374">
        <f t="shared" si="10"/>
        <v>119825.81000000238</v>
      </c>
      <c r="I31" s="374">
        <f t="shared" si="10"/>
        <v>412399.7110100016</v>
      </c>
      <c r="J31" s="374">
        <f t="shared" si="10"/>
        <v>707271.7577956095</v>
      </c>
      <c r="K31" s="374">
        <f t="shared" si="10"/>
        <v>1004459.1591171026</v>
      </c>
      <c r="L31" s="374">
        <f t="shared" si="10"/>
        <v>1303980.091221571</v>
      </c>
      <c r="M31" s="374">
        <f t="shared" si="10"/>
        <v>1605852.608784087</v>
      </c>
      <c r="N31" s="374">
        <f t="shared" si="10"/>
        <v>1910094.9208063632</v>
      </c>
      <c r="O31" s="374">
        <f t="shared" si="10"/>
        <v>2216725.382916063</v>
      </c>
      <c r="P31" s="374">
        <f t="shared" si="10"/>
        <v>2525762.5123539716</v>
      </c>
      <c r="Q31" s="374">
        <f t="shared" si="10"/>
        <v>2837224.980322063</v>
      </c>
      <c r="R31" s="374">
        <f t="shared" si="10"/>
        <v>3151131.615659684</v>
      </c>
      <c r="S31" s="374">
        <f t="shared" si="10"/>
        <v>3467501.406272419</v>
      </c>
      <c r="T31" s="374">
        <f t="shared" si="10"/>
        <v>3786353.5005746707</v>
      </c>
      <c r="U31" s="374">
        <f t="shared" si="10"/>
        <v>4107707.208945617</v>
      </c>
      <c r="V31" s="374">
        <f t="shared" si="10"/>
        <v>4431582.005199321</v>
      </c>
      <c r="W31" s="374">
        <f t="shared" si="10"/>
        <v>4757997.528068535</v>
      </c>
      <c r="X31" s="374">
        <f t="shared" si="10"/>
        <v>5086973.582702711</v>
      </c>
      <c r="Y31" s="374">
        <f t="shared" si="10"/>
        <v>5418530.142180204</v>
      </c>
      <c r="Z31" s="374">
        <f t="shared" si="10"/>
        <v>5752687.17544084</v>
      </c>
    </row>
    <row r="32" spans="1:26" ht="12.75">
      <c r="A32" s="366" t="s">
        <v>458</v>
      </c>
      <c r="B32" s="373" t="s">
        <v>459</v>
      </c>
      <c r="C32" s="374">
        <f>'[2]Prognoza dł. 8'!E32</f>
        <v>11488903</v>
      </c>
      <c r="D32" s="374">
        <f>'[2]Prognoza dł. 8'!F32</f>
        <v>11050136</v>
      </c>
      <c r="E32" s="374">
        <f>'[2]Prognoza dł. 8'!G32</f>
        <v>15920079</v>
      </c>
      <c r="F32" s="374">
        <f>'[3]11'!G32</f>
        <v>14933847</v>
      </c>
      <c r="G32" s="374">
        <f>'prognoza długu'!H34</f>
        <v>16594222</v>
      </c>
      <c r="H32" s="374">
        <f>'prognoza długu'!I34</f>
        <v>15974183</v>
      </c>
      <c r="I32" s="374">
        <f>'prognoza długu'!J34</f>
        <v>15300157</v>
      </c>
      <c r="J32" s="374">
        <f>'prognoza długu'!K34</f>
        <v>14163606</v>
      </c>
      <c r="K32" s="374">
        <f>'prognoza długu'!L34</f>
        <v>12990644</v>
      </c>
      <c r="L32" s="374">
        <f>'prognoza długu'!M34</f>
        <v>11569043</v>
      </c>
      <c r="M32" s="374">
        <f>'prognoza długu'!N34</f>
        <v>9723069</v>
      </c>
      <c r="N32" s="374">
        <f>'prognoza długu'!O34</f>
        <v>8344508</v>
      </c>
      <c r="O32" s="374">
        <f>'prognoza długu'!P34</f>
        <v>7062276</v>
      </c>
      <c r="P32" s="374">
        <f>'prognoza długu'!Q34</f>
        <v>5780044</v>
      </c>
      <c r="Q32" s="374">
        <f>'prognoza długu'!R34</f>
        <v>4561534</v>
      </c>
      <c r="R32" s="374">
        <f>'prognoza długu'!S34</f>
        <v>3406706</v>
      </c>
      <c r="S32" s="374">
        <f>'prognoza długu'!T34</f>
        <v>2251878</v>
      </c>
      <c r="T32" s="374">
        <f>'prognoza długu'!U34</f>
        <v>1694279</v>
      </c>
      <c r="U32" s="374">
        <f>'prognoza długu'!V34</f>
        <v>1218431</v>
      </c>
      <c r="V32" s="374">
        <f>'prognoza długu'!W34</f>
        <v>952583</v>
      </c>
      <c r="W32" s="374">
        <f>'prognoza długu'!X34</f>
        <v>686735</v>
      </c>
      <c r="X32" s="374">
        <f>'prognoza długu'!Y34</f>
        <v>420887</v>
      </c>
      <c r="Y32" s="374">
        <f>'prognoza długu'!Z34</f>
        <v>155039</v>
      </c>
      <c r="Z32" s="374">
        <f>'[3]11'!AA32</f>
        <v>0</v>
      </c>
    </row>
    <row r="33" spans="1:26" ht="51">
      <c r="A33" s="366" t="s">
        <v>12</v>
      </c>
      <c r="B33" s="375" t="s">
        <v>460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</row>
    <row r="34" spans="1:26" ht="12.75">
      <c r="A34" s="366" t="s">
        <v>461</v>
      </c>
      <c r="B34" s="373" t="s">
        <v>462</v>
      </c>
      <c r="C34" s="376">
        <f aca="true" t="shared" si="11" ref="C34:Z34">C32/C11*100</f>
        <v>31.162965921331416</v>
      </c>
      <c r="D34" s="376">
        <f t="shared" si="11"/>
        <v>28.600622662833764</v>
      </c>
      <c r="E34" s="376">
        <f t="shared" si="11"/>
        <v>46.348640487869424</v>
      </c>
      <c r="F34" s="376">
        <f t="shared" si="11"/>
        <v>30.555457003955798</v>
      </c>
      <c r="G34" s="376">
        <f t="shared" si="11"/>
        <v>28.9971572017541</v>
      </c>
      <c r="H34" s="376">
        <f t="shared" si="11"/>
        <v>27.52773579753296</v>
      </c>
      <c r="I34" s="376">
        <f t="shared" si="11"/>
        <v>26.207921549341677</v>
      </c>
      <c r="J34" s="376">
        <f t="shared" si="11"/>
        <v>24.115352683868206</v>
      </c>
      <c r="K34" s="376">
        <f t="shared" si="11"/>
        <v>21.985268805808946</v>
      </c>
      <c r="L34" s="376">
        <f t="shared" si="11"/>
        <v>19.461579051321497</v>
      </c>
      <c r="M34" s="376">
        <f t="shared" si="11"/>
        <v>16.257799591551304</v>
      </c>
      <c r="N34" s="376">
        <f t="shared" si="11"/>
        <v>13.868679268674713</v>
      </c>
      <c r="O34" s="376">
        <f t="shared" si="11"/>
        <v>11.666839795516054</v>
      </c>
      <c r="P34" s="376">
        <f t="shared" si="11"/>
        <v>9.491002198440125</v>
      </c>
      <c r="Q34" s="376">
        <f t="shared" si="11"/>
        <v>7.44496095691714</v>
      </c>
      <c r="R34" s="376">
        <f t="shared" si="11"/>
        <v>5.526560576466066</v>
      </c>
      <c r="S34" s="376">
        <f t="shared" si="11"/>
        <v>3.631048881450479</v>
      </c>
      <c r="T34" s="376">
        <f t="shared" si="11"/>
        <v>2.715421832926375</v>
      </c>
      <c r="U34" s="376">
        <f t="shared" si="11"/>
        <v>1.9409602207944305</v>
      </c>
      <c r="V34" s="376">
        <f t="shared" si="11"/>
        <v>1.508273186776717</v>
      </c>
      <c r="W34" s="376">
        <f t="shared" si="11"/>
        <v>1.0807519345470027</v>
      </c>
      <c r="X34" s="376">
        <f t="shared" si="11"/>
        <v>0.6583550461237209</v>
      </c>
      <c r="Y34" s="376">
        <f t="shared" si="11"/>
        <v>0.24104137122016042</v>
      </c>
      <c r="Z34" s="376">
        <f t="shared" si="11"/>
        <v>0</v>
      </c>
    </row>
    <row r="35" spans="1:26" ht="25.5">
      <c r="A35" s="366" t="s">
        <v>463</v>
      </c>
      <c r="B35" s="377" t="s">
        <v>464</v>
      </c>
      <c r="C35" s="376">
        <f aca="true" t="shared" si="12" ref="C35:Z35">(C21+C23+C28+C29)/C11*100</f>
        <v>2.943657077212982</v>
      </c>
      <c r="D35" s="376">
        <f t="shared" si="12"/>
        <v>3.116269961500671</v>
      </c>
      <c r="E35" s="376">
        <f t="shared" si="12"/>
        <v>3.5756187592862405</v>
      </c>
      <c r="F35" s="376">
        <f t="shared" si="12"/>
        <v>3.7881032027987724</v>
      </c>
      <c r="G35" s="376">
        <f t="shared" si="12"/>
        <v>3.368159803407706</v>
      </c>
      <c r="H35" s="376">
        <f t="shared" si="12"/>
        <v>3.8001850344468084</v>
      </c>
      <c r="I35" s="376">
        <f t="shared" si="12"/>
        <v>3.805270653421575</v>
      </c>
      <c r="J35" s="376">
        <f t="shared" si="12"/>
        <v>4.4998296686361385</v>
      </c>
      <c r="K35" s="376">
        <f t="shared" si="12"/>
        <v>4.457939613134297</v>
      </c>
      <c r="L35" s="376">
        <f t="shared" si="12"/>
        <v>4.769451923459969</v>
      </c>
      <c r="M35" s="376">
        <f t="shared" si="12"/>
        <v>4.52863370287383</v>
      </c>
      <c r="N35" s="376">
        <f t="shared" si="12"/>
        <v>4.133537237031232</v>
      </c>
      <c r="O35" s="376">
        <f t="shared" si="12"/>
        <v>3.6878113347995054</v>
      </c>
      <c r="P35" s="376">
        <f t="shared" si="12"/>
        <v>3.412137099364396</v>
      </c>
      <c r="Q35" s="376">
        <f t="shared" si="12"/>
        <v>3.0449149234370867</v>
      </c>
      <c r="R35" s="376">
        <f t="shared" si="12"/>
        <v>2.6886936712416696</v>
      </c>
      <c r="S35" s="376">
        <f t="shared" si="12"/>
        <v>2.4519937545757298</v>
      </c>
      <c r="T35" s="376">
        <f t="shared" si="12"/>
        <v>1.3207390195366115</v>
      </c>
      <c r="U35" s="376">
        <f t="shared" si="12"/>
        <v>0.9908824540899025</v>
      </c>
      <c r="V35" s="376">
        <f t="shared" si="12"/>
        <v>0.5792056067080672</v>
      </c>
      <c r="W35" s="376">
        <f t="shared" si="12"/>
        <v>0.5315117980214085</v>
      </c>
      <c r="X35" s="376">
        <f t="shared" si="12"/>
        <v>0.5034405234538476</v>
      </c>
      <c r="Y35" s="376">
        <f t="shared" si="12"/>
        <v>0.47631008774478967</v>
      </c>
      <c r="Z35" s="376">
        <f t="shared" si="12"/>
        <v>0.27794950592685674</v>
      </c>
    </row>
    <row r="36" spans="1:26" ht="25.5">
      <c r="A36" s="366" t="s">
        <v>465</v>
      </c>
      <c r="B36" s="377" t="s">
        <v>466</v>
      </c>
      <c r="C36" s="376">
        <f aca="true" t="shared" si="13" ref="C36:Z36">C32/C11*100</f>
        <v>31.162965921331416</v>
      </c>
      <c r="D36" s="376">
        <f t="shared" si="13"/>
        <v>28.600622662833764</v>
      </c>
      <c r="E36" s="376">
        <f t="shared" si="13"/>
        <v>46.348640487869424</v>
      </c>
      <c r="F36" s="376">
        <f t="shared" si="13"/>
        <v>30.555457003955798</v>
      </c>
      <c r="G36" s="376">
        <f t="shared" si="13"/>
        <v>28.9971572017541</v>
      </c>
      <c r="H36" s="376">
        <f t="shared" si="13"/>
        <v>27.52773579753296</v>
      </c>
      <c r="I36" s="376">
        <f t="shared" si="13"/>
        <v>26.207921549341677</v>
      </c>
      <c r="J36" s="376">
        <f t="shared" si="13"/>
        <v>24.115352683868206</v>
      </c>
      <c r="K36" s="376">
        <f t="shared" si="13"/>
        <v>21.985268805808946</v>
      </c>
      <c r="L36" s="376">
        <f t="shared" si="13"/>
        <v>19.461579051321497</v>
      </c>
      <c r="M36" s="376">
        <f t="shared" si="13"/>
        <v>16.257799591551304</v>
      </c>
      <c r="N36" s="376">
        <f t="shared" si="13"/>
        <v>13.868679268674713</v>
      </c>
      <c r="O36" s="376">
        <f t="shared" si="13"/>
        <v>11.666839795516054</v>
      </c>
      <c r="P36" s="376">
        <f t="shared" si="13"/>
        <v>9.491002198440125</v>
      </c>
      <c r="Q36" s="376">
        <f t="shared" si="13"/>
        <v>7.44496095691714</v>
      </c>
      <c r="R36" s="376">
        <f t="shared" si="13"/>
        <v>5.526560576466066</v>
      </c>
      <c r="S36" s="376">
        <f t="shared" si="13"/>
        <v>3.631048881450479</v>
      </c>
      <c r="T36" s="376">
        <f t="shared" si="13"/>
        <v>2.715421832926375</v>
      </c>
      <c r="U36" s="376">
        <f t="shared" si="13"/>
        <v>1.9409602207944305</v>
      </c>
      <c r="V36" s="376">
        <f t="shared" si="13"/>
        <v>1.508273186776717</v>
      </c>
      <c r="W36" s="376">
        <f t="shared" si="13"/>
        <v>1.0807519345470027</v>
      </c>
      <c r="X36" s="376">
        <f t="shared" si="13"/>
        <v>0.6583550461237209</v>
      </c>
      <c r="Y36" s="376">
        <f t="shared" si="13"/>
        <v>0.24104137122016042</v>
      </c>
      <c r="Z36" s="376">
        <f t="shared" si="13"/>
        <v>0</v>
      </c>
    </row>
    <row r="37" spans="1:26" ht="39" thickBot="1">
      <c r="A37" s="378" t="s">
        <v>467</v>
      </c>
      <c r="B37" s="379" t="s">
        <v>468</v>
      </c>
      <c r="C37" s="376">
        <f aca="true" t="shared" si="14" ref="C37:Z37">(C23+C21+C28+C29)/C11*100</f>
        <v>2.943657077212982</v>
      </c>
      <c r="D37" s="376">
        <f t="shared" si="14"/>
        <v>3.116269961500671</v>
      </c>
      <c r="E37" s="376">
        <f t="shared" si="14"/>
        <v>3.5756187592862405</v>
      </c>
      <c r="F37" s="376">
        <f t="shared" si="14"/>
        <v>3.7881032027987724</v>
      </c>
      <c r="G37" s="376">
        <f t="shared" si="14"/>
        <v>3.368159803407706</v>
      </c>
      <c r="H37" s="376">
        <f t="shared" si="14"/>
        <v>3.8001850344468084</v>
      </c>
      <c r="I37" s="376">
        <f t="shared" si="14"/>
        <v>3.805270653421575</v>
      </c>
      <c r="J37" s="376">
        <f t="shared" si="14"/>
        <v>4.4998296686361385</v>
      </c>
      <c r="K37" s="376">
        <f t="shared" si="14"/>
        <v>4.457939613134297</v>
      </c>
      <c r="L37" s="376">
        <f t="shared" si="14"/>
        <v>4.769451923459969</v>
      </c>
      <c r="M37" s="376">
        <f t="shared" si="14"/>
        <v>4.52863370287383</v>
      </c>
      <c r="N37" s="376">
        <f t="shared" si="14"/>
        <v>4.133537237031232</v>
      </c>
      <c r="O37" s="376">
        <f t="shared" si="14"/>
        <v>3.6878113347995054</v>
      </c>
      <c r="P37" s="376">
        <f t="shared" si="14"/>
        <v>3.412137099364396</v>
      </c>
      <c r="Q37" s="376">
        <f t="shared" si="14"/>
        <v>3.0449149234370867</v>
      </c>
      <c r="R37" s="376">
        <f t="shared" si="14"/>
        <v>2.6886936712416696</v>
      </c>
      <c r="S37" s="376">
        <f t="shared" si="14"/>
        <v>2.4519937545757298</v>
      </c>
      <c r="T37" s="376">
        <f t="shared" si="14"/>
        <v>1.3207390195366115</v>
      </c>
      <c r="U37" s="376">
        <f t="shared" si="14"/>
        <v>0.9908824540899025</v>
      </c>
      <c r="V37" s="376">
        <f t="shared" si="14"/>
        <v>0.5792056067080672</v>
      </c>
      <c r="W37" s="376">
        <f t="shared" si="14"/>
        <v>0.5315117980214085</v>
      </c>
      <c r="X37" s="376">
        <f t="shared" si="14"/>
        <v>0.5034405234538476</v>
      </c>
      <c r="Y37" s="376">
        <f t="shared" si="14"/>
        <v>0.47631008774478967</v>
      </c>
      <c r="Z37" s="376">
        <f t="shared" si="14"/>
        <v>0.27794950592685674</v>
      </c>
    </row>
    <row r="38" spans="1:19" ht="30.75" customHeight="1">
      <c r="A38" s="640" t="s">
        <v>529</v>
      </c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</row>
  </sheetData>
  <sheetProtection/>
  <mergeCells count="8">
    <mergeCell ref="A38:S38"/>
    <mergeCell ref="M8:Z8"/>
    <mergeCell ref="A6:L6"/>
    <mergeCell ref="A8:A9"/>
    <mergeCell ref="B8:B9"/>
    <mergeCell ref="C8:C9"/>
    <mergeCell ref="D8:D9"/>
    <mergeCell ref="E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PageLayoutView="0" workbookViewId="0" topLeftCell="A13">
      <selection activeCell="F16" sqref="F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30.87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2" ht="12.75">
      <c r="J2" s="1" t="s">
        <v>167</v>
      </c>
    </row>
    <row r="3" ht="12.75">
      <c r="J3" s="1" t="s">
        <v>164</v>
      </c>
    </row>
    <row r="4" ht="12.75">
      <c r="J4" s="1" t="s">
        <v>165</v>
      </c>
    </row>
    <row r="5" ht="12.75">
      <c r="J5" s="1" t="s">
        <v>166</v>
      </c>
    </row>
    <row r="8" spans="1:11" ht="18">
      <c r="A8" s="533" t="s">
        <v>143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</row>
    <row r="9" spans="1:1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8" t="s">
        <v>44</v>
      </c>
    </row>
    <row r="10" spans="1:12" s="26" customFormat="1" ht="19.5" customHeight="1">
      <c r="A10" s="534" t="s">
        <v>59</v>
      </c>
      <c r="B10" s="534" t="s">
        <v>2</v>
      </c>
      <c r="C10" s="534" t="s">
        <v>43</v>
      </c>
      <c r="D10" s="530" t="s">
        <v>107</v>
      </c>
      <c r="E10" s="529" t="s">
        <v>109</v>
      </c>
      <c r="F10" s="529" t="s">
        <v>69</v>
      </c>
      <c r="G10" s="529"/>
      <c r="H10" s="529"/>
      <c r="I10" s="529"/>
      <c r="J10" s="529"/>
      <c r="K10" s="529" t="s">
        <v>106</v>
      </c>
      <c r="L10" s="25"/>
    </row>
    <row r="11" spans="1:12" s="26" customFormat="1" ht="19.5" customHeight="1">
      <c r="A11" s="534"/>
      <c r="B11" s="534"/>
      <c r="C11" s="534"/>
      <c r="D11" s="531"/>
      <c r="E11" s="529"/>
      <c r="F11" s="529" t="s">
        <v>144</v>
      </c>
      <c r="G11" s="529" t="s">
        <v>18</v>
      </c>
      <c r="H11" s="529"/>
      <c r="I11" s="529"/>
      <c r="J11" s="529"/>
      <c r="K11" s="529"/>
      <c r="L11" s="25"/>
    </row>
    <row r="12" spans="1:12" s="26" customFormat="1" ht="29.25" customHeight="1">
      <c r="A12" s="534"/>
      <c r="B12" s="534"/>
      <c r="C12" s="534"/>
      <c r="D12" s="531"/>
      <c r="E12" s="529"/>
      <c r="F12" s="529"/>
      <c r="G12" s="529" t="s">
        <v>105</v>
      </c>
      <c r="H12" s="529" t="s">
        <v>94</v>
      </c>
      <c r="I12" s="529" t="s">
        <v>110</v>
      </c>
      <c r="J12" s="529" t="s">
        <v>95</v>
      </c>
      <c r="K12" s="529"/>
      <c r="L12" s="25"/>
    </row>
    <row r="13" spans="1:12" s="26" customFormat="1" ht="19.5" customHeight="1">
      <c r="A13" s="534"/>
      <c r="B13" s="534"/>
      <c r="C13" s="534"/>
      <c r="D13" s="531"/>
      <c r="E13" s="529"/>
      <c r="F13" s="529"/>
      <c r="G13" s="529"/>
      <c r="H13" s="529"/>
      <c r="I13" s="529"/>
      <c r="J13" s="529"/>
      <c r="K13" s="529"/>
      <c r="L13" s="25"/>
    </row>
    <row r="14" spans="1:12" s="26" customFormat="1" ht="19.5" customHeight="1">
      <c r="A14" s="534"/>
      <c r="B14" s="534"/>
      <c r="C14" s="534"/>
      <c r="D14" s="532"/>
      <c r="E14" s="529"/>
      <c r="F14" s="529"/>
      <c r="G14" s="529"/>
      <c r="H14" s="529"/>
      <c r="I14" s="529"/>
      <c r="J14" s="529"/>
      <c r="K14" s="529"/>
      <c r="L14" s="25"/>
    </row>
    <row r="15" spans="1:12" ht="7.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7</v>
      </c>
      <c r="G15" s="34">
        <v>8</v>
      </c>
      <c r="H15" s="34">
        <v>9</v>
      </c>
      <c r="I15" s="34">
        <v>10</v>
      </c>
      <c r="J15" s="34">
        <v>11</v>
      </c>
      <c r="K15" s="34">
        <v>12</v>
      </c>
      <c r="L15" s="25"/>
    </row>
    <row r="16" spans="1:12" ht="51" customHeight="1">
      <c r="A16" s="78" t="s">
        <v>12</v>
      </c>
      <c r="B16" s="36">
        <v>600</v>
      </c>
      <c r="C16" s="36">
        <v>60014</v>
      </c>
      <c r="D16" s="36">
        <v>6060</v>
      </c>
      <c r="E16" s="79" t="s">
        <v>493</v>
      </c>
      <c r="F16" s="65">
        <v>54000</v>
      </c>
      <c r="G16" s="65">
        <v>54000</v>
      </c>
      <c r="H16" s="65"/>
      <c r="I16" s="80"/>
      <c r="J16" s="65"/>
      <c r="K16" s="76" t="s">
        <v>475</v>
      </c>
      <c r="L16" s="25"/>
    </row>
    <row r="17" spans="1:12" ht="51" customHeight="1">
      <c r="A17" s="78" t="s">
        <v>14</v>
      </c>
      <c r="B17" s="36">
        <v>600</v>
      </c>
      <c r="C17" s="36">
        <v>60014</v>
      </c>
      <c r="D17" s="36">
        <v>6060</v>
      </c>
      <c r="E17" s="79" t="s">
        <v>492</v>
      </c>
      <c r="F17" s="65">
        <v>10250</v>
      </c>
      <c r="G17" s="65">
        <v>10250</v>
      </c>
      <c r="H17" s="65"/>
      <c r="I17" s="80"/>
      <c r="J17" s="65"/>
      <c r="K17" s="76" t="s">
        <v>475</v>
      </c>
      <c r="L17" s="25"/>
    </row>
    <row r="18" spans="1:12" ht="51" customHeight="1">
      <c r="A18" s="78" t="s">
        <v>1</v>
      </c>
      <c r="B18" s="36">
        <v>600</v>
      </c>
      <c r="C18" s="36">
        <v>60014</v>
      </c>
      <c r="D18" s="36">
        <v>6060</v>
      </c>
      <c r="E18" s="79" t="s">
        <v>492</v>
      </c>
      <c r="F18" s="65">
        <v>42000</v>
      </c>
      <c r="G18" s="65">
        <v>42000</v>
      </c>
      <c r="H18" s="65"/>
      <c r="I18" s="80"/>
      <c r="J18" s="65"/>
      <c r="K18" s="76" t="s">
        <v>475</v>
      </c>
      <c r="L18" s="25"/>
    </row>
    <row r="19" spans="1:12" ht="51" customHeight="1">
      <c r="A19" s="78" t="s">
        <v>19</v>
      </c>
      <c r="B19" s="36">
        <v>600</v>
      </c>
      <c r="C19" s="36">
        <v>60014</v>
      </c>
      <c r="D19" s="36">
        <v>6060</v>
      </c>
      <c r="E19" s="79" t="s">
        <v>526</v>
      </c>
      <c r="F19" s="65">
        <v>33249</v>
      </c>
      <c r="G19" s="65">
        <v>33249</v>
      </c>
      <c r="H19" s="65"/>
      <c r="I19" s="80"/>
      <c r="J19" s="65"/>
      <c r="K19" s="76" t="s">
        <v>475</v>
      </c>
      <c r="L19" s="25"/>
    </row>
    <row r="20" spans="1:12" ht="25.5">
      <c r="A20" s="78" t="s">
        <v>22</v>
      </c>
      <c r="B20" s="36">
        <v>801</v>
      </c>
      <c r="C20" s="36">
        <v>80130</v>
      </c>
      <c r="D20" s="36">
        <v>6050</v>
      </c>
      <c r="E20" s="79" t="s">
        <v>161</v>
      </c>
      <c r="F20" s="65">
        <v>60000</v>
      </c>
      <c r="G20" s="65">
        <v>60000</v>
      </c>
      <c r="H20" s="65"/>
      <c r="I20" s="80"/>
      <c r="J20" s="65"/>
      <c r="K20" s="76" t="s">
        <v>162</v>
      </c>
      <c r="L20" s="25"/>
    </row>
    <row r="21" spans="1:12" ht="29.25" customHeight="1">
      <c r="A21" s="78" t="s">
        <v>25</v>
      </c>
      <c r="B21" s="36">
        <v>852</v>
      </c>
      <c r="C21" s="36">
        <v>85202</v>
      </c>
      <c r="D21" s="36">
        <v>6060</v>
      </c>
      <c r="E21" s="79" t="s">
        <v>547</v>
      </c>
      <c r="F21" s="65">
        <v>26840</v>
      </c>
      <c r="G21" s="65">
        <v>26840</v>
      </c>
      <c r="H21" s="65"/>
      <c r="I21" s="80"/>
      <c r="J21" s="65"/>
      <c r="K21" s="76" t="s">
        <v>548</v>
      </c>
      <c r="L21" s="25"/>
    </row>
    <row r="22" spans="1:12" ht="22.5" customHeight="1">
      <c r="A22" s="528" t="s">
        <v>102</v>
      </c>
      <c r="B22" s="528"/>
      <c r="C22" s="528"/>
      <c r="D22" s="528"/>
      <c r="E22" s="528"/>
      <c r="F22" s="64">
        <f>SUM(F16:F21)</f>
        <v>226339</v>
      </c>
      <c r="G22" s="64">
        <f>SUM(G16:G21)</f>
        <v>226339</v>
      </c>
      <c r="H22" s="64">
        <f>SUM(H16:H20)</f>
        <v>0</v>
      </c>
      <c r="I22" s="64">
        <f>SUM(I16:I20)</f>
        <v>0</v>
      </c>
      <c r="J22" s="64">
        <f>SUM(J16:J20)</f>
        <v>0</v>
      </c>
      <c r="K22" s="37" t="s">
        <v>46</v>
      </c>
      <c r="L22" s="25"/>
    </row>
    <row r="23" spans="1:12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ht="12.75">
      <c r="A24" s="1" t="s">
        <v>67</v>
      </c>
    </row>
    <row r="25" ht="12.75">
      <c r="A25" s="1" t="s">
        <v>64</v>
      </c>
    </row>
    <row r="26" ht="12.75">
      <c r="A26" s="1" t="s">
        <v>65</v>
      </c>
    </row>
    <row r="27" ht="12.75">
      <c r="A27" s="1" t="s">
        <v>66</v>
      </c>
    </row>
    <row r="29" ht="14.25">
      <c r="A29" s="30" t="s">
        <v>108</v>
      </c>
    </row>
  </sheetData>
  <sheetProtection/>
  <mergeCells count="15">
    <mergeCell ref="A22:E22"/>
    <mergeCell ref="G12:G14"/>
    <mergeCell ref="H12:H14"/>
    <mergeCell ref="G11:J11"/>
    <mergeCell ref="J12:J14"/>
    <mergeCell ref="A8:K8"/>
    <mergeCell ref="A10:A14"/>
    <mergeCell ref="B10:B14"/>
    <mergeCell ref="C10:C14"/>
    <mergeCell ref="E10:E14"/>
    <mergeCell ref="F10:J10"/>
    <mergeCell ref="K10:K14"/>
    <mergeCell ref="F11:F14"/>
    <mergeCell ref="I12:I14"/>
    <mergeCell ref="D10:D14"/>
  </mergeCells>
  <printOptions horizontalCentered="1"/>
  <pageMargins left="0.5118110236220472" right="0.3937007874015748" top="0.58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view="pageBreakPreview" zoomScaleSheetLayoutView="100" zoomScalePageLayoutView="0" workbookViewId="0" topLeftCell="B1">
      <pane ySplit="14" topLeftCell="A289" activePane="bottomLeft" state="frozen"/>
      <selection pane="topLeft" activeCell="A1" sqref="A1"/>
      <selection pane="bottomLeft" activeCell="J198" sqref="J198"/>
    </sheetView>
  </sheetViews>
  <sheetFormatPr defaultColWidth="9.00390625" defaultRowHeight="12.75"/>
  <cols>
    <col min="2" max="2" width="21.75390625" style="0" customWidth="1"/>
    <col min="5" max="5" width="18.75390625" style="0" customWidth="1"/>
  </cols>
  <sheetData>
    <row r="1" ht="12.75">
      <c r="O1" t="s">
        <v>530</v>
      </c>
    </row>
    <row r="2" ht="12.75">
      <c r="O2" t="s">
        <v>531</v>
      </c>
    </row>
    <row r="3" ht="12.75">
      <c r="O3" t="s">
        <v>165</v>
      </c>
    </row>
    <row r="4" ht="12.75">
      <c r="O4" t="s">
        <v>532</v>
      </c>
    </row>
    <row r="5" spans="1:17" ht="2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100"/>
    </row>
    <row r="6" spans="1:17" ht="45.75" customHeight="1">
      <c r="A6" s="576" t="s">
        <v>208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</row>
    <row r="7" spans="1:17" ht="13.5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ht="12.75">
      <c r="A8" s="577" t="s">
        <v>59</v>
      </c>
      <c r="B8" s="580" t="s">
        <v>70</v>
      </c>
      <c r="C8" s="583" t="s">
        <v>71</v>
      </c>
      <c r="D8" s="583" t="s">
        <v>111</v>
      </c>
      <c r="E8" s="583" t="s">
        <v>101</v>
      </c>
      <c r="F8" s="586" t="s">
        <v>6</v>
      </c>
      <c r="G8" s="586"/>
      <c r="H8" s="586" t="s">
        <v>69</v>
      </c>
      <c r="I8" s="586"/>
      <c r="J8" s="586"/>
      <c r="K8" s="586"/>
      <c r="L8" s="586"/>
      <c r="M8" s="586"/>
      <c r="N8" s="586"/>
      <c r="O8" s="586"/>
      <c r="P8" s="586"/>
      <c r="Q8" s="588"/>
    </row>
    <row r="9" spans="1:17" ht="12.75">
      <c r="A9" s="578"/>
      <c r="B9" s="581"/>
      <c r="C9" s="584"/>
      <c r="D9" s="584"/>
      <c r="E9" s="584"/>
      <c r="F9" s="574" t="s">
        <v>98</v>
      </c>
      <c r="G9" s="574" t="s">
        <v>99</v>
      </c>
      <c r="H9" s="572" t="s">
        <v>137</v>
      </c>
      <c r="I9" s="572"/>
      <c r="J9" s="572"/>
      <c r="K9" s="572"/>
      <c r="L9" s="572"/>
      <c r="M9" s="572"/>
      <c r="N9" s="572"/>
      <c r="O9" s="572"/>
      <c r="P9" s="572"/>
      <c r="Q9" s="573"/>
    </row>
    <row r="10" spans="1:17" ht="12.75">
      <c r="A10" s="578"/>
      <c r="B10" s="581"/>
      <c r="C10" s="584"/>
      <c r="D10" s="584"/>
      <c r="E10" s="584"/>
      <c r="F10" s="574"/>
      <c r="G10" s="574"/>
      <c r="H10" s="574" t="s">
        <v>73</v>
      </c>
      <c r="I10" s="572" t="s">
        <v>74</v>
      </c>
      <c r="J10" s="572"/>
      <c r="K10" s="572"/>
      <c r="L10" s="572"/>
      <c r="M10" s="572"/>
      <c r="N10" s="572"/>
      <c r="O10" s="572"/>
      <c r="P10" s="572"/>
      <c r="Q10" s="573"/>
    </row>
    <row r="11" spans="1:17" ht="12.75">
      <c r="A11" s="578"/>
      <c r="B11" s="581"/>
      <c r="C11" s="584"/>
      <c r="D11" s="584"/>
      <c r="E11" s="584"/>
      <c r="F11" s="574"/>
      <c r="G11" s="574"/>
      <c r="H11" s="574"/>
      <c r="I11" s="572" t="s">
        <v>75</v>
      </c>
      <c r="J11" s="572"/>
      <c r="K11" s="572"/>
      <c r="L11" s="572"/>
      <c r="M11" s="572" t="s">
        <v>72</v>
      </c>
      <c r="N11" s="572"/>
      <c r="O11" s="572"/>
      <c r="P11" s="572"/>
      <c r="Q11" s="573"/>
    </row>
    <row r="12" spans="1:17" ht="12.75">
      <c r="A12" s="578"/>
      <c r="B12" s="581"/>
      <c r="C12" s="584"/>
      <c r="D12" s="584"/>
      <c r="E12" s="584"/>
      <c r="F12" s="574"/>
      <c r="G12" s="574"/>
      <c r="H12" s="574"/>
      <c r="I12" s="574" t="s">
        <v>76</v>
      </c>
      <c r="J12" s="572" t="s">
        <v>77</v>
      </c>
      <c r="K12" s="572"/>
      <c r="L12" s="572"/>
      <c r="M12" s="574" t="s">
        <v>78</v>
      </c>
      <c r="N12" s="574" t="s">
        <v>77</v>
      </c>
      <c r="O12" s="574"/>
      <c r="P12" s="574"/>
      <c r="Q12" s="575"/>
    </row>
    <row r="13" spans="1:17" ht="67.5">
      <c r="A13" s="579"/>
      <c r="B13" s="582"/>
      <c r="C13" s="585"/>
      <c r="D13" s="585"/>
      <c r="E13" s="585"/>
      <c r="F13" s="574"/>
      <c r="G13" s="574"/>
      <c r="H13" s="574"/>
      <c r="I13" s="574"/>
      <c r="J13" s="395" t="s">
        <v>100</v>
      </c>
      <c r="K13" s="395" t="s">
        <v>79</v>
      </c>
      <c r="L13" s="395" t="s">
        <v>80</v>
      </c>
      <c r="M13" s="574"/>
      <c r="N13" s="395" t="s">
        <v>209</v>
      </c>
      <c r="O13" s="395" t="s">
        <v>100</v>
      </c>
      <c r="P13" s="395" t="s">
        <v>79</v>
      </c>
      <c r="Q13" s="396" t="s">
        <v>81</v>
      </c>
    </row>
    <row r="14" spans="1:17" ht="12.75">
      <c r="A14" s="102">
        <v>1</v>
      </c>
      <c r="B14" s="103">
        <v>2</v>
      </c>
      <c r="C14" s="103">
        <v>3</v>
      </c>
      <c r="D14" s="103">
        <v>4</v>
      </c>
      <c r="E14" s="103">
        <v>5</v>
      </c>
      <c r="F14" s="103">
        <v>6</v>
      </c>
      <c r="G14" s="103">
        <v>7</v>
      </c>
      <c r="H14" s="103">
        <v>8</v>
      </c>
      <c r="I14" s="103">
        <v>9</v>
      </c>
      <c r="J14" s="103">
        <v>10</v>
      </c>
      <c r="K14" s="103">
        <v>11</v>
      </c>
      <c r="L14" s="103">
        <v>12</v>
      </c>
      <c r="M14" s="103">
        <v>13</v>
      </c>
      <c r="N14" s="103">
        <v>14</v>
      </c>
      <c r="O14" s="103">
        <v>15</v>
      </c>
      <c r="P14" s="103">
        <v>16</v>
      </c>
      <c r="Q14" s="104">
        <v>17</v>
      </c>
    </row>
    <row r="15" spans="1:17" ht="13.5" thickBot="1">
      <c r="A15" s="105">
        <v>1</v>
      </c>
      <c r="B15" s="106" t="s">
        <v>91</v>
      </c>
      <c r="C15" s="570" t="s">
        <v>46</v>
      </c>
      <c r="D15" s="571"/>
      <c r="E15" s="107">
        <f>E20+E28+E36+E45+E53+E61+E69+E77+E85+E93+E101+E109+E117+E125+E134+E143+E152+E161+E170+E179+E188+E215+E197+E206+E224+E233+E242+E251++E260</f>
        <v>3902229</v>
      </c>
      <c r="F15" s="107">
        <f aca="true" t="shared" si="0" ref="F15:Q15">F20+F28+F36+F45+F53+F61+F69+F77+F85+F93+F101+F109+F117+F125+F134+F143+F152+F161+F170+F179+F188+F215+F197+F206+F224+F233+F242+F251++F260</f>
        <v>939936</v>
      </c>
      <c r="G15" s="107">
        <f t="shared" si="0"/>
        <v>3168949</v>
      </c>
      <c r="H15" s="107">
        <f t="shared" si="0"/>
        <v>2299042</v>
      </c>
      <c r="I15" s="107">
        <f t="shared" si="0"/>
        <v>514340</v>
      </c>
      <c r="J15" s="107">
        <f t="shared" si="0"/>
        <v>0</v>
      </c>
      <c r="K15" s="107">
        <f t="shared" si="0"/>
        <v>0</v>
      </c>
      <c r="L15" s="107">
        <f t="shared" si="0"/>
        <v>514340</v>
      </c>
      <c r="M15" s="107">
        <f t="shared" si="0"/>
        <v>1784702</v>
      </c>
      <c r="N15" s="107">
        <f t="shared" si="0"/>
        <v>0</v>
      </c>
      <c r="O15" s="107">
        <f t="shared" si="0"/>
        <v>0</v>
      </c>
      <c r="P15" s="107">
        <f t="shared" si="0"/>
        <v>0</v>
      </c>
      <c r="Q15" s="107">
        <f t="shared" si="0"/>
        <v>1784702</v>
      </c>
    </row>
    <row r="16" spans="1:17" ht="12.75">
      <c r="A16" s="535" t="s">
        <v>83</v>
      </c>
      <c r="B16" s="108" t="s">
        <v>84</v>
      </c>
      <c r="C16" s="538" t="s">
        <v>210</v>
      </c>
      <c r="D16" s="539"/>
      <c r="E16" s="539"/>
      <c r="F16" s="539"/>
      <c r="G16" s="539"/>
      <c r="H16" s="539"/>
      <c r="I16" s="539"/>
      <c r="J16" s="539"/>
      <c r="K16" s="109"/>
      <c r="L16" s="109"/>
      <c r="M16" s="109"/>
      <c r="N16" s="109"/>
      <c r="O16" s="109"/>
      <c r="P16" s="109"/>
      <c r="Q16" s="110"/>
    </row>
    <row r="17" spans="1:17" ht="12.75">
      <c r="A17" s="536"/>
      <c r="B17" s="111" t="s">
        <v>85</v>
      </c>
      <c r="C17" s="540" t="s">
        <v>211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2"/>
    </row>
    <row r="18" spans="1:17" ht="12.75">
      <c r="A18" s="536"/>
      <c r="B18" s="111" t="s">
        <v>86</v>
      </c>
      <c r="C18" s="112" t="s">
        <v>212</v>
      </c>
      <c r="D18" s="113"/>
      <c r="E18" s="113"/>
      <c r="F18" s="113"/>
      <c r="G18" s="113"/>
      <c r="H18" s="113"/>
      <c r="I18" s="113"/>
      <c r="J18" s="113"/>
      <c r="K18" s="113"/>
      <c r="L18" s="114"/>
      <c r="M18" s="114"/>
      <c r="N18" s="114"/>
      <c r="O18" s="114"/>
      <c r="P18" s="114"/>
      <c r="Q18" s="115"/>
    </row>
    <row r="19" spans="1:17" ht="12.75">
      <c r="A19" s="536"/>
      <c r="B19" s="116" t="s">
        <v>87</v>
      </c>
      <c r="C19" s="540" t="s">
        <v>213</v>
      </c>
      <c r="D19" s="541"/>
      <c r="E19" s="541"/>
      <c r="F19" s="541"/>
      <c r="G19" s="541"/>
      <c r="H19" s="541"/>
      <c r="I19" s="541"/>
      <c r="J19" s="541"/>
      <c r="K19" s="114"/>
      <c r="L19" s="114"/>
      <c r="M19" s="114"/>
      <c r="N19" s="114"/>
      <c r="O19" s="114"/>
      <c r="P19" s="114"/>
      <c r="Q19" s="115"/>
    </row>
    <row r="20" spans="1:17" ht="12.75">
      <c r="A20" s="536"/>
      <c r="B20" s="117" t="s">
        <v>88</v>
      </c>
      <c r="C20" s="543"/>
      <c r="D20" s="544"/>
      <c r="E20" s="118">
        <v>206656</v>
      </c>
      <c r="F20" s="118">
        <v>206656</v>
      </c>
      <c r="G20" s="118">
        <v>206656</v>
      </c>
      <c r="H20" s="118">
        <f>H21</f>
        <v>90024</v>
      </c>
      <c r="I20" s="118">
        <f aca="true" t="shared" si="1" ref="I20:Q20">I21</f>
        <v>13504</v>
      </c>
      <c r="J20" s="118">
        <f t="shared" si="1"/>
        <v>0</v>
      </c>
      <c r="K20" s="118">
        <f t="shared" si="1"/>
        <v>0</v>
      </c>
      <c r="L20" s="118">
        <f t="shared" si="1"/>
        <v>13504</v>
      </c>
      <c r="M20" s="118">
        <f t="shared" si="1"/>
        <v>76520</v>
      </c>
      <c r="N20" s="118">
        <f t="shared" si="1"/>
        <v>0</v>
      </c>
      <c r="O20" s="118">
        <f t="shared" si="1"/>
        <v>0</v>
      </c>
      <c r="P20" s="118">
        <f t="shared" si="1"/>
        <v>0</v>
      </c>
      <c r="Q20" s="119">
        <f t="shared" si="1"/>
        <v>76520</v>
      </c>
    </row>
    <row r="21" spans="1:17" ht="12.75">
      <c r="A21" s="536"/>
      <c r="B21" s="108" t="s">
        <v>214</v>
      </c>
      <c r="C21" s="545"/>
      <c r="D21" s="546"/>
      <c r="E21" s="120">
        <f>F21+G21</f>
        <v>90024</v>
      </c>
      <c r="F21" s="120">
        <f>I21</f>
        <v>13504</v>
      </c>
      <c r="G21" s="120">
        <f>M21</f>
        <v>76520</v>
      </c>
      <c r="H21" s="121">
        <f>I21+M21</f>
        <v>90024</v>
      </c>
      <c r="I21" s="121">
        <f>SUM(J21:L21)</f>
        <v>13504</v>
      </c>
      <c r="J21" s="121"/>
      <c r="K21" s="121"/>
      <c r="L21" s="121">
        <v>13504</v>
      </c>
      <c r="M21" s="121">
        <f>SUM(N21:Q21)</f>
        <v>76520</v>
      </c>
      <c r="N21" s="121"/>
      <c r="O21" s="121"/>
      <c r="P21" s="121"/>
      <c r="Q21" s="122">
        <v>76520</v>
      </c>
    </row>
    <row r="22" spans="1:17" ht="12.75">
      <c r="A22" s="536"/>
      <c r="B22" s="111" t="s">
        <v>138</v>
      </c>
      <c r="C22" s="540"/>
      <c r="D22" s="547"/>
      <c r="E22" s="120"/>
      <c r="F22" s="123"/>
      <c r="G22" s="120"/>
      <c r="H22" s="121"/>
      <c r="I22" s="121"/>
      <c r="J22" s="124"/>
      <c r="K22" s="124"/>
      <c r="L22" s="124"/>
      <c r="M22" s="121"/>
      <c r="N22" s="124"/>
      <c r="O22" s="124"/>
      <c r="P22" s="124"/>
      <c r="Q22" s="125"/>
    </row>
    <row r="23" spans="1:17" ht="13.5" thickBot="1">
      <c r="A23" s="536"/>
      <c r="B23" s="126" t="s">
        <v>142</v>
      </c>
      <c r="C23" s="540"/>
      <c r="D23" s="547"/>
      <c r="E23" s="123"/>
      <c r="F23" s="123"/>
      <c r="G23" s="123"/>
      <c r="H23" s="124"/>
      <c r="I23" s="124"/>
      <c r="J23" s="124"/>
      <c r="K23" s="124"/>
      <c r="L23" s="124"/>
      <c r="M23" s="124"/>
      <c r="N23" s="124"/>
      <c r="O23" s="124"/>
      <c r="P23" s="124"/>
      <c r="Q23" s="125"/>
    </row>
    <row r="24" spans="1:17" ht="12.75">
      <c r="A24" s="535" t="s">
        <v>89</v>
      </c>
      <c r="B24" s="108" t="s">
        <v>84</v>
      </c>
      <c r="C24" s="538" t="s">
        <v>210</v>
      </c>
      <c r="D24" s="539"/>
      <c r="E24" s="539"/>
      <c r="F24" s="539"/>
      <c r="G24" s="539"/>
      <c r="H24" s="539"/>
      <c r="I24" s="539"/>
      <c r="J24" s="539"/>
      <c r="K24" s="109"/>
      <c r="L24" s="109"/>
      <c r="M24" s="109"/>
      <c r="N24" s="109"/>
      <c r="O24" s="109"/>
      <c r="P24" s="109"/>
      <c r="Q24" s="110"/>
    </row>
    <row r="25" spans="1:17" ht="12.75">
      <c r="A25" s="567"/>
      <c r="B25" s="111" t="s">
        <v>85</v>
      </c>
      <c r="C25" s="540" t="s">
        <v>211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2"/>
    </row>
    <row r="26" spans="1:17" ht="12.75">
      <c r="A26" s="567"/>
      <c r="B26" s="111" t="s">
        <v>86</v>
      </c>
      <c r="C26" s="540" t="s">
        <v>215</v>
      </c>
      <c r="D26" s="541"/>
      <c r="E26" s="541"/>
      <c r="F26" s="541"/>
      <c r="G26" s="541"/>
      <c r="H26" s="541"/>
      <c r="I26" s="541"/>
      <c r="J26" s="541"/>
      <c r="K26" s="541"/>
      <c r="L26" s="114"/>
      <c r="M26" s="114"/>
      <c r="N26" s="114"/>
      <c r="O26" s="114"/>
      <c r="P26" s="114"/>
      <c r="Q26" s="115"/>
    </row>
    <row r="27" spans="1:17" ht="12.75">
      <c r="A27" s="567"/>
      <c r="B27" s="116" t="s">
        <v>87</v>
      </c>
      <c r="C27" s="555" t="s">
        <v>216</v>
      </c>
      <c r="D27" s="568"/>
      <c r="E27" s="568"/>
      <c r="F27" s="568"/>
      <c r="G27" s="568"/>
      <c r="H27" s="568"/>
      <c r="I27" s="568"/>
      <c r="J27" s="568"/>
      <c r="K27" s="569"/>
      <c r="L27" s="569"/>
      <c r="M27" s="569"/>
      <c r="N27" s="114"/>
      <c r="O27" s="114"/>
      <c r="P27" s="114"/>
      <c r="Q27" s="115"/>
    </row>
    <row r="28" spans="1:17" ht="12.75">
      <c r="A28" s="567"/>
      <c r="B28" s="117" t="s">
        <v>88</v>
      </c>
      <c r="C28" s="543"/>
      <c r="D28" s="544"/>
      <c r="E28" s="118">
        <v>99671</v>
      </c>
      <c r="F28" s="118">
        <v>13639</v>
      </c>
      <c r="G28" s="118">
        <v>86032</v>
      </c>
      <c r="H28" s="118">
        <f>H29</f>
        <v>2083</v>
      </c>
      <c r="I28" s="118">
        <f aca="true" t="shared" si="2" ref="I28:Q28">I29</f>
        <v>312</v>
      </c>
      <c r="J28" s="118">
        <f t="shared" si="2"/>
        <v>0</v>
      </c>
      <c r="K28" s="118">
        <f t="shared" si="2"/>
        <v>0</v>
      </c>
      <c r="L28" s="118">
        <f t="shared" si="2"/>
        <v>312</v>
      </c>
      <c r="M28" s="118">
        <f t="shared" si="2"/>
        <v>1771</v>
      </c>
      <c r="N28" s="118">
        <f t="shared" si="2"/>
        <v>0</v>
      </c>
      <c r="O28" s="118">
        <f t="shared" si="2"/>
        <v>0</v>
      </c>
      <c r="P28" s="118">
        <f t="shared" si="2"/>
        <v>0</v>
      </c>
      <c r="Q28" s="119">
        <f t="shared" si="2"/>
        <v>1771</v>
      </c>
    </row>
    <row r="29" spans="1:17" ht="12.75">
      <c r="A29" s="567"/>
      <c r="B29" s="108" t="s">
        <v>214</v>
      </c>
      <c r="C29" s="545"/>
      <c r="D29" s="546"/>
      <c r="E29" s="120">
        <f>G29+F29</f>
        <v>2083</v>
      </c>
      <c r="F29" s="120">
        <f>I29</f>
        <v>312</v>
      </c>
      <c r="G29" s="120">
        <f>M29</f>
        <v>1771</v>
      </c>
      <c r="H29" s="121">
        <f>I29+M29</f>
        <v>2083</v>
      </c>
      <c r="I29" s="121">
        <f>SUM(J29:L29)</f>
        <v>312</v>
      </c>
      <c r="J29" s="121"/>
      <c r="K29" s="121"/>
      <c r="L29" s="121">
        <v>312</v>
      </c>
      <c r="M29" s="121">
        <f>SUM(N29:Q29)</f>
        <v>1771</v>
      </c>
      <c r="N29" s="121"/>
      <c r="O29" s="121"/>
      <c r="P29" s="121"/>
      <c r="Q29" s="122">
        <v>1771</v>
      </c>
    </row>
    <row r="30" spans="1:17" ht="12.75">
      <c r="A30" s="567"/>
      <c r="B30" s="111" t="s">
        <v>138</v>
      </c>
      <c r="C30" s="540"/>
      <c r="D30" s="547"/>
      <c r="E30" s="120"/>
      <c r="F30" s="123"/>
      <c r="G30" s="120"/>
      <c r="H30" s="121"/>
      <c r="I30" s="121"/>
      <c r="J30" s="124"/>
      <c r="K30" s="124"/>
      <c r="L30" s="124"/>
      <c r="M30" s="121"/>
      <c r="N30" s="124"/>
      <c r="O30" s="124"/>
      <c r="P30" s="124"/>
      <c r="Q30" s="125"/>
    </row>
    <row r="31" spans="1:17" ht="13.5" thickBot="1">
      <c r="A31" s="567"/>
      <c r="B31" s="126" t="s">
        <v>142</v>
      </c>
      <c r="C31" s="540"/>
      <c r="D31" s="547"/>
      <c r="E31" s="123"/>
      <c r="F31" s="123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5"/>
    </row>
    <row r="32" spans="1:17" ht="12.75">
      <c r="A32" s="535" t="s">
        <v>90</v>
      </c>
      <c r="B32" s="108" t="s">
        <v>84</v>
      </c>
      <c r="C32" s="538" t="s">
        <v>210</v>
      </c>
      <c r="D32" s="539"/>
      <c r="E32" s="539"/>
      <c r="F32" s="539"/>
      <c r="G32" s="539"/>
      <c r="H32" s="539"/>
      <c r="I32" s="539"/>
      <c r="J32" s="539"/>
      <c r="K32" s="109"/>
      <c r="L32" s="109"/>
      <c r="M32" s="109"/>
      <c r="N32" s="109"/>
      <c r="O32" s="109"/>
      <c r="P32" s="109"/>
      <c r="Q32" s="110"/>
    </row>
    <row r="33" spans="1:17" ht="12.75">
      <c r="A33" s="536"/>
      <c r="B33" s="111" t="s">
        <v>85</v>
      </c>
      <c r="C33" s="540" t="s">
        <v>211</v>
      </c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2"/>
    </row>
    <row r="34" spans="1:17" ht="12.75">
      <c r="A34" s="536"/>
      <c r="B34" s="111" t="s">
        <v>86</v>
      </c>
      <c r="C34" s="540" t="s">
        <v>215</v>
      </c>
      <c r="D34" s="541"/>
      <c r="E34" s="541"/>
      <c r="F34" s="541"/>
      <c r="G34" s="541"/>
      <c r="H34" s="541"/>
      <c r="I34" s="541"/>
      <c r="J34" s="541"/>
      <c r="K34" s="541"/>
      <c r="L34" s="114"/>
      <c r="M34" s="114"/>
      <c r="N34" s="114"/>
      <c r="O34" s="114"/>
      <c r="P34" s="114"/>
      <c r="Q34" s="115"/>
    </row>
    <row r="35" spans="1:17" ht="12.75">
      <c r="A35" s="536"/>
      <c r="B35" s="116" t="s">
        <v>87</v>
      </c>
      <c r="C35" s="127" t="s">
        <v>217</v>
      </c>
      <c r="D35" s="128"/>
      <c r="E35" s="128"/>
      <c r="F35" s="128"/>
      <c r="G35" s="128"/>
      <c r="H35" s="128"/>
      <c r="I35" s="128"/>
      <c r="J35" s="128"/>
      <c r="K35" s="114"/>
      <c r="L35" s="114"/>
      <c r="M35" s="114"/>
      <c r="N35" s="114"/>
      <c r="O35" s="114"/>
      <c r="P35" s="114"/>
      <c r="Q35" s="115"/>
    </row>
    <row r="36" spans="1:17" ht="12.75">
      <c r="A36" s="536"/>
      <c r="B36" s="117" t="s">
        <v>88</v>
      </c>
      <c r="C36" s="543"/>
      <c r="D36" s="544"/>
      <c r="E36" s="118">
        <v>403302</v>
      </c>
      <c r="F36" s="118">
        <v>51421</v>
      </c>
      <c r="G36" s="118">
        <v>351881</v>
      </c>
      <c r="H36" s="118">
        <f>H37</f>
        <v>295105</v>
      </c>
      <c r="I36" s="118">
        <f aca="true" t="shared" si="3" ref="I36:Q36">I37</f>
        <v>44266</v>
      </c>
      <c r="J36" s="118">
        <f t="shared" si="3"/>
        <v>0</v>
      </c>
      <c r="K36" s="118">
        <f t="shared" si="3"/>
        <v>0</v>
      </c>
      <c r="L36" s="118">
        <f t="shared" si="3"/>
        <v>44266</v>
      </c>
      <c r="M36" s="118">
        <f t="shared" si="3"/>
        <v>250839</v>
      </c>
      <c r="N36" s="118">
        <f t="shared" si="3"/>
        <v>0</v>
      </c>
      <c r="O36" s="118">
        <f t="shared" si="3"/>
        <v>0</v>
      </c>
      <c r="P36" s="118">
        <f t="shared" si="3"/>
        <v>0</v>
      </c>
      <c r="Q36" s="119">
        <f t="shared" si="3"/>
        <v>250839</v>
      </c>
    </row>
    <row r="37" spans="1:17" ht="12.75">
      <c r="A37" s="536"/>
      <c r="B37" s="108" t="s">
        <v>214</v>
      </c>
      <c r="C37" s="545"/>
      <c r="D37" s="546"/>
      <c r="E37" s="120">
        <f>F37+G37</f>
        <v>295105</v>
      </c>
      <c r="F37" s="120">
        <f>I37</f>
        <v>44266</v>
      </c>
      <c r="G37" s="120">
        <f>M37</f>
        <v>250839</v>
      </c>
      <c r="H37" s="121">
        <f>I37+M37</f>
        <v>295105</v>
      </c>
      <c r="I37" s="121">
        <f>SUM(J37:L37)</f>
        <v>44266</v>
      </c>
      <c r="J37" s="121"/>
      <c r="K37" s="121"/>
      <c r="L37" s="121">
        <v>44266</v>
      </c>
      <c r="M37" s="121">
        <f>SUM(N37:Q37)</f>
        <v>250839</v>
      </c>
      <c r="N37" s="121"/>
      <c r="O37" s="121"/>
      <c r="P37" s="121"/>
      <c r="Q37" s="122">
        <v>250839</v>
      </c>
    </row>
    <row r="38" spans="1:17" ht="12.75">
      <c r="A38" s="536"/>
      <c r="B38" s="111" t="s">
        <v>138</v>
      </c>
      <c r="C38" s="540"/>
      <c r="D38" s="547"/>
      <c r="E38" s="120"/>
      <c r="F38" s="123"/>
      <c r="G38" s="120"/>
      <c r="H38" s="121"/>
      <c r="I38" s="121"/>
      <c r="J38" s="124"/>
      <c r="K38" s="124"/>
      <c r="L38" s="124"/>
      <c r="M38" s="121"/>
      <c r="N38" s="124"/>
      <c r="O38" s="124"/>
      <c r="P38" s="124"/>
      <c r="Q38" s="125"/>
    </row>
    <row r="39" spans="1:17" ht="13.5" thickBot="1">
      <c r="A39" s="536"/>
      <c r="B39" s="126" t="s">
        <v>142</v>
      </c>
      <c r="C39" s="540"/>
      <c r="D39" s="547"/>
      <c r="E39" s="123"/>
      <c r="F39" s="123"/>
      <c r="G39" s="123"/>
      <c r="H39" s="124"/>
      <c r="I39" s="124"/>
      <c r="J39" s="124"/>
      <c r="K39" s="124"/>
      <c r="L39" s="124"/>
      <c r="M39" s="124"/>
      <c r="N39" s="124"/>
      <c r="O39" s="124"/>
      <c r="P39" s="124"/>
      <c r="Q39" s="125"/>
    </row>
    <row r="40" spans="1:17" ht="12.75">
      <c r="A40" s="535" t="s">
        <v>218</v>
      </c>
      <c r="B40" s="108" t="s">
        <v>84</v>
      </c>
      <c r="C40" s="538" t="s">
        <v>210</v>
      </c>
      <c r="D40" s="539"/>
      <c r="E40" s="539"/>
      <c r="F40" s="539"/>
      <c r="G40" s="539"/>
      <c r="H40" s="539"/>
      <c r="I40" s="539"/>
      <c r="J40" s="539"/>
      <c r="K40" s="109"/>
      <c r="L40" s="109"/>
      <c r="M40" s="109"/>
      <c r="N40" s="109"/>
      <c r="O40" s="109"/>
      <c r="P40" s="109"/>
      <c r="Q40" s="110"/>
    </row>
    <row r="41" spans="1:17" ht="12.75">
      <c r="A41" s="536"/>
      <c r="B41" s="111" t="s">
        <v>85</v>
      </c>
      <c r="C41" s="540" t="s">
        <v>211</v>
      </c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2"/>
    </row>
    <row r="42" spans="1:17" ht="12.75">
      <c r="A42" s="536"/>
      <c r="B42" s="111" t="s">
        <v>86</v>
      </c>
      <c r="C42" s="540" t="s">
        <v>215</v>
      </c>
      <c r="D42" s="541"/>
      <c r="E42" s="541"/>
      <c r="F42" s="541"/>
      <c r="G42" s="541"/>
      <c r="H42" s="541"/>
      <c r="I42" s="541"/>
      <c r="J42" s="541"/>
      <c r="K42" s="541"/>
      <c r="L42" s="114"/>
      <c r="M42" s="114"/>
      <c r="N42" s="114"/>
      <c r="O42" s="114"/>
      <c r="P42" s="114"/>
      <c r="Q42" s="115"/>
    </row>
    <row r="43" spans="1:17" ht="12.75">
      <c r="A43" s="536"/>
      <c r="B43" s="116" t="s">
        <v>219</v>
      </c>
      <c r="C43" s="390"/>
      <c r="D43" s="393"/>
      <c r="E43" s="393"/>
      <c r="F43" s="393"/>
      <c r="G43" s="393"/>
      <c r="H43" s="393"/>
      <c r="I43" s="393"/>
      <c r="J43" s="393"/>
      <c r="K43" s="393"/>
      <c r="L43" s="114"/>
      <c r="M43" s="114"/>
      <c r="N43" s="114"/>
      <c r="O43" s="114"/>
      <c r="P43" s="114"/>
      <c r="Q43" s="115"/>
    </row>
    <row r="44" spans="1:17" ht="12.75">
      <c r="A44" s="536"/>
      <c r="B44" s="116" t="s">
        <v>87</v>
      </c>
      <c r="C44" s="127" t="s">
        <v>220</v>
      </c>
      <c r="D44" s="128"/>
      <c r="E44" s="128"/>
      <c r="F44" s="128"/>
      <c r="G44" s="128"/>
      <c r="H44" s="128"/>
      <c r="I44" s="128"/>
      <c r="J44" s="128"/>
      <c r="K44" s="114"/>
      <c r="L44" s="114"/>
      <c r="M44" s="114"/>
      <c r="N44" s="114"/>
      <c r="O44" s="114"/>
      <c r="P44" s="114"/>
      <c r="Q44" s="115"/>
    </row>
    <row r="45" spans="1:17" ht="12.75">
      <c r="A45" s="536"/>
      <c r="B45" s="117" t="s">
        <v>88</v>
      </c>
      <c r="C45" s="543"/>
      <c r="D45" s="544"/>
      <c r="E45" s="118">
        <f>E46</f>
        <v>104000</v>
      </c>
      <c r="F45" s="118">
        <f aca="true" t="shared" si="4" ref="F45:Q45">F46</f>
        <v>15600</v>
      </c>
      <c r="G45" s="118">
        <f t="shared" si="4"/>
        <v>88400</v>
      </c>
      <c r="H45" s="118">
        <f t="shared" si="4"/>
        <v>104000</v>
      </c>
      <c r="I45" s="118">
        <f t="shared" si="4"/>
        <v>15600</v>
      </c>
      <c r="J45" s="118">
        <f t="shared" si="4"/>
        <v>0</v>
      </c>
      <c r="K45" s="118">
        <f t="shared" si="4"/>
        <v>0</v>
      </c>
      <c r="L45" s="118">
        <f t="shared" si="4"/>
        <v>15600</v>
      </c>
      <c r="M45" s="118">
        <f t="shared" si="4"/>
        <v>88400</v>
      </c>
      <c r="N45" s="118">
        <f t="shared" si="4"/>
        <v>0</v>
      </c>
      <c r="O45" s="118">
        <f t="shared" si="4"/>
        <v>0</v>
      </c>
      <c r="P45" s="118">
        <f t="shared" si="4"/>
        <v>0</v>
      </c>
      <c r="Q45" s="119">
        <f t="shared" si="4"/>
        <v>88400</v>
      </c>
    </row>
    <row r="46" spans="1:17" ht="12.75">
      <c r="A46" s="536"/>
      <c r="B46" s="108" t="s">
        <v>214</v>
      </c>
      <c r="C46" s="545"/>
      <c r="D46" s="546"/>
      <c r="E46" s="120">
        <f>F46+G46</f>
        <v>104000</v>
      </c>
      <c r="F46" s="120">
        <f>I46</f>
        <v>15600</v>
      </c>
      <c r="G46" s="120">
        <f>M46</f>
        <v>88400</v>
      </c>
      <c r="H46" s="121">
        <f>I46+M46</f>
        <v>104000</v>
      </c>
      <c r="I46" s="121">
        <f>SUM(J46:L46)</f>
        <v>15600</v>
      </c>
      <c r="J46" s="121"/>
      <c r="K46" s="121"/>
      <c r="L46" s="121">
        <v>15600</v>
      </c>
      <c r="M46" s="121">
        <f>SUM(N46:Q46)</f>
        <v>88400</v>
      </c>
      <c r="N46" s="121"/>
      <c r="O46" s="121"/>
      <c r="P46" s="121"/>
      <c r="Q46" s="122">
        <v>88400</v>
      </c>
    </row>
    <row r="47" spans="1:17" ht="12.75">
      <c r="A47" s="536"/>
      <c r="B47" s="111" t="s">
        <v>138</v>
      </c>
      <c r="C47" s="540"/>
      <c r="D47" s="547"/>
      <c r="E47" s="120"/>
      <c r="F47" s="123"/>
      <c r="G47" s="120"/>
      <c r="H47" s="121"/>
      <c r="I47" s="121"/>
      <c r="J47" s="124"/>
      <c r="K47" s="124"/>
      <c r="L47" s="124"/>
      <c r="M47" s="121"/>
      <c r="N47" s="124"/>
      <c r="O47" s="124"/>
      <c r="P47" s="124"/>
      <c r="Q47" s="125"/>
    </row>
    <row r="48" spans="1:17" ht="13.5" thickBot="1">
      <c r="A48" s="537"/>
      <c r="B48" s="126" t="s">
        <v>158</v>
      </c>
      <c r="C48" s="548"/>
      <c r="D48" s="549"/>
      <c r="E48" s="129"/>
      <c r="F48" s="129"/>
      <c r="G48" s="129"/>
      <c r="H48" s="130"/>
      <c r="I48" s="130"/>
      <c r="J48" s="130"/>
      <c r="K48" s="130"/>
      <c r="L48" s="130"/>
      <c r="M48" s="130"/>
      <c r="N48" s="130"/>
      <c r="O48" s="130"/>
      <c r="P48" s="130"/>
      <c r="Q48" s="131"/>
    </row>
    <row r="49" spans="1:17" ht="13.5" hidden="1" thickBot="1">
      <c r="A49" s="535" t="s">
        <v>221</v>
      </c>
      <c r="B49" s="108" t="s">
        <v>84</v>
      </c>
      <c r="C49" s="538"/>
      <c r="D49" s="539"/>
      <c r="E49" s="539"/>
      <c r="F49" s="539"/>
      <c r="G49" s="539"/>
      <c r="H49" s="539"/>
      <c r="I49" s="539"/>
      <c r="J49" s="539"/>
      <c r="K49" s="109"/>
      <c r="L49" s="109"/>
      <c r="M49" s="109"/>
      <c r="N49" s="109"/>
      <c r="O49" s="109"/>
      <c r="P49" s="109"/>
      <c r="Q49" s="110"/>
    </row>
    <row r="50" spans="1:17" ht="13.5" hidden="1" thickBot="1">
      <c r="A50" s="536"/>
      <c r="B50" s="111" t="s">
        <v>85</v>
      </c>
      <c r="C50" s="540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2"/>
    </row>
    <row r="51" spans="1:17" ht="13.5" hidden="1" thickBot="1">
      <c r="A51" s="536"/>
      <c r="B51" s="111" t="s">
        <v>86</v>
      </c>
      <c r="C51" s="540"/>
      <c r="D51" s="541"/>
      <c r="E51" s="541"/>
      <c r="F51" s="541"/>
      <c r="G51" s="541"/>
      <c r="H51" s="541"/>
      <c r="I51" s="541"/>
      <c r="J51" s="541"/>
      <c r="K51" s="541"/>
      <c r="L51" s="114"/>
      <c r="M51" s="114"/>
      <c r="N51" s="114"/>
      <c r="O51" s="114"/>
      <c r="P51" s="114"/>
      <c r="Q51" s="115"/>
    </row>
    <row r="52" spans="1:17" ht="13.5" hidden="1" thickBot="1">
      <c r="A52" s="536"/>
      <c r="B52" s="116" t="s">
        <v>87</v>
      </c>
      <c r="C52" s="127"/>
      <c r="D52" s="128"/>
      <c r="E52" s="128"/>
      <c r="F52" s="128"/>
      <c r="G52" s="128"/>
      <c r="H52" s="128"/>
      <c r="I52" s="128"/>
      <c r="J52" s="128"/>
      <c r="K52" s="114"/>
      <c r="L52" s="114"/>
      <c r="M52" s="114"/>
      <c r="N52" s="114"/>
      <c r="O52" s="114"/>
      <c r="P52" s="114"/>
      <c r="Q52" s="115"/>
    </row>
    <row r="53" spans="1:17" ht="13.5" hidden="1" thickBot="1">
      <c r="A53" s="536"/>
      <c r="B53" s="117" t="s">
        <v>88</v>
      </c>
      <c r="C53" s="543"/>
      <c r="D53" s="544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9"/>
    </row>
    <row r="54" spans="1:17" ht="13.5" hidden="1" thickBot="1">
      <c r="A54" s="536"/>
      <c r="B54" s="108" t="s">
        <v>214</v>
      </c>
      <c r="C54" s="545"/>
      <c r="D54" s="546"/>
      <c r="E54" s="120"/>
      <c r="F54" s="120"/>
      <c r="G54" s="120"/>
      <c r="H54" s="121"/>
      <c r="I54" s="121"/>
      <c r="J54" s="121"/>
      <c r="K54" s="121"/>
      <c r="L54" s="121"/>
      <c r="M54" s="121"/>
      <c r="N54" s="121"/>
      <c r="O54" s="121"/>
      <c r="P54" s="121"/>
      <c r="Q54" s="122"/>
    </row>
    <row r="55" spans="1:17" ht="13.5" hidden="1" thickBot="1">
      <c r="A55" s="536"/>
      <c r="B55" s="111" t="s">
        <v>138</v>
      </c>
      <c r="C55" s="540"/>
      <c r="D55" s="547"/>
      <c r="E55" s="120"/>
      <c r="F55" s="123"/>
      <c r="G55" s="120"/>
      <c r="H55" s="121"/>
      <c r="I55" s="121"/>
      <c r="J55" s="124"/>
      <c r="K55" s="124"/>
      <c r="L55" s="124"/>
      <c r="M55" s="121"/>
      <c r="N55" s="124"/>
      <c r="O55" s="124"/>
      <c r="P55" s="124"/>
      <c r="Q55" s="125"/>
    </row>
    <row r="56" spans="1:17" ht="13.5" hidden="1" thickBot="1">
      <c r="A56" s="536"/>
      <c r="B56" s="126" t="s">
        <v>142</v>
      </c>
      <c r="C56" s="540"/>
      <c r="D56" s="547"/>
      <c r="E56" s="123"/>
      <c r="F56" s="123"/>
      <c r="G56" s="123"/>
      <c r="H56" s="124"/>
      <c r="I56" s="124"/>
      <c r="J56" s="124"/>
      <c r="K56" s="124"/>
      <c r="L56" s="124"/>
      <c r="M56" s="124"/>
      <c r="N56" s="124"/>
      <c r="O56" s="124"/>
      <c r="P56" s="124"/>
      <c r="Q56" s="125"/>
    </row>
    <row r="57" spans="1:17" ht="13.5" hidden="1" thickBot="1">
      <c r="A57" s="535" t="s">
        <v>222</v>
      </c>
      <c r="B57" s="108" t="s">
        <v>84</v>
      </c>
      <c r="C57" s="538"/>
      <c r="D57" s="539"/>
      <c r="E57" s="539"/>
      <c r="F57" s="539"/>
      <c r="G57" s="539"/>
      <c r="H57" s="539"/>
      <c r="I57" s="539"/>
      <c r="J57" s="539"/>
      <c r="K57" s="109"/>
      <c r="L57" s="109"/>
      <c r="M57" s="109"/>
      <c r="N57" s="109"/>
      <c r="O57" s="109"/>
      <c r="P57" s="109"/>
      <c r="Q57" s="110"/>
    </row>
    <row r="58" spans="1:17" ht="13.5" hidden="1" thickBot="1">
      <c r="A58" s="536"/>
      <c r="B58" s="111" t="s">
        <v>85</v>
      </c>
      <c r="C58" s="540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2"/>
    </row>
    <row r="59" spans="1:17" ht="13.5" hidden="1" thickBot="1">
      <c r="A59" s="536"/>
      <c r="B59" s="111" t="s">
        <v>86</v>
      </c>
      <c r="C59" s="540"/>
      <c r="D59" s="541"/>
      <c r="E59" s="541"/>
      <c r="F59" s="541"/>
      <c r="G59" s="541"/>
      <c r="H59" s="541"/>
      <c r="I59" s="541"/>
      <c r="J59" s="541"/>
      <c r="K59" s="541"/>
      <c r="L59" s="114"/>
      <c r="M59" s="114"/>
      <c r="N59" s="114"/>
      <c r="O59" s="114"/>
      <c r="P59" s="114"/>
      <c r="Q59" s="115"/>
    </row>
    <row r="60" spans="1:17" ht="13.5" hidden="1" thickBot="1">
      <c r="A60" s="536"/>
      <c r="B60" s="116" t="s">
        <v>87</v>
      </c>
      <c r="C60" s="127"/>
      <c r="D60" s="128"/>
      <c r="E60" s="128"/>
      <c r="F60" s="128"/>
      <c r="G60" s="128"/>
      <c r="H60" s="128"/>
      <c r="I60" s="128"/>
      <c r="J60" s="128"/>
      <c r="K60" s="114"/>
      <c r="L60" s="114"/>
      <c r="M60" s="114"/>
      <c r="N60" s="114"/>
      <c r="O60" s="114"/>
      <c r="P60" s="114"/>
      <c r="Q60" s="115"/>
    </row>
    <row r="61" spans="1:17" ht="13.5" hidden="1" thickBot="1">
      <c r="A61" s="536"/>
      <c r="B61" s="117" t="s">
        <v>88</v>
      </c>
      <c r="C61" s="543"/>
      <c r="D61" s="544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9"/>
    </row>
    <row r="62" spans="1:17" ht="13.5" hidden="1" thickBot="1">
      <c r="A62" s="536"/>
      <c r="B62" s="108" t="s">
        <v>157</v>
      </c>
      <c r="C62" s="545"/>
      <c r="D62" s="546"/>
      <c r="E62" s="120"/>
      <c r="F62" s="120"/>
      <c r="G62" s="120"/>
      <c r="H62" s="121"/>
      <c r="I62" s="121"/>
      <c r="J62" s="121"/>
      <c r="K62" s="121"/>
      <c r="L62" s="121"/>
      <c r="M62" s="121"/>
      <c r="N62" s="121"/>
      <c r="O62" s="121"/>
      <c r="P62" s="121"/>
      <c r="Q62" s="122"/>
    </row>
    <row r="63" spans="1:17" ht="13.5" hidden="1" thickBot="1">
      <c r="A63" s="536"/>
      <c r="B63" s="111" t="s">
        <v>137</v>
      </c>
      <c r="C63" s="540"/>
      <c r="D63" s="547"/>
      <c r="E63" s="120"/>
      <c r="F63" s="123"/>
      <c r="G63" s="120"/>
      <c r="H63" s="121"/>
      <c r="I63" s="121"/>
      <c r="J63" s="124"/>
      <c r="K63" s="124"/>
      <c r="L63" s="124"/>
      <c r="M63" s="121"/>
      <c r="N63" s="124"/>
      <c r="O63" s="124"/>
      <c r="P63" s="124"/>
      <c r="Q63" s="125"/>
    </row>
    <row r="64" spans="1:17" ht="13.5" hidden="1" thickBot="1">
      <c r="A64" s="536"/>
      <c r="B64" s="126" t="s">
        <v>138</v>
      </c>
      <c r="C64" s="540"/>
      <c r="D64" s="547"/>
      <c r="E64" s="123"/>
      <c r="F64" s="123"/>
      <c r="G64" s="123"/>
      <c r="H64" s="124"/>
      <c r="I64" s="124"/>
      <c r="J64" s="124"/>
      <c r="K64" s="124"/>
      <c r="L64" s="124"/>
      <c r="M64" s="124"/>
      <c r="N64" s="124"/>
      <c r="O64" s="124"/>
      <c r="P64" s="124"/>
      <c r="Q64" s="125"/>
    </row>
    <row r="65" spans="1:17" ht="13.5" hidden="1" thickBot="1">
      <c r="A65" s="535" t="s">
        <v>223</v>
      </c>
      <c r="B65" s="108" t="s">
        <v>84</v>
      </c>
      <c r="C65" s="538"/>
      <c r="D65" s="539"/>
      <c r="E65" s="539"/>
      <c r="F65" s="539"/>
      <c r="G65" s="539"/>
      <c r="H65" s="539"/>
      <c r="I65" s="539"/>
      <c r="J65" s="539"/>
      <c r="K65" s="109"/>
      <c r="L65" s="109"/>
      <c r="M65" s="109"/>
      <c r="N65" s="109"/>
      <c r="O65" s="109"/>
      <c r="P65" s="109"/>
      <c r="Q65" s="110"/>
    </row>
    <row r="66" spans="1:17" ht="13.5" hidden="1" thickBot="1">
      <c r="A66" s="536"/>
      <c r="B66" s="111" t="s">
        <v>85</v>
      </c>
      <c r="C66" s="540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2"/>
    </row>
    <row r="67" spans="1:17" ht="13.5" hidden="1" thickBot="1">
      <c r="A67" s="536"/>
      <c r="B67" s="111" t="s">
        <v>86</v>
      </c>
      <c r="C67" s="540"/>
      <c r="D67" s="541"/>
      <c r="E67" s="541"/>
      <c r="F67" s="541"/>
      <c r="G67" s="541"/>
      <c r="H67" s="541"/>
      <c r="I67" s="541"/>
      <c r="J67" s="541"/>
      <c r="K67" s="541"/>
      <c r="L67" s="114"/>
      <c r="M67" s="114"/>
      <c r="N67" s="114"/>
      <c r="O67" s="114"/>
      <c r="P67" s="114"/>
      <c r="Q67" s="115"/>
    </row>
    <row r="68" spans="1:17" ht="13.5" hidden="1" thickBot="1">
      <c r="A68" s="536"/>
      <c r="B68" s="116" t="s">
        <v>87</v>
      </c>
      <c r="C68" s="127"/>
      <c r="D68" s="128"/>
      <c r="E68" s="128"/>
      <c r="F68" s="128"/>
      <c r="G68" s="128"/>
      <c r="H68" s="128"/>
      <c r="I68" s="128"/>
      <c r="J68" s="128"/>
      <c r="K68" s="114"/>
      <c r="L68" s="114"/>
      <c r="M68" s="114"/>
      <c r="N68" s="114"/>
      <c r="O68" s="114"/>
      <c r="P68" s="114"/>
      <c r="Q68" s="115"/>
    </row>
    <row r="69" spans="1:17" ht="13.5" hidden="1" thickBot="1">
      <c r="A69" s="536"/>
      <c r="B69" s="117" t="s">
        <v>88</v>
      </c>
      <c r="C69" s="543"/>
      <c r="D69" s="544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9"/>
    </row>
    <row r="70" spans="1:17" ht="13.5" hidden="1" thickBot="1">
      <c r="A70" s="536"/>
      <c r="B70" s="108" t="s">
        <v>157</v>
      </c>
      <c r="C70" s="545"/>
      <c r="D70" s="546"/>
      <c r="E70" s="120"/>
      <c r="F70" s="120"/>
      <c r="G70" s="120"/>
      <c r="H70" s="121"/>
      <c r="I70" s="121"/>
      <c r="J70" s="121"/>
      <c r="K70" s="121"/>
      <c r="L70" s="121"/>
      <c r="M70" s="121"/>
      <c r="N70" s="121"/>
      <c r="O70" s="121"/>
      <c r="P70" s="121"/>
      <c r="Q70" s="122"/>
    </row>
    <row r="71" spans="1:17" ht="13.5" hidden="1" thickBot="1">
      <c r="A71" s="536"/>
      <c r="B71" s="111" t="s">
        <v>137</v>
      </c>
      <c r="C71" s="540"/>
      <c r="D71" s="547"/>
      <c r="E71" s="120"/>
      <c r="F71" s="123"/>
      <c r="G71" s="120"/>
      <c r="H71" s="121"/>
      <c r="I71" s="121"/>
      <c r="J71" s="124"/>
      <c r="K71" s="124"/>
      <c r="L71" s="124"/>
      <c r="M71" s="121"/>
      <c r="N71" s="124"/>
      <c r="O71" s="124"/>
      <c r="P71" s="124"/>
      <c r="Q71" s="125"/>
    </row>
    <row r="72" spans="1:17" ht="13.5" hidden="1" thickBot="1">
      <c r="A72" s="536"/>
      <c r="B72" s="126" t="s">
        <v>138</v>
      </c>
      <c r="C72" s="540"/>
      <c r="D72" s="547"/>
      <c r="E72" s="123"/>
      <c r="F72" s="123"/>
      <c r="G72" s="123"/>
      <c r="H72" s="124"/>
      <c r="I72" s="124"/>
      <c r="J72" s="124"/>
      <c r="K72" s="124"/>
      <c r="L72" s="124"/>
      <c r="M72" s="124"/>
      <c r="N72" s="124"/>
      <c r="O72" s="124"/>
      <c r="P72" s="124"/>
      <c r="Q72" s="125"/>
    </row>
    <row r="73" spans="1:17" ht="13.5" hidden="1" thickBot="1">
      <c r="A73" s="535" t="s">
        <v>224</v>
      </c>
      <c r="B73" s="108" t="s">
        <v>84</v>
      </c>
      <c r="C73" s="538"/>
      <c r="D73" s="539"/>
      <c r="E73" s="539"/>
      <c r="F73" s="539"/>
      <c r="G73" s="539"/>
      <c r="H73" s="539"/>
      <c r="I73" s="539"/>
      <c r="J73" s="539"/>
      <c r="K73" s="109"/>
      <c r="L73" s="109"/>
      <c r="M73" s="109"/>
      <c r="N73" s="109"/>
      <c r="O73" s="109"/>
      <c r="P73" s="109"/>
      <c r="Q73" s="110"/>
    </row>
    <row r="74" spans="1:17" ht="13.5" hidden="1" thickBot="1">
      <c r="A74" s="536"/>
      <c r="B74" s="111" t="s">
        <v>85</v>
      </c>
      <c r="C74" s="540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2"/>
    </row>
    <row r="75" spans="1:17" ht="13.5" hidden="1" thickBot="1">
      <c r="A75" s="536"/>
      <c r="B75" s="111" t="s">
        <v>86</v>
      </c>
      <c r="C75" s="540"/>
      <c r="D75" s="541"/>
      <c r="E75" s="541"/>
      <c r="F75" s="541"/>
      <c r="G75" s="541"/>
      <c r="H75" s="541"/>
      <c r="I75" s="541"/>
      <c r="J75" s="541"/>
      <c r="K75" s="541"/>
      <c r="L75" s="114"/>
      <c r="M75" s="114"/>
      <c r="N75" s="114"/>
      <c r="O75" s="114"/>
      <c r="P75" s="114"/>
      <c r="Q75" s="115"/>
    </row>
    <row r="76" spans="1:17" ht="13.5" hidden="1" thickBot="1">
      <c r="A76" s="536"/>
      <c r="B76" s="116" t="s">
        <v>87</v>
      </c>
      <c r="C76" s="127"/>
      <c r="D76" s="128"/>
      <c r="E76" s="128"/>
      <c r="F76" s="128"/>
      <c r="G76" s="128"/>
      <c r="H76" s="128"/>
      <c r="I76" s="128"/>
      <c r="J76" s="128"/>
      <c r="K76" s="114"/>
      <c r="L76" s="114"/>
      <c r="M76" s="114"/>
      <c r="N76" s="114"/>
      <c r="O76" s="114"/>
      <c r="P76" s="114"/>
      <c r="Q76" s="115"/>
    </row>
    <row r="77" spans="1:17" ht="13.5" hidden="1" thickBot="1">
      <c r="A77" s="536"/>
      <c r="B77" s="117" t="s">
        <v>88</v>
      </c>
      <c r="C77" s="543"/>
      <c r="D77" s="544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</row>
    <row r="78" spans="1:17" ht="13.5" hidden="1" thickBot="1">
      <c r="A78" s="536"/>
      <c r="B78" s="108" t="s">
        <v>157</v>
      </c>
      <c r="C78" s="545"/>
      <c r="D78" s="546"/>
      <c r="E78" s="120"/>
      <c r="F78" s="120"/>
      <c r="G78" s="120"/>
      <c r="H78" s="121"/>
      <c r="I78" s="121"/>
      <c r="J78" s="121"/>
      <c r="K78" s="121"/>
      <c r="L78" s="121"/>
      <c r="M78" s="121"/>
      <c r="N78" s="121"/>
      <c r="O78" s="121"/>
      <c r="P78" s="121"/>
      <c r="Q78" s="122"/>
    </row>
    <row r="79" spans="1:17" ht="13.5" hidden="1" thickBot="1">
      <c r="A79" s="536"/>
      <c r="B79" s="111" t="s">
        <v>137</v>
      </c>
      <c r="C79" s="540"/>
      <c r="D79" s="547"/>
      <c r="E79" s="120"/>
      <c r="F79" s="123"/>
      <c r="G79" s="120"/>
      <c r="H79" s="121"/>
      <c r="I79" s="121"/>
      <c r="J79" s="124"/>
      <c r="K79" s="124"/>
      <c r="L79" s="124"/>
      <c r="M79" s="121"/>
      <c r="N79" s="124"/>
      <c r="O79" s="124"/>
      <c r="P79" s="124"/>
      <c r="Q79" s="125"/>
    </row>
    <row r="80" spans="1:17" ht="13.5" hidden="1" thickBot="1">
      <c r="A80" s="536"/>
      <c r="B80" s="126" t="s">
        <v>138</v>
      </c>
      <c r="C80" s="540"/>
      <c r="D80" s="547"/>
      <c r="E80" s="123"/>
      <c r="F80" s="123"/>
      <c r="G80" s="123"/>
      <c r="H80" s="124"/>
      <c r="I80" s="124"/>
      <c r="J80" s="124"/>
      <c r="K80" s="124"/>
      <c r="L80" s="124"/>
      <c r="M80" s="124"/>
      <c r="N80" s="124"/>
      <c r="O80" s="124"/>
      <c r="P80" s="124"/>
      <c r="Q80" s="125"/>
    </row>
    <row r="81" spans="1:17" ht="13.5" hidden="1" thickBot="1">
      <c r="A81" s="535" t="s">
        <v>225</v>
      </c>
      <c r="B81" s="108" t="s">
        <v>84</v>
      </c>
      <c r="C81" s="538"/>
      <c r="D81" s="539"/>
      <c r="E81" s="539"/>
      <c r="F81" s="539"/>
      <c r="G81" s="539"/>
      <c r="H81" s="539"/>
      <c r="I81" s="539"/>
      <c r="J81" s="539"/>
      <c r="K81" s="109"/>
      <c r="L81" s="109"/>
      <c r="M81" s="109"/>
      <c r="N81" s="109"/>
      <c r="O81" s="109"/>
      <c r="P81" s="109"/>
      <c r="Q81" s="110"/>
    </row>
    <row r="82" spans="1:17" ht="13.5" hidden="1" thickBot="1">
      <c r="A82" s="536"/>
      <c r="B82" s="111" t="s">
        <v>85</v>
      </c>
      <c r="C82" s="540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  <c r="O82" s="541"/>
      <c r="P82" s="541"/>
      <c r="Q82" s="542"/>
    </row>
    <row r="83" spans="1:17" ht="13.5" hidden="1" thickBot="1">
      <c r="A83" s="536"/>
      <c r="B83" s="111" t="s">
        <v>86</v>
      </c>
      <c r="C83" s="540"/>
      <c r="D83" s="541"/>
      <c r="E83" s="541"/>
      <c r="F83" s="541"/>
      <c r="G83" s="541"/>
      <c r="H83" s="541"/>
      <c r="I83" s="541"/>
      <c r="J83" s="541"/>
      <c r="K83" s="541"/>
      <c r="L83" s="114"/>
      <c r="M83" s="114"/>
      <c r="N83" s="114"/>
      <c r="O83" s="114"/>
      <c r="P83" s="114"/>
      <c r="Q83" s="115"/>
    </row>
    <row r="84" spans="1:17" ht="13.5" hidden="1" thickBot="1">
      <c r="A84" s="536"/>
      <c r="B84" s="116" t="s">
        <v>87</v>
      </c>
      <c r="C84" s="127"/>
      <c r="D84" s="128"/>
      <c r="E84" s="128"/>
      <c r="F84" s="128"/>
      <c r="G84" s="128"/>
      <c r="H84" s="128"/>
      <c r="I84" s="128"/>
      <c r="J84" s="128"/>
      <c r="K84" s="114"/>
      <c r="L84" s="114"/>
      <c r="M84" s="114"/>
      <c r="N84" s="114"/>
      <c r="O84" s="114"/>
      <c r="P84" s="114"/>
      <c r="Q84" s="115"/>
    </row>
    <row r="85" spans="1:17" ht="13.5" hidden="1" thickBot="1">
      <c r="A85" s="536"/>
      <c r="B85" s="117" t="s">
        <v>88</v>
      </c>
      <c r="C85" s="543"/>
      <c r="D85" s="544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9"/>
    </row>
    <row r="86" spans="1:17" ht="13.5" hidden="1" thickBot="1">
      <c r="A86" s="536"/>
      <c r="B86" s="108" t="s">
        <v>157</v>
      </c>
      <c r="C86" s="545"/>
      <c r="D86" s="546"/>
      <c r="E86" s="120"/>
      <c r="F86" s="120"/>
      <c r="G86" s="120"/>
      <c r="H86" s="121"/>
      <c r="I86" s="121"/>
      <c r="J86" s="121"/>
      <c r="K86" s="121"/>
      <c r="L86" s="121"/>
      <c r="M86" s="121"/>
      <c r="N86" s="121"/>
      <c r="O86" s="121"/>
      <c r="P86" s="121"/>
      <c r="Q86" s="122"/>
    </row>
    <row r="87" spans="1:17" ht="13.5" hidden="1" thickBot="1">
      <c r="A87" s="536"/>
      <c r="B87" s="111" t="s">
        <v>137</v>
      </c>
      <c r="C87" s="540"/>
      <c r="D87" s="547"/>
      <c r="E87" s="120"/>
      <c r="F87" s="123"/>
      <c r="G87" s="120"/>
      <c r="H87" s="121"/>
      <c r="I87" s="121"/>
      <c r="J87" s="124"/>
      <c r="K87" s="124"/>
      <c r="L87" s="124"/>
      <c r="M87" s="121"/>
      <c r="N87" s="124"/>
      <c r="O87" s="124"/>
      <c r="P87" s="124"/>
      <c r="Q87" s="125"/>
    </row>
    <row r="88" spans="1:17" ht="13.5" hidden="1" thickBot="1">
      <c r="A88" s="536"/>
      <c r="B88" s="126" t="s">
        <v>138</v>
      </c>
      <c r="C88" s="540"/>
      <c r="D88" s="547"/>
      <c r="E88" s="123"/>
      <c r="F88" s="123"/>
      <c r="G88" s="123"/>
      <c r="H88" s="124"/>
      <c r="I88" s="124"/>
      <c r="J88" s="124"/>
      <c r="K88" s="124"/>
      <c r="L88" s="124"/>
      <c r="M88" s="124"/>
      <c r="N88" s="124"/>
      <c r="O88" s="124"/>
      <c r="P88" s="124"/>
      <c r="Q88" s="125"/>
    </row>
    <row r="89" spans="1:17" ht="13.5" hidden="1" thickBot="1">
      <c r="A89" s="535" t="s">
        <v>226</v>
      </c>
      <c r="B89" s="132" t="s">
        <v>84</v>
      </c>
      <c r="C89" s="538"/>
      <c r="D89" s="539"/>
      <c r="E89" s="539"/>
      <c r="F89" s="539"/>
      <c r="G89" s="539"/>
      <c r="H89" s="539"/>
      <c r="I89" s="539"/>
      <c r="J89" s="539"/>
      <c r="K89" s="109"/>
      <c r="L89" s="109"/>
      <c r="M89" s="109"/>
      <c r="N89" s="109"/>
      <c r="O89" s="109"/>
      <c r="P89" s="109"/>
      <c r="Q89" s="110"/>
    </row>
    <row r="90" spans="1:17" ht="13.5" hidden="1" thickBot="1">
      <c r="A90" s="536"/>
      <c r="B90" s="111" t="s">
        <v>85</v>
      </c>
      <c r="C90" s="540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2"/>
    </row>
    <row r="91" spans="1:17" ht="13.5" hidden="1" thickBot="1">
      <c r="A91" s="536"/>
      <c r="B91" s="111" t="s">
        <v>86</v>
      </c>
      <c r="C91" s="540"/>
      <c r="D91" s="541"/>
      <c r="E91" s="541"/>
      <c r="F91" s="541"/>
      <c r="G91" s="541"/>
      <c r="H91" s="541"/>
      <c r="I91" s="541"/>
      <c r="J91" s="541"/>
      <c r="K91" s="541"/>
      <c r="L91" s="114"/>
      <c r="M91" s="114"/>
      <c r="N91" s="114"/>
      <c r="O91" s="114"/>
      <c r="P91" s="114"/>
      <c r="Q91" s="115"/>
    </row>
    <row r="92" spans="1:17" ht="13.5" hidden="1" thickBot="1">
      <c r="A92" s="536"/>
      <c r="B92" s="116" t="s">
        <v>87</v>
      </c>
      <c r="C92" s="127"/>
      <c r="D92" s="128"/>
      <c r="E92" s="128"/>
      <c r="F92" s="128"/>
      <c r="G92" s="128"/>
      <c r="H92" s="128"/>
      <c r="I92" s="128"/>
      <c r="J92" s="128"/>
      <c r="K92" s="114"/>
      <c r="L92" s="114"/>
      <c r="M92" s="114"/>
      <c r="N92" s="114"/>
      <c r="O92" s="114"/>
      <c r="P92" s="114"/>
      <c r="Q92" s="115"/>
    </row>
    <row r="93" spans="1:17" ht="13.5" hidden="1" thickBot="1">
      <c r="A93" s="536"/>
      <c r="B93" s="117" t="s">
        <v>88</v>
      </c>
      <c r="C93" s="543"/>
      <c r="D93" s="544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9"/>
    </row>
    <row r="94" spans="1:17" ht="13.5" hidden="1" thickBot="1">
      <c r="A94" s="536"/>
      <c r="B94" s="108" t="s">
        <v>157</v>
      </c>
      <c r="C94" s="545"/>
      <c r="D94" s="546"/>
      <c r="E94" s="120"/>
      <c r="F94" s="120"/>
      <c r="G94" s="120"/>
      <c r="H94" s="121"/>
      <c r="I94" s="121"/>
      <c r="J94" s="121"/>
      <c r="K94" s="121"/>
      <c r="L94" s="121"/>
      <c r="M94" s="121"/>
      <c r="N94" s="121"/>
      <c r="O94" s="121"/>
      <c r="P94" s="121"/>
      <c r="Q94" s="122"/>
    </row>
    <row r="95" spans="1:17" ht="13.5" hidden="1" thickBot="1">
      <c r="A95" s="536"/>
      <c r="B95" s="111" t="s">
        <v>137</v>
      </c>
      <c r="C95" s="540"/>
      <c r="D95" s="547"/>
      <c r="E95" s="120"/>
      <c r="F95" s="123"/>
      <c r="G95" s="120"/>
      <c r="H95" s="121"/>
      <c r="I95" s="121"/>
      <c r="J95" s="124"/>
      <c r="K95" s="124"/>
      <c r="L95" s="124"/>
      <c r="M95" s="121"/>
      <c r="N95" s="124"/>
      <c r="O95" s="124"/>
      <c r="P95" s="124"/>
      <c r="Q95" s="125"/>
    </row>
    <row r="96" spans="1:17" ht="13.5" hidden="1" thickBot="1">
      <c r="A96" s="537"/>
      <c r="B96" s="126" t="s">
        <v>138</v>
      </c>
      <c r="C96" s="548"/>
      <c r="D96" s="549"/>
      <c r="E96" s="129"/>
      <c r="F96" s="129"/>
      <c r="G96" s="129"/>
      <c r="H96" s="130"/>
      <c r="I96" s="130"/>
      <c r="J96" s="130"/>
      <c r="K96" s="130"/>
      <c r="L96" s="130"/>
      <c r="M96" s="130"/>
      <c r="N96" s="130"/>
      <c r="O96" s="130"/>
      <c r="P96" s="130"/>
      <c r="Q96" s="131"/>
    </row>
    <row r="97" spans="1:17" ht="13.5" hidden="1" thickBot="1">
      <c r="A97" s="564" t="s">
        <v>227</v>
      </c>
      <c r="B97" s="108" t="s">
        <v>84</v>
      </c>
      <c r="C97" s="390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4"/>
    </row>
    <row r="98" spans="1:17" ht="13.5" hidden="1" thickBot="1">
      <c r="A98" s="565"/>
      <c r="B98" s="111" t="s">
        <v>85</v>
      </c>
      <c r="C98" s="390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4"/>
    </row>
    <row r="99" spans="1:17" ht="13.5" hidden="1" thickBot="1">
      <c r="A99" s="565"/>
      <c r="B99" s="111" t="s">
        <v>86</v>
      </c>
      <c r="C99" s="390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4"/>
    </row>
    <row r="100" spans="1:17" ht="13.5" hidden="1" thickBot="1">
      <c r="A100" s="565"/>
      <c r="B100" s="116" t="s">
        <v>87</v>
      </c>
      <c r="C100" s="390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4"/>
    </row>
    <row r="101" spans="1:17" ht="13.5" hidden="1" thickBot="1">
      <c r="A101" s="565"/>
      <c r="B101" s="117" t="s">
        <v>88</v>
      </c>
      <c r="C101" s="553"/>
      <c r="D101" s="544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</row>
    <row r="102" spans="1:17" ht="13.5" hidden="1" thickBot="1">
      <c r="A102" s="565"/>
      <c r="B102" s="133" t="s">
        <v>157</v>
      </c>
      <c r="C102" s="545"/>
      <c r="D102" s="546"/>
      <c r="E102" s="134"/>
      <c r="F102" s="134"/>
      <c r="G102" s="134"/>
      <c r="H102" s="135"/>
      <c r="I102" s="135"/>
      <c r="J102" s="135"/>
      <c r="K102" s="135"/>
      <c r="L102" s="135"/>
      <c r="M102" s="135"/>
      <c r="N102" s="135"/>
      <c r="O102" s="135"/>
      <c r="P102" s="135"/>
      <c r="Q102" s="136"/>
    </row>
    <row r="103" spans="1:17" ht="13.5" hidden="1" thickBot="1">
      <c r="A103" s="565"/>
      <c r="B103" s="111" t="s">
        <v>137</v>
      </c>
      <c r="C103" s="540"/>
      <c r="D103" s="547"/>
      <c r="E103" s="120"/>
      <c r="F103" s="123"/>
      <c r="G103" s="120"/>
      <c r="H103" s="121"/>
      <c r="I103" s="121"/>
      <c r="J103" s="124"/>
      <c r="K103" s="124"/>
      <c r="L103" s="124"/>
      <c r="M103" s="121"/>
      <c r="N103" s="124"/>
      <c r="O103" s="124"/>
      <c r="P103" s="124"/>
      <c r="Q103" s="125"/>
    </row>
    <row r="104" spans="1:17" ht="13.5" hidden="1" thickBot="1">
      <c r="A104" s="566"/>
      <c r="B104" s="126" t="s">
        <v>138</v>
      </c>
      <c r="C104" s="548"/>
      <c r="D104" s="549"/>
      <c r="E104" s="129"/>
      <c r="F104" s="129"/>
      <c r="G104" s="129"/>
      <c r="H104" s="130"/>
      <c r="I104" s="130"/>
      <c r="J104" s="130"/>
      <c r="K104" s="130"/>
      <c r="L104" s="130"/>
      <c r="M104" s="130"/>
      <c r="N104" s="130"/>
      <c r="O104" s="130"/>
      <c r="P104" s="130"/>
      <c r="Q104" s="131"/>
    </row>
    <row r="105" spans="1:17" ht="13.5" hidden="1" thickBot="1">
      <c r="A105" s="564" t="s">
        <v>228</v>
      </c>
      <c r="B105" s="132" t="s">
        <v>84</v>
      </c>
      <c r="C105" s="391"/>
      <c r="D105" s="392"/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137"/>
    </row>
    <row r="106" spans="1:17" ht="13.5" hidden="1" thickBot="1">
      <c r="A106" s="565"/>
      <c r="B106" s="111" t="s">
        <v>85</v>
      </c>
      <c r="C106" s="390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4"/>
    </row>
    <row r="107" spans="1:17" ht="13.5" hidden="1" thickBot="1">
      <c r="A107" s="565"/>
      <c r="B107" s="111" t="s">
        <v>86</v>
      </c>
      <c r="C107" s="390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4"/>
    </row>
    <row r="108" spans="1:17" ht="13.5" hidden="1" thickBot="1">
      <c r="A108" s="565"/>
      <c r="B108" s="116" t="s">
        <v>87</v>
      </c>
      <c r="C108" s="390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4"/>
    </row>
    <row r="109" spans="1:17" ht="13.5" hidden="1" thickBot="1">
      <c r="A109" s="565"/>
      <c r="B109" s="117" t="s">
        <v>88</v>
      </c>
      <c r="C109" s="553"/>
      <c r="D109" s="544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9"/>
    </row>
    <row r="110" spans="1:17" ht="13.5" hidden="1" thickBot="1">
      <c r="A110" s="565"/>
      <c r="B110" s="108" t="s">
        <v>157</v>
      </c>
      <c r="C110" s="545"/>
      <c r="D110" s="546"/>
      <c r="E110" s="120"/>
      <c r="F110" s="120"/>
      <c r="G110" s="120"/>
      <c r="H110" s="121"/>
      <c r="I110" s="121"/>
      <c r="J110" s="121"/>
      <c r="K110" s="121"/>
      <c r="L110" s="121"/>
      <c r="M110" s="121"/>
      <c r="N110" s="121"/>
      <c r="O110" s="121"/>
      <c r="P110" s="121"/>
      <c r="Q110" s="122"/>
    </row>
    <row r="111" spans="1:17" ht="13.5" hidden="1" thickBot="1">
      <c r="A111" s="565"/>
      <c r="B111" s="111" t="s">
        <v>137</v>
      </c>
      <c r="C111" s="540"/>
      <c r="D111" s="547"/>
      <c r="E111" s="120"/>
      <c r="F111" s="123"/>
      <c r="G111" s="120"/>
      <c r="H111" s="121"/>
      <c r="I111" s="121"/>
      <c r="J111" s="124"/>
      <c r="K111" s="124"/>
      <c r="L111" s="124"/>
      <c r="M111" s="121"/>
      <c r="N111" s="124"/>
      <c r="O111" s="124"/>
      <c r="P111" s="124"/>
      <c r="Q111" s="125"/>
    </row>
    <row r="112" spans="1:17" ht="13.5" hidden="1" thickBot="1">
      <c r="A112" s="566"/>
      <c r="B112" s="126" t="s">
        <v>138</v>
      </c>
      <c r="C112" s="548"/>
      <c r="D112" s="549"/>
      <c r="E112" s="129"/>
      <c r="F112" s="129"/>
      <c r="G112" s="129"/>
      <c r="H112" s="130"/>
      <c r="I112" s="130"/>
      <c r="J112" s="130"/>
      <c r="K112" s="130"/>
      <c r="L112" s="130"/>
      <c r="M112" s="130"/>
      <c r="N112" s="130"/>
      <c r="O112" s="130"/>
      <c r="P112" s="130"/>
      <c r="Q112" s="131"/>
    </row>
    <row r="113" spans="1:17" ht="13.5" hidden="1" thickBot="1">
      <c r="A113" s="564" t="s">
        <v>229</v>
      </c>
      <c r="B113" s="132" t="s">
        <v>84</v>
      </c>
      <c r="C113" s="391"/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137"/>
    </row>
    <row r="114" spans="1:17" ht="13.5" hidden="1" thickBot="1">
      <c r="A114" s="565"/>
      <c r="B114" s="111" t="s">
        <v>85</v>
      </c>
      <c r="C114" s="540"/>
      <c r="D114" s="541"/>
      <c r="E114" s="541"/>
      <c r="F114" s="541"/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  <c r="Q114" s="542"/>
    </row>
    <row r="115" spans="1:17" ht="13.5" hidden="1" thickBot="1">
      <c r="A115" s="565"/>
      <c r="B115" s="111" t="s">
        <v>86</v>
      </c>
      <c r="C115" s="390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4"/>
    </row>
    <row r="116" spans="1:17" ht="13.5" hidden="1" thickBot="1">
      <c r="A116" s="565"/>
      <c r="B116" s="116" t="s">
        <v>87</v>
      </c>
      <c r="C116" s="390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4"/>
    </row>
    <row r="117" spans="1:17" ht="13.5" hidden="1" thickBot="1">
      <c r="A117" s="565"/>
      <c r="B117" s="117" t="s">
        <v>88</v>
      </c>
      <c r="C117" s="553"/>
      <c r="D117" s="544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9"/>
    </row>
    <row r="118" spans="1:17" ht="13.5" hidden="1" thickBot="1">
      <c r="A118" s="565"/>
      <c r="B118" s="108" t="s">
        <v>157</v>
      </c>
      <c r="C118" s="545"/>
      <c r="D118" s="546"/>
      <c r="E118" s="120"/>
      <c r="F118" s="120"/>
      <c r="G118" s="120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</row>
    <row r="119" spans="1:17" ht="13.5" hidden="1" thickBot="1">
      <c r="A119" s="565"/>
      <c r="B119" s="111" t="s">
        <v>137</v>
      </c>
      <c r="C119" s="540"/>
      <c r="D119" s="547"/>
      <c r="E119" s="120"/>
      <c r="F119" s="123"/>
      <c r="G119" s="120"/>
      <c r="H119" s="121"/>
      <c r="I119" s="121"/>
      <c r="J119" s="124"/>
      <c r="K119" s="124"/>
      <c r="L119" s="124"/>
      <c r="M119" s="121"/>
      <c r="N119" s="124"/>
      <c r="O119" s="124"/>
      <c r="P119" s="124"/>
      <c r="Q119" s="125"/>
    </row>
    <row r="120" spans="1:17" ht="13.5" hidden="1" thickBot="1">
      <c r="A120" s="566"/>
      <c r="B120" s="126" t="s">
        <v>138</v>
      </c>
      <c r="C120" s="548"/>
      <c r="D120" s="549"/>
      <c r="E120" s="129"/>
      <c r="F120" s="129"/>
      <c r="G120" s="129"/>
      <c r="H120" s="130"/>
      <c r="I120" s="130"/>
      <c r="J120" s="130"/>
      <c r="K120" s="130"/>
      <c r="L120" s="130"/>
      <c r="M120" s="130"/>
      <c r="N120" s="130"/>
      <c r="O120" s="130"/>
      <c r="P120" s="130"/>
      <c r="Q120" s="131"/>
    </row>
    <row r="121" spans="1:17" ht="13.5" hidden="1" thickBot="1">
      <c r="A121" s="564" t="s">
        <v>230</v>
      </c>
      <c r="B121" s="132" t="s">
        <v>84</v>
      </c>
      <c r="C121" s="391"/>
      <c r="D121" s="392"/>
      <c r="E121" s="392"/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137"/>
    </row>
    <row r="122" spans="1:17" ht="13.5" hidden="1" thickBot="1">
      <c r="A122" s="565"/>
      <c r="B122" s="111" t="s">
        <v>85</v>
      </c>
      <c r="C122" s="540"/>
      <c r="D122" s="541"/>
      <c r="E122" s="541"/>
      <c r="F122" s="541"/>
      <c r="G122" s="541"/>
      <c r="H122" s="541"/>
      <c r="I122" s="541"/>
      <c r="J122" s="541"/>
      <c r="K122" s="541"/>
      <c r="L122" s="541"/>
      <c r="M122" s="541"/>
      <c r="N122" s="541"/>
      <c r="O122" s="541"/>
      <c r="P122" s="541"/>
      <c r="Q122" s="542"/>
    </row>
    <row r="123" spans="1:17" ht="13.5" hidden="1" thickBot="1">
      <c r="A123" s="565"/>
      <c r="B123" s="111" t="s">
        <v>86</v>
      </c>
      <c r="C123" s="390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4"/>
    </row>
    <row r="124" spans="1:17" ht="13.5" hidden="1" thickBot="1">
      <c r="A124" s="565"/>
      <c r="B124" s="116" t="s">
        <v>87</v>
      </c>
      <c r="C124" s="390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4"/>
    </row>
    <row r="125" spans="1:17" ht="13.5" hidden="1" thickBot="1">
      <c r="A125" s="565"/>
      <c r="B125" s="117" t="s">
        <v>88</v>
      </c>
      <c r="C125" s="553"/>
      <c r="D125" s="544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9"/>
    </row>
    <row r="126" spans="1:17" ht="13.5" hidden="1" thickBot="1">
      <c r="A126" s="565"/>
      <c r="B126" s="108" t="s">
        <v>157</v>
      </c>
      <c r="C126" s="545"/>
      <c r="D126" s="546"/>
      <c r="E126" s="120"/>
      <c r="F126" s="120"/>
      <c r="G126" s="120"/>
      <c r="H126" s="121"/>
      <c r="I126" s="121"/>
      <c r="J126" s="121"/>
      <c r="K126" s="121"/>
      <c r="L126" s="121"/>
      <c r="M126" s="121"/>
      <c r="N126" s="121"/>
      <c r="O126" s="121"/>
      <c r="P126" s="121"/>
      <c r="Q126" s="122"/>
    </row>
    <row r="127" spans="1:17" ht="13.5" hidden="1" thickBot="1">
      <c r="A127" s="565"/>
      <c r="B127" s="111" t="s">
        <v>137</v>
      </c>
      <c r="C127" s="540"/>
      <c r="D127" s="547"/>
      <c r="E127" s="120"/>
      <c r="F127" s="123"/>
      <c r="G127" s="120"/>
      <c r="H127" s="121"/>
      <c r="I127" s="121"/>
      <c r="J127" s="124"/>
      <c r="K127" s="124"/>
      <c r="L127" s="124"/>
      <c r="M127" s="121"/>
      <c r="N127" s="124"/>
      <c r="O127" s="124"/>
      <c r="P127" s="124"/>
      <c r="Q127" s="125"/>
    </row>
    <row r="128" spans="1:17" ht="13.5" hidden="1" thickBot="1">
      <c r="A128" s="566"/>
      <c r="B128" s="126" t="s">
        <v>138</v>
      </c>
      <c r="C128" s="548"/>
      <c r="D128" s="549"/>
      <c r="E128" s="129"/>
      <c r="F128" s="129"/>
      <c r="G128" s="129"/>
      <c r="H128" s="130"/>
      <c r="I128" s="130"/>
      <c r="J128" s="130"/>
      <c r="K128" s="130"/>
      <c r="L128" s="130"/>
      <c r="M128" s="130"/>
      <c r="N128" s="130"/>
      <c r="O128" s="130"/>
      <c r="P128" s="130"/>
      <c r="Q128" s="131"/>
    </row>
    <row r="129" spans="1:17" ht="13.5" hidden="1" thickBot="1">
      <c r="A129" s="564" t="s">
        <v>231</v>
      </c>
      <c r="B129" s="132" t="s">
        <v>84</v>
      </c>
      <c r="C129" s="391"/>
      <c r="D129" s="392"/>
      <c r="E129" s="392"/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137"/>
    </row>
    <row r="130" spans="1:17" ht="13.5" hidden="1" thickBot="1">
      <c r="A130" s="565"/>
      <c r="B130" s="111" t="s">
        <v>85</v>
      </c>
      <c r="C130" s="540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2"/>
    </row>
    <row r="131" spans="1:17" ht="13.5" hidden="1" thickBot="1">
      <c r="A131" s="565"/>
      <c r="B131" s="111" t="s">
        <v>86</v>
      </c>
      <c r="C131" s="390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4"/>
    </row>
    <row r="132" spans="1:17" ht="13.5" hidden="1" thickBot="1">
      <c r="A132" s="565"/>
      <c r="B132" s="116" t="s">
        <v>219</v>
      </c>
      <c r="C132" s="390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4"/>
    </row>
    <row r="133" spans="1:17" ht="13.5" hidden="1" thickBot="1">
      <c r="A133" s="565"/>
      <c r="B133" s="116" t="s">
        <v>87</v>
      </c>
      <c r="C133" s="390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4"/>
    </row>
    <row r="134" spans="1:17" ht="13.5" hidden="1" thickBot="1">
      <c r="A134" s="565"/>
      <c r="B134" s="117" t="s">
        <v>88</v>
      </c>
      <c r="C134" s="553"/>
      <c r="D134" s="544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9"/>
    </row>
    <row r="135" spans="1:17" ht="13.5" hidden="1" thickBot="1">
      <c r="A135" s="565"/>
      <c r="B135" s="108" t="s">
        <v>157</v>
      </c>
      <c r="C135" s="545"/>
      <c r="D135" s="546"/>
      <c r="E135" s="120"/>
      <c r="F135" s="120"/>
      <c r="G135" s="120"/>
      <c r="H135" s="121"/>
      <c r="I135" s="121"/>
      <c r="J135" s="121"/>
      <c r="K135" s="121"/>
      <c r="L135" s="121"/>
      <c r="M135" s="121"/>
      <c r="N135" s="121"/>
      <c r="O135" s="121"/>
      <c r="P135" s="121"/>
      <c r="Q135" s="122"/>
    </row>
    <row r="136" spans="1:17" ht="13.5" hidden="1" thickBot="1">
      <c r="A136" s="565"/>
      <c r="B136" s="111" t="s">
        <v>137</v>
      </c>
      <c r="C136" s="540"/>
      <c r="D136" s="547"/>
      <c r="E136" s="120"/>
      <c r="F136" s="123"/>
      <c r="G136" s="120"/>
      <c r="H136" s="121"/>
      <c r="I136" s="121"/>
      <c r="J136" s="124"/>
      <c r="K136" s="124"/>
      <c r="L136" s="124"/>
      <c r="M136" s="121"/>
      <c r="N136" s="124"/>
      <c r="O136" s="124"/>
      <c r="P136" s="124"/>
      <c r="Q136" s="125"/>
    </row>
    <row r="137" spans="1:17" ht="13.5" hidden="1" thickBot="1">
      <c r="A137" s="566"/>
      <c r="B137" s="126" t="s">
        <v>138</v>
      </c>
      <c r="C137" s="548"/>
      <c r="D137" s="549"/>
      <c r="E137" s="129"/>
      <c r="F137" s="129"/>
      <c r="G137" s="129"/>
      <c r="H137" s="130"/>
      <c r="I137" s="130"/>
      <c r="J137" s="130"/>
      <c r="K137" s="130"/>
      <c r="L137" s="130"/>
      <c r="M137" s="130"/>
      <c r="N137" s="130"/>
      <c r="O137" s="130"/>
      <c r="P137" s="130"/>
      <c r="Q137" s="131"/>
    </row>
    <row r="138" spans="1:17" ht="12.75">
      <c r="A138" s="535" t="s">
        <v>221</v>
      </c>
      <c r="B138" s="108" t="s">
        <v>84</v>
      </c>
      <c r="C138" s="538" t="s">
        <v>210</v>
      </c>
      <c r="D138" s="539"/>
      <c r="E138" s="539"/>
      <c r="F138" s="539"/>
      <c r="G138" s="539"/>
      <c r="H138" s="539"/>
      <c r="I138" s="539"/>
      <c r="J138" s="539"/>
      <c r="K138" s="109"/>
      <c r="L138" s="109"/>
      <c r="M138" s="109"/>
      <c r="N138" s="109"/>
      <c r="O138" s="109"/>
      <c r="P138" s="109"/>
      <c r="Q138" s="110"/>
    </row>
    <row r="139" spans="1:17" ht="12.75">
      <c r="A139" s="536"/>
      <c r="B139" s="111" t="s">
        <v>85</v>
      </c>
      <c r="C139" s="540" t="s">
        <v>211</v>
      </c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2"/>
    </row>
    <row r="140" spans="1:17" ht="12.75">
      <c r="A140" s="536"/>
      <c r="B140" s="111" t="s">
        <v>86</v>
      </c>
      <c r="C140" s="540" t="s">
        <v>232</v>
      </c>
      <c r="D140" s="541"/>
      <c r="E140" s="541"/>
      <c r="F140" s="541"/>
      <c r="G140" s="541"/>
      <c r="H140" s="541"/>
      <c r="I140" s="541"/>
      <c r="J140" s="541"/>
      <c r="K140" s="541"/>
      <c r="L140" s="114"/>
      <c r="M140" s="114"/>
      <c r="N140" s="114"/>
      <c r="O140" s="114"/>
      <c r="P140" s="114"/>
      <c r="Q140" s="115"/>
    </row>
    <row r="141" spans="1:17" ht="12.75">
      <c r="A141" s="536"/>
      <c r="B141" s="116" t="s">
        <v>219</v>
      </c>
      <c r="C141" s="390"/>
      <c r="D141" s="393"/>
      <c r="E141" s="393"/>
      <c r="F141" s="393"/>
      <c r="G141" s="393"/>
      <c r="H141" s="393"/>
      <c r="I141" s="393"/>
      <c r="J141" s="393"/>
      <c r="K141" s="393"/>
      <c r="L141" s="114"/>
      <c r="M141" s="114"/>
      <c r="N141" s="114"/>
      <c r="O141" s="114"/>
      <c r="P141" s="114"/>
      <c r="Q141" s="115"/>
    </row>
    <row r="142" spans="1:17" ht="12.75">
      <c r="A142" s="536"/>
      <c r="B142" s="116" t="s">
        <v>87</v>
      </c>
      <c r="C142" s="127" t="s">
        <v>233</v>
      </c>
      <c r="D142" s="128"/>
      <c r="E142" s="128"/>
      <c r="F142" s="128"/>
      <c r="G142" s="128"/>
      <c r="H142" s="128"/>
      <c r="I142" s="128"/>
      <c r="J142" s="128"/>
      <c r="K142" s="114"/>
      <c r="L142" s="114"/>
      <c r="M142" s="114"/>
      <c r="N142" s="114"/>
      <c r="O142" s="114"/>
      <c r="P142" s="114"/>
      <c r="Q142" s="115"/>
    </row>
    <row r="143" spans="1:17" ht="12.75">
      <c r="A143" s="536"/>
      <c r="B143" s="117" t="s">
        <v>88</v>
      </c>
      <c r="C143" s="543"/>
      <c r="D143" s="544"/>
      <c r="E143" s="118">
        <v>48839</v>
      </c>
      <c r="F143" s="118">
        <v>7326</v>
      </c>
      <c r="G143" s="118">
        <v>41513</v>
      </c>
      <c r="H143" s="118">
        <f aca="true" t="shared" si="5" ref="H143:Q143">H144</f>
        <v>13857</v>
      </c>
      <c r="I143" s="118">
        <f t="shared" si="5"/>
        <v>2079</v>
      </c>
      <c r="J143" s="118">
        <f t="shared" si="5"/>
        <v>0</v>
      </c>
      <c r="K143" s="118">
        <f t="shared" si="5"/>
        <v>0</v>
      </c>
      <c r="L143" s="118">
        <f t="shared" si="5"/>
        <v>2079</v>
      </c>
      <c r="M143" s="118">
        <f t="shared" si="5"/>
        <v>11778</v>
      </c>
      <c r="N143" s="118">
        <f t="shared" si="5"/>
        <v>0</v>
      </c>
      <c r="O143" s="118">
        <f t="shared" si="5"/>
        <v>0</v>
      </c>
      <c r="P143" s="118">
        <f t="shared" si="5"/>
        <v>0</v>
      </c>
      <c r="Q143" s="119">
        <f t="shared" si="5"/>
        <v>11778</v>
      </c>
    </row>
    <row r="144" spans="1:17" ht="12.75">
      <c r="A144" s="536"/>
      <c r="B144" s="108" t="s">
        <v>214</v>
      </c>
      <c r="C144" s="545"/>
      <c r="D144" s="546"/>
      <c r="E144" s="120">
        <f>F144+G144</f>
        <v>13857</v>
      </c>
      <c r="F144" s="120">
        <f>I144</f>
        <v>2079</v>
      </c>
      <c r="G144" s="120">
        <f>M144</f>
        <v>11778</v>
      </c>
      <c r="H144" s="121">
        <f>I144+M144</f>
        <v>13857</v>
      </c>
      <c r="I144" s="121">
        <f>SUM(J144:L144)</f>
        <v>2079</v>
      </c>
      <c r="J144" s="121"/>
      <c r="K144" s="121"/>
      <c r="L144" s="121">
        <v>2079</v>
      </c>
      <c r="M144" s="121">
        <f>SUM(N144:Q144)</f>
        <v>11778</v>
      </c>
      <c r="N144" s="121"/>
      <c r="O144" s="121"/>
      <c r="P144" s="121"/>
      <c r="Q144" s="122">
        <v>11778</v>
      </c>
    </row>
    <row r="145" spans="1:17" ht="12.75">
      <c r="A145" s="536"/>
      <c r="B145" s="111" t="s">
        <v>138</v>
      </c>
      <c r="C145" s="540"/>
      <c r="D145" s="547"/>
      <c r="E145" s="120"/>
      <c r="F145" s="123"/>
      <c r="G145" s="120"/>
      <c r="H145" s="121"/>
      <c r="I145" s="121"/>
      <c r="J145" s="124"/>
      <c r="K145" s="124"/>
      <c r="L145" s="124"/>
      <c r="M145" s="121"/>
      <c r="N145" s="124"/>
      <c r="O145" s="124"/>
      <c r="P145" s="124"/>
      <c r="Q145" s="125"/>
    </row>
    <row r="146" spans="1:17" ht="13.5" thickBot="1">
      <c r="A146" s="537"/>
      <c r="B146" s="126" t="s">
        <v>158</v>
      </c>
      <c r="C146" s="548"/>
      <c r="D146" s="549"/>
      <c r="E146" s="129"/>
      <c r="F146" s="129"/>
      <c r="G146" s="129"/>
      <c r="H146" s="130"/>
      <c r="I146" s="130"/>
      <c r="J146" s="130"/>
      <c r="K146" s="130"/>
      <c r="L146" s="130"/>
      <c r="M146" s="130"/>
      <c r="N146" s="130"/>
      <c r="O146" s="130"/>
      <c r="P146" s="130"/>
      <c r="Q146" s="131"/>
    </row>
    <row r="147" spans="1:17" ht="12.75">
      <c r="A147" s="535" t="s">
        <v>222</v>
      </c>
      <c r="B147" s="108" t="s">
        <v>84</v>
      </c>
      <c r="C147" s="538" t="s">
        <v>210</v>
      </c>
      <c r="D147" s="539"/>
      <c r="E147" s="539"/>
      <c r="F147" s="539"/>
      <c r="G147" s="539"/>
      <c r="H147" s="539"/>
      <c r="I147" s="539"/>
      <c r="J147" s="539"/>
      <c r="K147" s="109"/>
      <c r="L147" s="109"/>
      <c r="M147" s="109"/>
      <c r="N147" s="109"/>
      <c r="O147" s="109"/>
      <c r="P147" s="109"/>
      <c r="Q147" s="110"/>
    </row>
    <row r="148" spans="1:17" ht="12.75">
      <c r="A148" s="536"/>
      <c r="B148" s="111" t="s">
        <v>85</v>
      </c>
      <c r="C148" s="540" t="s">
        <v>211</v>
      </c>
      <c r="D148" s="541"/>
      <c r="E148" s="541"/>
      <c r="F148" s="541"/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  <c r="Q148" s="542"/>
    </row>
    <row r="149" spans="1:17" ht="12.75">
      <c r="A149" s="536"/>
      <c r="B149" s="111" t="s">
        <v>86</v>
      </c>
      <c r="C149" s="540" t="s">
        <v>232</v>
      </c>
      <c r="D149" s="541"/>
      <c r="E149" s="541"/>
      <c r="F149" s="541"/>
      <c r="G149" s="541"/>
      <c r="H149" s="541"/>
      <c r="I149" s="541"/>
      <c r="J149" s="541"/>
      <c r="K149" s="541"/>
      <c r="L149" s="114"/>
      <c r="M149" s="114"/>
      <c r="N149" s="114"/>
      <c r="O149" s="114"/>
      <c r="P149" s="114"/>
      <c r="Q149" s="115"/>
    </row>
    <row r="150" spans="1:17" ht="12.75">
      <c r="A150" s="536"/>
      <c r="B150" s="116" t="s">
        <v>219</v>
      </c>
      <c r="C150" s="390"/>
      <c r="D150" s="393"/>
      <c r="E150" s="393"/>
      <c r="F150" s="393"/>
      <c r="G150" s="393"/>
      <c r="H150" s="393"/>
      <c r="I150" s="393"/>
      <c r="J150" s="393"/>
      <c r="K150" s="393"/>
      <c r="L150" s="114"/>
      <c r="M150" s="114"/>
      <c r="N150" s="114"/>
      <c r="O150" s="114"/>
      <c r="P150" s="114"/>
      <c r="Q150" s="115"/>
    </row>
    <row r="151" spans="1:17" ht="12.75">
      <c r="A151" s="536"/>
      <c r="B151" s="116" t="s">
        <v>87</v>
      </c>
      <c r="C151" s="127" t="s">
        <v>234</v>
      </c>
      <c r="D151" s="128"/>
      <c r="E151" s="128"/>
      <c r="F151" s="128"/>
      <c r="G151" s="128"/>
      <c r="H151" s="128"/>
      <c r="I151" s="128"/>
      <c r="J151" s="128"/>
      <c r="K151" s="114"/>
      <c r="L151" s="114"/>
      <c r="M151" s="114"/>
      <c r="N151" s="114"/>
      <c r="O151" s="114"/>
      <c r="P151" s="114"/>
      <c r="Q151" s="115"/>
    </row>
    <row r="152" spans="1:17" ht="12.75">
      <c r="A152" s="536"/>
      <c r="B152" s="117" t="s">
        <v>88</v>
      </c>
      <c r="C152" s="543"/>
      <c r="D152" s="544"/>
      <c r="E152" s="118">
        <v>49499</v>
      </c>
      <c r="F152" s="118">
        <v>7424</v>
      </c>
      <c r="G152" s="118">
        <v>42075</v>
      </c>
      <c r="H152" s="118">
        <f aca="true" t="shared" si="6" ref="H152:Q152">H153</f>
        <v>15734</v>
      </c>
      <c r="I152" s="118">
        <f t="shared" si="6"/>
        <v>2360</v>
      </c>
      <c r="J152" s="118">
        <f t="shared" si="6"/>
        <v>0</v>
      </c>
      <c r="K152" s="118">
        <f t="shared" si="6"/>
        <v>0</v>
      </c>
      <c r="L152" s="118">
        <f t="shared" si="6"/>
        <v>2360</v>
      </c>
      <c r="M152" s="118">
        <f t="shared" si="6"/>
        <v>13374</v>
      </c>
      <c r="N152" s="118">
        <f t="shared" si="6"/>
        <v>0</v>
      </c>
      <c r="O152" s="118">
        <f t="shared" si="6"/>
        <v>0</v>
      </c>
      <c r="P152" s="118">
        <f t="shared" si="6"/>
        <v>0</v>
      </c>
      <c r="Q152" s="119">
        <f t="shared" si="6"/>
        <v>13374</v>
      </c>
    </row>
    <row r="153" spans="1:17" ht="12.75">
      <c r="A153" s="536"/>
      <c r="B153" s="108" t="s">
        <v>214</v>
      </c>
      <c r="C153" s="545"/>
      <c r="D153" s="546"/>
      <c r="E153" s="120">
        <f>F153+G153</f>
        <v>15734</v>
      </c>
      <c r="F153" s="120">
        <f>I153</f>
        <v>2360</v>
      </c>
      <c r="G153" s="120">
        <f>M153</f>
        <v>13374</v>
      </c>
      <c r="H153" s="121">
        <f>I153+M153</f>
        <v>15734</v>
      </c>
      <c r="I153" s="121">
        <f>SUM(J153:L153)</f>
        <v>2360</v>
      </c>
      <c r="J153" s="121">
        <v>0</v>
      </c>
      <c r="K153" s="121"/>
      <c r="L153" s="121">
        <v>2360</v>
      </c>
      <c r="M153" s="121">
        <f>SUM(N153:Q153)</f>
        <v>13374</v>
      </c>
      <c r="N153" s="121">
        <v>0</v>
      </c>
      <c r="O153" s="121"/>
      <c r="P153" s="121"/>
      <c r="Q153" s="122">
        <v>13374</v>
      </c>
    </row>
    <row r="154" spans="1:17" ht="12.75">
      <c r="A154" s="536"/>
      <c r="B154" s="111" t="s">
        <v>138</v>
      </c>
      <c r="C154" s="540"/>
      <c r="D154" s="547"/>
      <c r="E154" s="120"/>
      <c r="F154" s="123"/>
      <c r="G154" s="120"/>
      <c r="H154" s="121"/>
      <c r="I154" s="121"/>
      <c r="J154" s="124"/>
      <c r="K154" s="124"/>
      <c r="L154" s="124"/>
      <c r="M154" s="121"/>
      <c r="N154" s="124"/>
      <c r="O154" s="124"/>
      <c r="P154" s="124"/>
      <c r="Q154" s="125"/>
    </row>
    <row r="155" spans="1:17" ht="13.5" thickBot="1">
      <c r="A155" s="537"/>
      <c r="B155" s="126" t="s">
        <v>158</v>
      </c>
      <c r="C155" s="548"/>
      <c r="D155" s="549"/>
      <c r="E155" s="129"/>
      <c r="F155" s="129"/>
      <c r="G155" s="129"/>
      <c r="H155" s="130"/>
      <c r="I155" s="130"/>
      <c r="J155" s="130"/>
      <c r="K155" s="130"/>
      <c r="L155" s="130"/>
      <c r="M155" s="130"/>
      <c r="N155" s="130"/>
      <c r="O155" s="130"/>
      <c r="P155" s="130"/>
      <c r="Q155" s="131"/>
    </row>
    <row r="156" spans="1:17" ht="12.75">
      <c r="A156" s="535" t="s">
        <v>223</v>
      </c>
      <c r="B156" s="108" t="s">
        <v>84</v>
      </c>
      <c r="C156" s="538" t="s">
        <v>210</v>
      </c>
      <c r="D156" s="539"/>
      <c r="E156" s="539"/>
      <c r="F156" s="539"/>
      <c r="G156" s="539"/>
      <c r="H156" s="539"/>
      <c r="I156" s="539"/>
      <c r="J156" s="539"/>
      <c r="K156" s="109"/>
      <c r="L156" s="109"/>
      <c r="M156" s="109"/>
      <c r="N156" s="109"/>
      <c r="O156" s="109"/>
      <c r="P156" s="109"/>
      <c r="Q156" s="110"/>
    </row>
    <row r="157" spans="1:17" ht="12.75">
      <c r="A157" s="536"/>
      <c r="B157" s="111" t="s">
        <v>85</v>
      </c>
      <c r="C157" s="540" t="s">
        <v>211</v>
      </c>
      <c r="D157" s="541"/>
      <c r="E157" s="541"/>
      <c r="F157" s="541"/>
      <c r="G157" s="541"/>
      <c r="H157" s="541"/>
      <c r="I157" s="541"/>
      <c r="J157" s="541"/>
      <c r="K157" s="541"/>
      <c r="L157" s="541"/>
      <c r="M157" s="541"/>
      <c r="N157" s="541"/>
      <c r="O157" s="541"/>
      <c r="P157" s="541"/>
      <c r="Q157" s="542"/>
    </row>
    <row r="158" spans="1:17" ht="12.75">
      <c r="A158" s="536"/>
      <c r="B158" s="111" t="s">
        <v>86</v>
      </c>
      <c r="C158" s="540" t="s">
        <v>235</v>
      </c>
      <c r="D158" s="541"/>
      <c r="E158" s="541"/>
      <c r="F158" s="541"/>
      <c r="G158" s="541"/>
      <c r="H158" s="541"/>
      <c r="I158" s="541"/>
      <c r="J158" s="541"/>
      <c r="K158" s="541"/>
      <c r="L158" s="114"/>
      <c r="M158" s="114"/>
      <c r="N158" s="114"/>
      <c r="O158" s="114"/>
      <c r="P158" s="114"/>
      <c r="Q158" s="115"/>
    </row>
    <row r="159" spans="1:17" ht="12.75">
      <c r="A159" s="536"/>
      <c r="B159" s="116" t="s">
        <v>219</v>
      </c>
      <c r="C159" s="390"/>
      <c r="D159" s="393"/>
      <c r="E159" s="393"/>
      <c r="F159" s="393"/>
      <c r="G159" s="393"/>
      <c r="H159" s="393"/>
      <c r="I159" s="393"/>
      <c r="J159" s="393"/>
      <c r="K159" s="393"/>
      <c r="L159" s="114"/>
      <c r="M159" s="114"/>
      <c r="N159" s="114"/>
      <c r="O159" s="114"/>
      <c r="P159" s="114"/>
      <c r="Q159" s="115"/>
    </row>
    <row r="160" spans="1:17" ht="12.75">
      <c r="A160" s="536"/>
      <c r="B160" s="116" t="s">
        <v>87</v>
      </c>
      <c r="C160" s="127" t="s">
        <v>236</v>
      </c>
      <c r="D160" s="128"/>
      <c r="E160" s="128"/>
      <c r="F160" s="128"/>
      <c r="G160" s="128"/>
      <c r="H160" s="128"/>
      <c r="I160" s="128"/>
      <c r="J160" s="128"/>
      <c r="K160" s="114"/>
      <c r="L160" s="114"/>
      <c r="M160" s="114"/>
      <c r="N160" s="114"/>
      <c r="O160" s="114"/>
      <c r="P160" s="114"/>
      <c r="Q160" s="115"/>
    </row>
    <row r="161" spans="1:17" ht="12.75">
      <c r="A161" s="536"/>
      <c r="B161" s="117" t="s">
        <v>88</v>
      </c>
      <c r="C161" s="543"/>
      <c r="D161" s="544"/>
      <c r="E161" s="118">
        <v>201591</v>
      </c>
      <c r="F161" s="118">
        <v>13491</v>
      </c>
      <c r="G161" s="118">
        <v>188100</v>
      </c>
      <c r="H161" s="118">
        <f aca="true" t="shared" si="7" ref="H161:Q161">H162</f>
        <v>111648</v>
      </c>
      <c r="I161" s="118">
        <f t="shared" si="7"/>
        <v>16747</v>
      </c>
      <c r="J161" s="118">
        <f t="shared" si="7"/>
        <v>0</v>
      </c>
      <c r="K161" s="118">
        <f t="shared" si="7"/>
        <v>0</v>
      </c>
      <c r="L161" s="118">
        <f t="shared" si="7"/>
        <v>16747</v>
      </c>
      <c r="M161" s="118">
        <f t="shared" si="7"/>
        <v>94901</v>
      </c>
      <c r="N161" s="118">
        <f t="shared" si="7"/>
        <v>0</v>
      </c>
      <c r="O161" s="118">
        <f t="shared" si="7"/>
        <v>0</v>
      </c>
      <c r="P161" s="118">
        <f t="shared" si="7"/>
        <v>0</v>
      </c>
      <c r="Q161" s="119">
        <f t="shared" si="7"/>
        <v>94901</v>
      </c>
    </row>
    <row r="162" spans="1:17" ht="12.75">
      <c r="A162" s="536"/>
      <c r="B162" s="108" t="s">
        <v>214</v>
      </c>
      <c r="C162" s="545"/>
      <c r="D162" s="546"/>
      <c r="E162" s="120">
        <f>F162+G162</f>
        <v>111648</v>
      </c>
      <c r="F162" s="120">
        <f>I162</f>
        <v>16747</v>
      </c>
      <c r="G162" s="120">
        <f>Q162</f>
        <v>94901</v>
      </c>
      <c r="H162" s="121">
        <f>I162+M162</f>
        <v>111648</v>
      </c>
      <c r="I162" s="121">
        <f>SUM(J162:L162)</f>
        <v>16747</v>
      </c>
      <c r="J162" s="121"/>
      <c r="K162" s="121"/>
      <c r="L162" s="121">
        <v>16747</v>
      </c>
      <c r="M162" s="121">
        <f>SUM(N162:Q162)</f>
        <v>94901</v>
      </c>
      <c r="N162" s="121">
        <v>0</v>
      </c>
      <c r="O162" s="121"/>
      <c r="P162" s="121"/>
      <c r="Q162" s="122">
        <v>94901</v>
      </c>
    </row>
    <row r="163" spans="1:17" ht="12.75">
      <c r="A163" s="536"/>
      <c r="B163" s="111" t="s">
        <v>138</v>
      </c>
      <c r="C163" s="540"/>
      <c r="D163" s="547"/>
      <c r="E163" s="120"/>
      <c r="F163" s="123"/>
      <c r="G163" s="120"/>
      <c r="H163" s="121"/>
      <c r="I163" s="121"/>
      <c r="J163" s="124"/>
      <c r="K163" s="124"/>
      <c r="L163" s="124"/>
      <c r="M163" s="121"/>
      <c r="N163" s="124"/>
      <c r="O163" s="124"/>
      <c r="P163" s="124"/>
      <c r="Q163" s="125"/>
    </row>
    <row r="164" spans="1:17" ht="13.5" thickBot="1">
      <c r="A164" s="537"/>
      <c r="B164" s="126" t="s">
        <v>158</v>
      </c>
      <c r="C164" s="548"/>
      <c r="D164" s="549"/>
      <c r="E164" s="129"/>
      <c r="F164" s="129"/>
      <c r="G164" s="129"/>
      <c r="H164" s="130"/>
      <c r="I164" s="130"/>
      <c r="J164" s="130"/>
      <c r="K164" s="130"/>
      <c r="L164" s="130"/>
      <c r="M164" s="130"/>
      <c r="N164" s="130"/>
      <c r="O164" s="130"/>
      <c r="P164" s="130"/>
      <c r="Q164" s="131"/>
    </row>
    <row r="165" spans="1:17" ht="12.75">
      <c r="A165" s="535" t="s">
        <v>224</v>
      </c>
      <c r="B165" s="108" t="s">
        <v>84</v>
      </c>
      <c r="C165" s="538" t="s">
        <v>237</v>
      </c>
      <c r="D165" s="539"/>
      <c r="E165" s="539"/>
      <c r="F165" s="539"/>
      <c r="G165" s="539"/>
      <c r="H165" s="539"/>
      <c r="I165" s="539"/>
      <c r="J165" s="539"/>
      <c r="K165" s="109"/>
      <c r="L165" s="109"/>
      <c r="M165" s="109"/>
      <c r="N165" s="109"/>
      <c r="O165" s="109"/>
      <c r="P165" s="109"/>
      <c r="Q165" s="110"/>
    </row>
    <row r="166" spans="1:17" ht="12.75">
      <c r="A166" s="536"/>
      <c r="B166" s="111" t="s">
        <v>85</v>
      </c>
      <c r="C166" s="540" t="s">
        <v>238</v>
      </c>
      <c r="D166" s="541"/>
      <c r="E166" s="541"/>
      <c r="F166" s="541"/>
      <c r="G166" s="541"/>
      <c r="H166" s="541"/>
      <c r="I166" s="541"/>
      <c r="J166" s="541"/>
      <c r="K166" s="541"/>
      <c r="L166" s="541"/>
      <c r="M166" s="541"/>
      <c r="N166" s="541"/>
      <c r="O166" s="541"/>
      <c r="P166" s="541"/>
      <c r="Q166" s="542"/>
    </row>
    <row r="167" spans="1:17" ht="12.75">
      <c r="A167" s="536"/>
      <c r="B167" s="111" t="s">
        <v>86</v>
      </c>
      <c r="C167" s="540" t="s">
        <v>239</v>
      </c>
      <c r="D167" s="541"/>
      <c r="E167" s="541"/>
      <c r="F167" s="541"/>
      <c r="G167" s="541"/>
      <c r="H167" s="541"/>
      <c r="I167" s="541"/>
      <c r="J167" s="541"/>
      <c r="K167" s="541"/>
      <c r="L167" s="114"/>
      <c r="M167" s="114"/>
      <c r="N167" s="114"/>
      <c r="O167" s="114"/>
      <c r="P167" s="114"/>
      <c r="Q167" s="115"/>
    </row>
    <row r="168" spans="1:17" ht="12.75">
      <c r="A168" s="536"/>
      <c r="B168" s="116" t="s">
        <v>219</v>
      </c>
      <c r="C168" s="390"/>
      <c r="D168" s="393"/>
      <c r="E168" s="393"/>
      <c r="F168" s="393"/>
      <c r="G168" s="393"/>
      <c r="H168" s="393"/>
      <c r="I168" s="393"/>
      <c r="J168" s="393"/>
      <c r="K168" s="393"/>
      <c r="L168" s="114"/>
      <c r="M168" s="114"/>
      <c r="N168" s="114"/>
      <c r="O168" s="114"/>
      <c r="P168" s="114"/>
      <c r="Q168" s="115"/>
    </row>
    <row r="169" spans="1:17" ht="12.75">
      <c r="A169" s="536"/>
      <c r="B169" s="116" t="s">
        <v>87</v>
      </c>
      <c r="C169" s="127" t="s">
        <v>240</v>
      </c>
      <c r="D169" s="128"/>
      <c r="E169" s="128"/>
      <c r="F169" s="128"/>
      <c r="G169" s="128"/>
      <c r="H169" s="128"/>
      <c r="I169" s="128"/>
      <c r="J169" s="128"/>
      <c r="K169" s="114"/>
      <c r="L169" s="114"/>
      <c r="M169" s="114"/>
      <c r="N169" s="114"/>
      <c r="O169" s="114"/>
      <c r="P169" s="114"/>
      <c r="Q169" s="115"/>
    </row>
    <row r="170" spans="1:17" ht="12.75">
      <c r="A170" s="536"/>
      <c r="B170" s="117" t="s">
        <v>88</v>
      </c>
      <c r="C170" s="543"/>
      <c r="D170" s="544"/>
      <c r="E170" s="118">
        <f>E171+E172</f>
        <v>169300</v>
      </c>
      <c r="F170" s="118">
        <f>F171+F172</f>
        <v>169300</v>
      </c>
      <c r="G170" s="118">
        <f>G171+G172</f>
        <v>0</v>
      </c>
      <c r="H170" s="118">
        <f aca="true" t="shared" si="8" ref="H170:Q170">H171</f>
        <v>122463</v>
      </c>
      <c r="I170" s="118">
        <f t="shared" si="8"/>
        <v>122463</v>
      </c>
      <c r="J170" s="118">
        <f t="shared" si="8"/>
        <v>0</v>
      </c>
      <c r="K170" s="118">
        <f t="shared" si="8"/>
        <v>0</v>
      </c>
      <c r="L170" s="118">
        <f t="shared" si="8"/>
        <v>122463</v>
      </c>
      <c r="M170" s="118">
        <f t="shared" si="8"/>
        <v>0</v>
      </c>
      <c r="N170" s="118">
        <f t="shared" si="8"/>
        <v>0</v>
      </c>
      <c r="O170" s="118">
        <f t="shared" si="8"/>
        <v>0</v>
      </c>
      <c r="P170" s="118">
        <f t="shared" si="8"/>
        <v>0</v>
      </c>
      <c r="Q170" s="119">
        <f t="shared" si="8"/>
        <v>0</v>
      </c>
    </row>
    <row r="171" spans="1:17" ht="12.75">
      <c r="A171" s="536"/>
      <c r="B171" s="108" t="s">
        <v>214</v>
      </c>
      <c r="C171" s="545"/>
      <c r="D171" s="546"/>
      <c r="E171" s="120">
        <f>F171</f>
        <v>122463</v>
      </c>
      <c r="F171" s="120">
        <f>G171+H171</f>
        <v>122463</v>
      </c>
      <c r="G171" s="120">
        <f>M171</f>
        <v>0</v>
      </c>
      <c r="H171" s="121">
        <f>I171+M171</f>
        <v>122463</v>
      </c>
      <c r="I171" s="121">
        <f>L171</f>
        <v>122463</v>
      </c>
      <c r="J171" s="121"/>
      <c r="K171" s="121"/>
      <c r="L171" s="121">
        <v>122463</v>
      </c>
      <c r="M171" s="121">
        <f>SUM(N171:Q171)</f>
        <v>0</v>
      </c>
      <c r="N171" s="121">
        <f>SUM(O171:Q171)</f>
        <v>0</v>
      </c>
      <c r="O171" s="121"/>
      <c r="P171" s="121"/>
      <c r="Q171" s="122">
        <v>0</v>
      </c>
    </row>
    <row r="172" spans="1:17" ht="12.75">
      <c r="A172" s="536"/>
      <c r="B172" s="111" t="s">
        <v>138</v>
      </c>
      <c r="C172" s="540"/>
      <c r="D172" s="547"/>
      <c r="E172" s="120">
        <f>F172</f>
        <v>46837</v>
      </c>
      <c r="F172" s="123">
        <v>46837</v>
      </c>
      <c r="G172" s="120"/>
      <c r="H172" s="121"/>
      <c r="I172" s="121"/>
      <c r="J172" s="124"/>
      <c r="K172" s="124"/>
      <c r="L172" s="124"/>
      <c r="M172" s="121"/>
      <c r="N172" s="124"/>
      <c r="O172" s="124"/>
      <c r="P172" s="124"/>
      <c r="Q172" s="125"/>
    </row>
    <row r="173" spans="1:17" ht="13.5" thickBot="1">
      <c r="A173" s="537"/>
      <c r="B173" s="126" t="s">
        <v>158</v>
      </c>
      <c r="C173" s="548"/>
      <c r="D173" s="549"/>
      <c r="E173" s="129"/>
      <c r="F173" s="129"/>
      <c r="G173" s="129"/>
      <c r="H173" s="130"/>
      <c r="I173" s="130"/>
      <c r="J173" s="130"/>
      <c r="K173" s="130"/>
      <c r="L173" s="130"/>
      <c r="M173" s="130"/>
      <c r="N173" s="130"/>
      <c r="O173" s="130"/>
      <c r="P173" s="130"/>
      <c r="Q173" s="131"/>
    </row>
    <row r="174" spans="1:17" ht="12.75">
      <c r="A174" s="535" t="s">
        <v>225</v>
      </c>
      <c r="B174" s="108" t="s">
        <v>84</v>
      </c>
      <c r="C174" s="538" t="s">
        <v>241</v>
      </c>
      <c r="D174" s="539"/>
      <c r="E174" s="539"/>
      <c r="F174" s="539"/>
      <c r="G174" s="539"/>
      <c r="H174" s="539"/>
      <c r="I174" s="539"/>
      <c r="J174" s="539"/>
      <c r="K174" s="109"/>
      <c r="L174" s="109"/>
      <c r="M174" s="109"/>
      <c r="N174" s="109"/>
      <c r="O174" s="109"/>
      <c r="P174" s="109"/>
      <c r="Q174" s="110"/>
    </row>
    <row r="175" spans="1:17" ht="12.75">
      <c r="A175" s="536"/>
      <c r="B175" s="111" t="s">
        <v>85</v>
      </c>
      <c r="C175" s="540"/>
      <c r="D175" s="541"/>
      <c r="E175" s="541"/>
      <c r="F175" s="541"/>
      <c r="G175" s="541"/>
      <c r="H175" s="541"/>
      <c r="I175" s="541"/>
      <c r="J175" s="541"/>
      <c r="K175" s="541"/>
      <c r="L175" s="541"/>
      <c r="M175" s="541"/>
      <c r="N175" s="541"/>
      <c r="O175" s="541"/>
      <c r="P175" s="541"/>
      <c r="Q175" s="542"/>
    </row>
    <row r="176" spans="1:17" ht="12.75">
      <c r="A176" s="536"/>
      <c r="B176" s="111" t="s">
        <v>86</v>
      </c>
      <c r="C176" s="540" t="s">
        <v>242</v>
      </c>
      <c r="D176" s="541"/>
      <c r="E176" s="541"/>
      <c r="F176" s="541"/>
      <c r="G176" s="541"/>
      <c r="H176" s="541"/>
      <c r="I176" s="541"/>
      <c r="J176" s="541"/>
      <c r="K176" s="541"/>
      <c r="L176" s="114"/>
      <c r="M176" s="114"/>
      <c r="N176" s="114"/>
      <c r="O176" s="114"/>
      <c r="P176" s="114"/>
      <c r="Q176" s="115"/>
    </row>
    <row r="177" spans="1:17" ht="12.75">
      <c r="A177" s="536"/>
      <c r="B177" s="116" t="s">
        <v>219</v>
      </c>
      <c r="C177" s="390"/>
      <c r="D177" s="393"/>
      <c r="E177" s="393"/>
      <c r="F177" s="393"/>
      <c r="G177" s="393"/>
      <c r="H177" s="393"/>
      <c r="I177" s="393"/>
      <c r="J177" s="393"/>
      <c r="K177" s="393"/>
      <c r="L177" s="114"/>
      <c r="M177" s="114"/>
      <c r="N177" s="114"/>
      <c r="O177" s="114"/>
      <c r="P177" s="114"/>
      <c r="Q177" s="115"/>
    </row>
    <row r="178" spans="1:17" ht="12.75">
      <c r="A178" s="536"/>
      <c r="B178" s="116" t="s">
        <v>87</v>
      </c>
      <c r="C178" s="127" t="s">
        <v>243</v>
      </c>
      <c r="D178" s="128"/>
      <c r="E178" s="128"/>
      <c r="F178" s="128"/>
      <c r="G178" s="128"/>
      <c r="H178" s="128"/>
      <c r="I178" s="128"/>
      <c r="J178" s="128"/>
      <c r="K178" s="114"/>
      <c r="L178" s="114"/>
      <c r="M178" s="114"/>
      <c r="N178" s="114"/>
      <c r="O178" s="114"/>
      <c r="P178" s="114"/>
      <c r="Q178" s="115"/>
    </row>
    <row r="179" spans="1:17" ht="12.75">
      <c r="A179" s="536"/>
      <c r="B179" s="117" t="s">
        <v>88</v>
      </c>
      <c r="C179" s="543"/>
      <c r="D179" s="544"/>
      <c r="E179" s="118">
        <f>E180+E181</f>
        <v>3265</v>
      </c>
      <c r="F179" s="118">
        <f>F180+F181</f>
        <v>3265</v>
      </c>
      <c r="G179" s="118">
        <f>G180+G181</f>
        <v>0</v>
      </c>
      <c r="H179" s="118">
        <f aca="true" t="shared" si="9" ref="H179:Q179">H180</f>
        <v>2177</v>
      </c>
      <c r="I179" s="118">
        <f t="shared" si="9"/>
        <v>2177</v>
      </c>
      <c r="J179" s="118">
        <f t="shared" si="9"/>
        <v>0</v>
      </c>
      <c r="K179" s="118">
        <f t="shared" si="9"/>
        <v>0</v>
      </c>
      <c r="L179" s="118">
        <f t="shared" si="9"/>
        <v>2177</v>
      </c>
      <c r="M179" s="118">
        <f t="shared" si="9"/>
        <v>0</v>
      </c>
      <c r="N179" s="118">
        <f t="shared" si="9"/>
        <v>0</v>
      </c>
      <c r="O179" s="118">
        <f t="shared" si="9"/>
        <v>0</v>
      </c>
      <c r="P179" s="118">
        <f t="shared" si="9"/>
        <v>0</v>
      </c>
      <c r="Q179" s="119">
        <f t="shared" si="9"/>
        <v>0</v>
      </c>
    </row>
    <row r="180" spans="1:17" ht="12.75">
      <c r="A180" s="536"/>
      <c r="B180" s="108" t="s">
        <v>214</v>
      </c>
      <c r="C180" s="545"/>
      <c r="D180" s="546"/>
      <c r="E180" s="120">
        <f>F180</f>
        <v>2177</v>
      </c>
      <c r="F180" s="120">
        <f>G180+H180</f>
        <v>2177</v>
      </c>
      <c r="G180" s="120">
        <f>M180</f>
        <v>0</v>
      </c>
      <c r="H180" s="121">
        <f>I180+M180</f>
        <v>2177</v>
      </c>
      <c r="I180" s="121">
        <f>L180</f>
        <v>2177</v>
      </c>
      <c r="J180" s="121"/>
      <c r="K180" s="121"/>
      <c r="L180" s="121">
        <v>2177</v>
      </c>
      <c r="M180" s="121">
        <f>SUM(N180:Q180)</f>
        <v>0</v>
      </c>
      <c r="N180" s="121">
        <f>SUM(O180:Q180)</f>
        <v>0</v>
      </c>
      <c r="O180" s="121"/>
      <c r="P180" s="121"/>
      <c r="Q180" s="122">
        <v>0</v>
      </c>
    </row>
    <row r="181" spans="1:17" ht="12.75">
      <c r="A181" s="536"/>
      <c r="B181" s="111" t="s">
        <v>138</v>
      </c>
      <c r="C181" s="540"/>
      <c r="D181" s="547"/>
      <c r="E181" s="120">
        <f>F181</f>
        <v>1088</v>
      </c>
      <c r="F181" s="123">
        <v>1088</v>
      </c>
      <c r="G181" s="120"/>
      <c r="H181" s="121"/>
      <c r="I181" s="121"/>
      <c r="J181" s="124"/>
      <c r="K181" s="124"/>
      <c r="L181" s="124"/>
      <c r="M181" s="121"/>
      <c r="N181" s="124"/>
      <c r="O181" s="124"/>
      <c r="P181" s="124"/>
      <c r="Q181" s="125"/>
    </row>
    <row r="182" spans="1:17" ht="13.5" thickBot="1">
      <c r="A182" s="537"/>
      <c r="B182" s="126" t="s">
        <v>158</v>
      </c>
      <c r="C182" s="548"/>
      <c r="D182" s="549"/>
      <c r="E182" s="129"/>
      <c r="F182" s="129"/>
      <c r="G182" s="129"/>
      <c r="H182" s="130"/>
      <c r="I182" s="130"/>
      <c r="J182" s="130"/>
      <c r="K182" s="130"/>
      <c r="L182" s="130"/>
      <c r="M182" s="130"/>
      <c r="N182" s="130"/>
      <c r="O182" s="130"/>
      <c r="P182" s="130"/>
      <c r="Q182" s="131"/>
    </row>
    <row r="183" spans="1:17" ht="12.75">
      <c r="A183" s="535" t="s">
        <v>226</v>
      </c>
      <c r="B183" s="108" t="s">
        <v>84</v>
      </c>
      <c r="C183" s="538" t="s">
        <v>477</v>
      </c>
      <c r="D183" s="539"/>
      <c r="E183" s="539"/>
      <c r="F183" s="539"/>
      <c r="G183" s="539"/>
      <c r="H183" s="539"/>
      <c r="I183" s="539"/>
      <c r="J183" s="539"/>
      <c r="K183" s="109"/>
      <c r="L183" s="109"/>
      <c r="M183" s="109"/>
      <c r="N183" s="109"/>
      <c r="O183" s="109"/>
      <c r="P183" s="109"/>
      <c r="Q183" s="110"/>
    </row>
    <row r="184" spans="1:17" ht="12.75">
      <c r="A184" s="536"/>
      <c r="B184" s="111" t="s">
        <v>85</v>
      </c>
      <c r="C184" s="540" t="s">
        <v>478</v>
      </c>
      <c r="D184" s="541"/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542"/>
    </row>
    <row r="185" spans="1:17" ht="12.75">
      <c r="A185" s="536"/>
      <c r="B185" s="111" t="s">
        <v>86</v>
      </c>
      <c r="C185" s="540" t="s">
        <v>479</v>
      </c>
      <c r="D185" s="541"/>
      <c r="E185" s="541"/>
      <c r="F185" s="541"/>
      <c r="G185" s="541"/>
      <c r="H185" s="541"/>
      <c r="I185" s="541"/>
      <c r="J185" s="541"/>
      <c r="K185" s="541"/>
      <c r="L185" s="114"/>
      <c r="M185" s="114"/>
      <c r="N185" s="114"/>
      <c r="O185" s="114"/>
      <c r="P185" s="114"/>
      <c r="Q185" s="115"/>
    </row>
    <row r="186" spans="1:17" ht="12.75">
      <c r="A186" s="536"/>
      <c r="B186" s="116" t="s">
        <v>219</v>
      </c>
      <c r="C186" s="390"/>
      <c r="D186" s="393"/>
      <c r="E186" s="393"/>
      <c r="F186" s="393"/>
      <c r="G186" s="393"/>
      <c r="H186" s="393"/>
      <c r="I186" s="393"/>
      <c r="J186" s="393"/>
      <c r="K186" s="393"/>
      <c r="L186" s="114"/>
      <c r="M186" s="114"/>
      <c r="N186" s="114"/>
      <c r="O186" s="114"/>
      <c r="P186" s="114"/>
      <c r="Q186" s="115"/>
    </row>
    <row r="187" spans="1:17" ht="12.75">
      <c r="A187" s="536"/>
      <c r="B187" s="116" t="s">
        <v>87</v>
      </c>
      <c r="C187" s="127" t="s">
        <v>480</v>
      </c>
      <c r="D187" s="128"/>
      <c r="E187" s="128"/>
      <c r="F187" s="128"/>
      <c r="G187" s="128"/>
      <c r="H187" s="128"/>
      <c r="I187" s="128"/>
      <c r="J187" s="128"/>
      <c r="K187" s="114"/>
      <c r="L187" s="114"/>
      <c r="M187" s="114"/>
      <c r="N187" s="114"/>
      <c r="O187" s="114"/>
      <c r="P187" s="114"/>
      <c r="Q187" s="115"/>
    </row>
    <row r="188" spans="1:17" ht="12.75">
      <c r="A188" s="536"/>
      <c r="B188" s="117" t="s">
        <v>88</v>
      </c>
      <c r="C188" s="543"/>
      <c r="D188" s="544"/>
      <c r="E188" s="118">
        <f>E189+E190</f>
        <v>44216</v>
      </c>
      <c r="F188" s="118">
        <f>F189+F190</f>
        <v>6632</v>
      </c>
      <c r="G188" s="118">
        <f>G189+G190</f>
        <v>37584</v>
      </c>
      <c r="H188" s="118">
        <f aca="true" t="shared" si="10" ref="H188:Q188">H189</f>
        <v>44216</v>
      </c>
      <c r="I188" s="118">
        <f t="shared" si="10"/>
        <v>6632</v>
      </c>
      <c r="J188" s="118">
        <f t="shared" si="10"/>
        <v>0</v>
      </c>
      <c r="K188" s="118">
        <f t="shared" si="10"/>
        <v>0</v>
      </c>
      <c r="L188" s="118">
        <f t="shared" si="10"/>
        <v>6632</v>
      </c>
      <c r="M188" s="118">
        <f t="shared" si="10"/>
        <v>37584</v>
      </c>
      <c r="N188" s="118">
        <f t="shared" si="10"/>
        <v>0</v>
      </c>
      <c r="O188" s="118">
        <f t="shared" si="10"/>
        <v>0</v>
      </c>
      <c r="P188" s="118">
        <f t="shared" si="10"/>
        <v>0</v>
      </c>
      <c r="Q188" s="119">
        <f t="shared" si="10"/>
        <v>37584</v>
      </c>
    </row>
    <row r="189" spans="1:17" ht="12.75">
      <c r="A189" s="536"/>
      <c r="B189" s="108" t="s">
        <v>214</v>
      </c>
      <c r="C189" s="545"/>
      <c r="D189" s="546"/>
      <c r="E189" s="120">
        <f>F189+G189</f>
        <v>44216</v>
      </c>
      <c r="F189" s="120">
        <f>I189</f>
        <v>6632</v>
      </c>
      <c r="G189" s="120">
        <f>M189</f>
        <v>37584</v>
      </c>
      <c r="H189" s="121">
        <f>I189+M189</f>
        <v>44216</v>
      </c>
      <c r="I189" s="121">
        <f>SUM(J189:L189)</f>
        <v>6632</v>
      </c>
      <c r="J189" s="121"/>
      <c r="K189" s="121"/>
      <c r="L189" s="121">
        <v>6632</v>
      </c>
      <c r="M189" s="121">
        <f>SUM(N189:Q189)</f>
        <v>37584</v>
      </c>
      <c r="N189" s="121"/>
      <c r="O189" s="121"/>
      <c r="P189" s="121"/>
      <c r="Q189" s="122">
        <v>37584</v>
      </c>
    </row>
    <row r="190" spans="1:17" ht="12.75">
      <c r="A190" s="536"/>
      <c r="B190" s="111" t="s">
        <v>138</v>
      </c>
      <c r="C190" s="540"/>
      <c r="D190" s="547"/>
      <c r="E190" s="120">
        <f>F190</f>
        <v>0</v>
      </c>
      <c r="F190" s="123"/>
      <c r="G190" s="120"/>
      <c r="H190" s="121"/>
      <c r="I190" s="121"/>
      <c r="J190" s="124"/>
      <c r="K190" s="124"/>
      <c r="L190" s="124"/>
      <c r="M190" s="121"/>
      <c r="N190" s="124"/>
      <c r="O190" s="124"/>
      <c r="P190" s="124"/>
      <c r="Q190" s="125"/>
    </row>
    <row r="191" spans="1:17" ht="13.5" thickBot="1">
      <c r="A191" s="537"/>
      <c r="B191" s="126" t="s">
        <v>158</v>
      </c>
      <c r="C191" s="548"/>
      <c r="D191" s="549"/>
      <c r="E191" s="129"/>
      <c r="F191" s="129"/>
      <c r="G191" s="129"/>
      <c r="H191" s="130"/>
      <c r="I191" s="130"/>
      <c r="J191" s="130"/>
      <c r="K191" s="130"/>
      <c r="L191" s="130"/>
      <c r="M191" s="130"/>
      <c r="N191" s="130"/>
      <c r="O191" s="130"/>
      <c r="P191" s="130"/>
      <c r="Q191" s="131"/>
    </row>
    <row r="192" spans="1:17" ht="12.75">
      <c r="A192" s="535" t="s">
        <v>227</v>
      </c>
      <c r="B192" s="108" t="s">
        <v>84</v>
      </c>
      <c r="C192" s="538" t="s">
        <v>484</v>
      </c>
      <c r="D192" s="539"/>
      <c r="E192" s="539"/>
      <c r="F192" s="539"/>
      <c r="G192" s="539"/>
      <c r="H192" s="539"/>
      <c r="I192" s="539"/>
      <c r="J192" s="539"/>
      <c r="K192" s="109"/>
      <c r="L192" s="109"/>
      <c r="M192" s="109"/>
      <c r="N192" s="109"/>
      <c r="O192" s="109"/>
      <c r="P192" s="109"/>
      <c r="Q192" s="110"/>
    </row>
    <row r="193" spans="1:17" ht="12.75">
      <c r="A193" s="536"/>
      <c r="B193" s="111" t="s">
        <v>85</v>
      </c>
      <c r="C193" s="540" t="s">
        <v>478</v>
      </c>
      <c r="D193" s="541"/>
      <c r="E193" s="541"/>
      <c r="F193" s="541"/>
      <c r="G193" s="541"/>
      <c r="H193" s="541"/>
      <c r="I193" s="541"/>
      <c r="J193" s="541"/>
      <c r="K193" s="541"/>
      <c r="L193" s="541"/>
      <c r="M193" s="541"/>
      <c r="N193" s="541"/>
      <c r="O193" s="541"/>
      <c r="P193" s="541"/>
      <c r="Q193" s="542"/>
    </row>
    <row r="194" spans="1:17" ht="12.75">
      <c r="A194" s="536"/>
      <c r="B194" s="111" t="s">
        <v>86</v>
      </c>
      <c r="C194" s="540"/>
      <c r="D194" s="541"/>
      <c r="E194" s="541"/>
      <c r="F194" s="541"/>
      <c r="G194" s="541"/>
      <c r="H194" s="541"/>
      <c r="I194" s="541"/>
      <c r="J194" s="541"/>
      <c r="K194" s="541"/>
      <c r="L194" s="114"/>
      <c r="M194" s="114"/>
      <c r="N194" s="114"/>
      <c r="O194" s="114"/>
      <c r="P194" s="114"/>
      <c r="Q194" s="115"/>
    </row>
    <row r="195" spans="1:17" ht="12.75">
      <c r="A195" s="536"/>
      <c r="B195" s="116" t="s">
        <v>219</v>
      </c>
      <c r="C195" s="390" t="s">
        <v>485</v>
      </c>
      <c r="D195" s="393"/>
      <c r="E195" s="393"/>
      <c r="F195" s="393"/>
      <c r="G195" s="393"/>
      <c r="H195" s="393"/>
      <c r="I195" s="393"/>
      <c r="J195" s="393"/>
      <c r="K195" s="393"/>
      <c r="L195" s="114"/>
      <c r="M195" s="114"/>
      <c r="N195" s="114"/>
      <c r="O195" s="114"/>
      <c r="P195" s="114"/>
      <c r="Q195" s="115"/>
    </row>
    <row r="196" spans="1:17" ht="12.75">
      <c r="A196" s="536"/>
      <c r="B196" s="116" t="s">
        <v>87</v>
      </c>
      <c r="C196" s="127" t="s">
        <v>486</v>
      </c>
      <c r="D196" s="128"/>
      <c r="E196" s="128"/>
      <c r="F196" s="128"/>
      <c r="G196" s="128"/>
      <c r="H196" s="128"/>
      <c r="I196" s="128"/>
      <c r="J196" s="128"/>
      <c r="K196" s="114"/>
      <c r="L196" s="114"/>
      <c r="M196" s="114"/>
      <c r="N196" s="114"/>
      <c r="O196" s="114"/>
      <c r="P196" s="114"/>
      <c r="Q196" s="115"/>
    </row>
    <row r="197" spans="1:17" ht="12.75">
      <c r="A197" s="536"/>
      <c r="B197" s="117" t="s">
        <v>88</v>
      </c>
      <c r="C197" s="543"/>
      <c r="D197" s="544"/>
      <c r="E197" s="118">
        <f>E198+E199</f>
        <v>209640</v>
      </c>
      <c r="F197" s="118">
        <f>F198+F199</f>
        <v>31449</v>
      </c>
      <c r="G197" s="118">
        <f>G198+G199</f>
        <v>178191</v>
      </c>
      <c r="H197" s="118">
        <f aca="true" t="shared" si="11" ref="H197:Q197">H198</f>
        <v>209640</v>
      </c>
      <c r="I197" s="118">
        <f t="shared" si="11"/>
        <v>31449</v>
      </c>
      <c r="J197" s="118">
        <f t="shared" si="11"/>
        <v>0</v>
      </c>
      <c r="K197" s="118">
        <f t="shared" si="11"/>
        <v>0</v>
      </c>
      <c r="L197" s="118">
        <f t="shared" si="11"/>
        <v>31449</v>
      </c>
      <c r="M197" s="118">
        <f t="shared" si="11"/>
        <v>178191</v>
      </c>
      <c r="N197" s="118">
        <f t="shared" si="11"/>
        <v>0</v>
      </c>
      <c r="O197" s="118">
        <f t="shared" si="11"/>
        <v>0</v>
      </c>
      <c r="P197" s="118">
        <f t="shared" si="11"/>
        <v>0</v>
      </c>
      <c r="Q197" s="119">
        <f t="shared" si="11"/>
        <v>178191</v>
      </c>
    </row>
    <row r="198" spans="1:17" ht="12.75">
      <c r="A198" s="536"/>
      <c r="B198" s="108" t="s">
        <v>214</v>
      </c>
      <c r="C198" s="545"/>
      <c r="D198" s="546"/>
      <c r="E198" s="120">
        <f>F198+G198</f>
        <v>209640</v>
      </c>
      <c r="F198" s="120">
        <f>I198</f>
        <v>31449</v>
      </c>
      <c r="G198" s="120">
        <f>M198</f>
        <v>178191</v>
      </c>
      <c r="H198" s="121">
        <f>I198+M198</f>
        <v>209640</v>
      </c>
      <c r="I198" s="121">
        <f>SUM(J198:L198)</f>
        <v>31449</v>
      </c>
      <c r="J198" s="121"/>
      <c r="K198" s="121"/>
      <c r="L198" s="121">
        <v>31449</v>
      </c>
      <c r="M198" s="121">
        <f>SUM(N198:Q198)</f>
        <v>178191</v>
      </c>
      <c r="N198" s="121"/>
      <c r="O198" s="121"/>
      <c r="P198" s="121"/>
      <c r="Q198" s="122">
        <v>178191</v>
      </c>
    </row>
    <row r="199" spans="1:17" ht="12.75">
      <c r="A199" s="536"/>
      <c r="B199" s="111" t="s">
        <v>138</v>
      </c>
      <c r="C199" s="540"/>
      <c r="D199" s="547"/>
      <c r="E199" s="120">
        <f>F199</f>
        <v>0</v>
      </c>
      <c r="F199" s="123"/>
      <c r="G199" s="120"/>
      <c r="H199" s="121"/>
      <c r="I199" s="121"/>
      <c r="J199" s="124"/>
      <c r="K199" s="124"/>
      <c r="L199" s="124"/>
      <c r="M199" s="121"/>
      <c r="N199" s="124"/>
      <c r="O199" s="124"/>
      <c r="P199" s="124"/>
      <c r="Q199" s="125"/>
    </row>
    <row r="200" spans="1:17" ht="13.5" thickBot="1">
      <c r="A200" s="537"/>
      <c r="B200" s="126" t="s">
        <v>158</v>
      </c>
      <c r="C200" s="548"/>
      <c r="D200" s="549"/>
      <c r="E200" s="129"/>
      <c r="F200" s="129"/>
      <c r="G200" s="129"/>
      <c r="H200" s="130"/>
      <c r="I200" s="130"/>
      <c r="J200" s="130"/>
      <c r="K200" s="130"/>
      <c r="L200" s="130"/>
      <c r="M200" s="130"/>
      <c r="N200" s="130"/>
      <c r="O200" s="130"/>
      <c r="P200" s="130"/>
      <c r="Q200" s="131"/>
    </row>
    <row r="201" spans="1:17" ht="12.75">
      <c r="A201" s="535" t="s">
        <v>227</v>
      </c>
      <c r="B201" s="108" t="s">
        <v>84</v>
      </c>
      <c r="C201" s="538" t="s">
        <v>487</v>
      </c>
      <c r="D201" s="539"/>
      <c r="E201" s="539"/>
      <c r="F201" s="539"/>
      <c r="G201" s="539"/>
      <c r="H201" s="539"/>
      <c r="I201" s="539"/>
      <c r="J201" s="539"/>
      <c r="K201" s="109"/>
      <c r="L201" s="109"/>
      <c r="M201" s="109"/>
      <c r="N201" s="109"/>
      <c r="O201" s="109"/>
      <c r="P201" s="109"/>
      <c r="Q201" s="110"/>
    </row>
    <row r="202" spans="1:17" ht="12.75">
      <c r="A202" s="536"/>
      <c r="B202" s="111" t="s">
        <v>85</v>
      </c>
      <c r="C202" s="540"/>
      <c r="D202" s="541"/>
      <c r="E202" s="541"/>
      <c r="F202" s="541"/>
      <c r="G202" s="541"/>
      <c r="H202" s="541"/>
      <c r="I202" s="541"/>
      <c r="J202" s="541"/>
      <c r="K202" s="541"/>
      <c r="L202" s="541"/>
      <c r="M202" s="541"/>
      <c r="N202" s="541"/>
      <c r="O202" s="541"/>
      <c r="P202" s="541"/>
      <c r="Q202" s="542"/>
    </row>
    <row r="203" spans="1:17" ht="12.75">
      <c r="A203" s="536"/>
      <c r="B203" s="111" t="s">
        <v>86</v>
      </c>
      <c r="C203" s="540"/>
      <c r="D203" s="541"/>
      <c r="E203" s="541"/>
      <c r="F203" s="541"/>
      <c r="G203" s="541"/>
      <c r="H203" s="541"/>
      <c r="I203" s="541"/>
      <c r="J203" s="541"/>
      <c r="K203" s="541"/>
      <c r="L203" s="114"/>
      <c r="M203" s="114"/>
      <c r="N203" s="114"/>
      <c r="O203" s="114"/>
      <c r="P203" s="114"/>
      <c r="Q203" s="115"/>
    </row>
    <row r="204" spans="1:17" ht="12.75">
      <c r="A204" s="536"/>
      <c r="B204" s="116" t="s">
        <v>219</v>
      </c>
      <c r="C204" s="390"/>
      <c r="D204" s="393"/>
      <c r="E204" s="393"/>
      <c r="F204" s="393"/>
      <c r="G204" s="393"/>
      <c r="H204" s="393"/>
      <c r="I204" s="393"/>
      <c r="J204" s="393"/>
      <c r="K204" s="393"/>
      <c r="L204" s="114"/>
      <c r="M204" s="114"/>
      <c r="N204" s="114"/>
      <c r="O204" s="114"/>
      <c r="P204" s="114"/>
      <c r="Q204" s="115"/>
    </row>
    <row r="205" spans="1:17" ht="12.75">
      <c r="A205" s="536"/>
      <c r="B205" s="116" t="s">
        <v>87</v>
      </c>
      <c r="C205" s="127" t="s">
        <v>488</v>
      </c>
      <c r="D205" s="128"/>
      <c r="E205" s="128"/>
      <c r="F205" s="128"/>
      <c r="G205" s="128"/>
      <c r="H205" s="128"/>
      <c r="I205" s="128"/>
      <c r="J205" s="128"/>
      <c r="K205" s="114"/>
      <c r="L205" s="114"/>
      <c r="M205" s="114"/>
      <c r="N205" s="114"/>
      <c r="O205" s="114"/>
      <c r="P205" s="114"/>
      <c r="Q205" s="115"/>
    </row>
    <row r="206" spans="1:17" ht="12.75">
      <c r="A206" s="536"/>
      <c r="B206" s="117" t="s">
        <v>88</v>
      </c>
      <c r="C206" s="543"/>
      <c r="D206" s="544"/>
      <c r="E206" s="118">
        <f>E207+E208</f>
        <v>8808</v>
      </c>
      <c r="F206" s="118">
        <f>F207+F208</f>
        <v>0</v>
      </c>
      <c r="G206" s="118">
        <f>G207+G208</f>
        <v>8808</v>
      </c>
      <c r="H206" s="118">
        <f aca="true" t="shared" si="12" ref="H206:Q206">H207</f>
        <v>8808</v>
      </c>
      <c r="I206" s="118">
        <f t="shared" si="12"/>
        <v>0</v>
      </c>
      <c r="J206" s="118">
        <f t="shared" si="12"/>
        <v>0</v>
      </c>
      <c r="K206" s="118">
        <f t="shared" si="12"/>
        <v>0</v>
      </c>
      <c r="L206" s="118">
        <f t="shared" si="12"/>
        <v>0</v>
      </c>
      <c r="M206" s="118">
        <f t="shared" si="12"/>
        <v>8808</v>
      </c>
      <c r="N206" s="118">
        <f t="shared" si="12"/>
        <v>0</v>
      </c>
      <c r="O206" s="118">
        <f t="shared" si="12"/>
        <v>0</v>
      </c>
      <c r="P206" s="118">
        <f t="shared" si="12"/>
        <v>0</v>
      </c>
      <c r="Q206" s="119">
        <f t="shared" si="12"/>
        <v>8808</v>
      </c>
    </row>
    <row r="207" spans="1:17" ht="12.75">
      <c r="A207" s="536"/>
      <c r="B207" s="108" t="s">
        <v>214</v>
      </c>
      <c r="C207" s="545"/>
      <c r="D207" s="546"/>
      <c r="E207" s="120">
        <f>F207+G207</f>
        <v>8808</v>
      </c>
      <c r="F207" s="120">
        <f>I207</f>
        <v>0</v>
      </c>
      <c r="G207" s="120">
        <f>M207</f>
        <v>8808</v>
      </c>
      <c r="H207" s="121">
        <f>I207+M207</f>
        <v>8808</v>
      </c>
      <c r="I207" s="121">
        <f>SUM(J207:L207)</f>
        <v>0</v>
      </c>
      <c r="J207" s="121"/>
      <c r="K207" s="121"/>
      <c r="L207" s="121">
        <v>0</v>
      </c>
      <c r="M207" s="121">
        <f>SUM(N207:Q207)</f>
        <v>8808</v>
      </c>
      <c r="N207" s="121"/>
      <c r="O207" s="121"/>
      <c r="P207" s="121"/>
      <c r="Q207" s="122">
        <f>6806+2002</f>
        <v>8808</v>
      </c>
    </row>
    <row r="208" spans="1:17" ht="12.75">
      <c r="A208" s="536"/>
      <c r="B208" s="111" t="s">
        <v>138</v>
      </c>
      <c r="C208" s="540"/>
      <c r="D208" s="547"/>
      <c r="E208" s="120">
        <f>F208</f>
        <v>0</v>
      </c>
      <c r="F208" s="123"/>
      <c r="G208" s="120"/>
      <c r="H208" s="121"/>
      <c r="I208" s="121"/>
      <c r="J208" s="124"/>
      <c r="K208" s="124"/>
      <c r="L208" s="124"/>
      <c r="M208" s="121"/>
      <c r="N208" s="124"/>
      <c r="O208" s="124"/>
      <c r="P208" s="124"/>
      <c r="Q208" s="125"/>
    </row>
    <row r="209" spans="1:17" ht="13.5" thickBot="1">
      <c r="A209" s="537"/>
      <c r="B209" s="126" t="s">
        <v>158</v>
      </c>
      <c r="C209" s="548"/>
      <c r="D209" s="549"/>
      <c r="E209" s="129"/>
      <c r="F209" s="129"/>
      <c r="G209" s="129"/>
      <c r="H209" s="130"/>
      <c r="I209" s="130"/>
      <c r="J209" s="130"/>
      <c r="K209" s="130"/>
      <c r="L209" s="130"/>
      <c r="M209" s="130"/>
      <c r="N209" s="130"/>
      <c r="O209" s="130"/>
      <c r="P209" s="130"/>
      <c r="Q209" s="131"/>
    </row>
    <row r="210" spans="1:17" ht="12.75">
      <c r="A210" s="535" t="s">
        <v>228</v>
      </c>
      <c r="B210" s="108" t="s">
        <v>84</v>
      </c>
      <c r="C210" s="538" t="s">
        <v>481</v>
      </c>
      <c r="D210" s="539"/>
      <c r="E210" s="539"/>
      <c r="F210" s="539"/>
      <c r="G210" s="539"/>
      <c r="H210" s="539"/>
      <c r="I210" s="539"/>
      <c r="J210" s="539"/>
      <c r="K210" s="109"/>
      <c r="L210" s="109"/>
      <c r="M210" s="109"/>
      <c r="N210" s="109"/>
      <c r="O210" s="109"/>
      <c r="P210" s="109"/>
      <c r="Q210" s="110"/>
    </row>
    <row r="211" spans="1:17" ht="12.75">
      <c r="A211" s="536"/>
      <c r="B211" s="111" t="s">
        <v>85</v>
      </c>
      <c r="C211" s="540"/>
      <c r="D211" s="541"/>
      <c r="E211" s="541"/>
      <c r="F211" s="541"/>
      <c r="G211" s="541"/>
      <c r="H211" s="541"/>
      <c r="I211" s="541"/>
      <c r="J211" s="541"/>
      <c r="K211" s="541"/>
      <c r="L211" s="541"/>
      <c r="M211" s="541"/>
      <c r="N211" s="541"/>
      <c r="O211" s="541"/>
      <c r="P211" s="541"/>
      <c r="Q211" s="542"/>
    </row>
    <row r="212" spans="1:17" ht="12.75">
      <c r="A212" s="536"/>
      <c r="B212" s="111" t="s">
        <v>86</v>
      </c>
      <c r="C212" s="540"/>
      <c r="D212" s="541"/>
      <c r="E212" s="541"/>
      <c r="F212" s="541"/>
      <c r="G212" s="541"/>
      <c r="H212" s="541"/>
      <c r="I212" s="541"/>
      <c r="J212" s="541"/>
      <c r="K212" s="541"/>
      <c r="L212" s="114"/>
      <c r="M212" s="114"/>
      <c r="N212" s="114"/>
      <c r="O212" s="114"/>
      <c r="P212" s="114"/>
      <c r="Q212" s="115"/>
    </row>
    <row r="213" spans="1:17" ht="12.75">
      <c r="A213" s="536"/>
      <c r="B213" s="116" t="s">
        <v>219</v>
      </c>
      <c r="C213" s="390"/>
      <c r="D213" s="393"/>
      <c r="E213" s="393"/>
      <c r="F213" s="393"/>
      <c r="G213" s="393"/>
      <c r="H213" s="393"/>
      <c r="I213" s="393"/>
      <c r="J213" s="393"/>
      <c r="K213" s="393"/>
      <c r="L213" s="114"/>
      <c r="M213" s="114"/>
      <c r="N213" s="114"/>
      <c r="O213" s="114"/>
      <c r="P213" s="114"/>
      <c r="Q213" s="115"/>
    </row>
    <row r="214" spans="1:17" ht="12.75">
      <c r="A214" s="536"/>
      <c r="B214" s="116" t="s">
        <v>87</v>
      </c>
      <c r="C214" s="127" t="s">
        <v>482</v>
      </c>
      <c r="D214" s="128"/>
      <c r="E214" s="128"/>
      <c r="F214" s="128"/>
      <c r="G214" s="128"/>
      <c r="H214" s="128"/>
      <c r="I214" s="128"/>
      <c r="J214" s="128"/>
      <c r="K214" s="114"/>
      <c r="L214" s="114"/>
      <c r="M214" s="114"/>
      <c r="N214" s="114"/>
      <c r="O214" s="114"/>
      <c r="P214" s="114"/>
      <c r="Q214" s="115"/>
    </row>
    <row r="215" spans="1:17" ht="12.75">
      <c r="A215" s="536"/>
      <c r="B215" s="117" t="s">
        <v>88</v>
      </c>
      <c r="C215" s="543"/>
      <c r="D215" s="544"/>
      <c r="E215" s="118">
        <f>E216+E217</f>
        <v>38885</v>
      </c>
      <c r="F215" s="118">
        <f>F216+F217</f>
        <v>0</v>
      </c>
      <c r="G215" s="118">
        <f>G216+G217</f>
        <v>38885</v>
      </c>
      <c r="H215" s="118">
        <f aca="true" t="shared" si="13" ref="H215:Q215">H216</f>
        <v>38885</v>
      </c>
      <c r="I215" s="118">
        <f t="shared" si="13"/>
        <v>0</v>
      </c>
      <c r="J215" s="118">
        <f t="shared" si="13"/>
        <v>0</v>
      </c>
      <c r="K215" s="118">
        <f t="shared" si="13"/>
        <v>0</v>
      </c>
      <c r="L215" s="118">
        <f t="shared" si="13"/>
        <v>0</v>
      </c>
      <c r="M215" s="118">
        <f t="shared" si="13"/>
        <v>38885</v>
      </c>
      <c r="N215" s="118">
        <f t="shared" si="13"/>
        <v>0</v>
      </c>
      <c r="O215" s="118">
        <f t="shared" si="13"/>
        <v>0</v>
      </c>
      <c r="P215" s="118">
        <f t="shared" si="13"/>
        <v>0</v>
      </c>
      <c r="Q215" s="119">
        <f t="shared" si="13"/>
        <v>38885</v>
      </c>
    </row>
    <row r="216" spans="1:17" ht="12.75">
      <c r="A216" s="536"/>
      <c r="B216" s="108" t="s">
        <v>214</v>
      </c>
      <c r="C216" s="545"/>
      <c r="D216" s="546"/>
      <c r="E216" s="120">
        <f>F216+G216</f>
        <v>38885</v>
      </c>
      <c r="F216" s="120">
        <f>I216</f>
        <v>0</v>
      </c>
      <c r="G216" s="120">
        <f>M216</f>
        <v>38885</v>
      </c>
      <c r="H216" s="121">
        <f>I216+M216</f>
        <v>38885</v>
      </c>
      <c r="I216" s="121">
        <f>SUM(J216:L216)</f>
        <v>0</v>
      </c>
      <c r="J216" s="121"/>
      <c r="K216" s="121"/>
      <c r="L216" s="121">
        <v>0</v>
      </c>
      <c r="M216" s="121">
        <f>SUM(N216:Q216)</f>
        <v>38885</v>
      </c>
      <c r="N216" s="121"/>
      <c r="O216" s="121"/>
      <c r="P216" s="121"/>
      <c r="Q216" s="122">
        <v>38885</v>
      </c>
    </row>
    <row r="217" spans="1:17" ht="12.75">
      <c r="A217" s="536"/>
      <c r="B217" s="111" t="s">
        <v>138</v>
      </c>
      <c r="C217" s="540"/>
      <c r="D217" s="547"/>
      <c r="E217" s="120">
        <f>F217</f>
        <v>0</v>
      </c>
      <c r="F217" s="123"/>
      <c r="G217" s="120"/>
      <c r="H217" s="121"/>
      <c r="I217" s="121"/>
      <c r="J217" s="124"/>
      <c r="K217" s="124"/>
      <c r="L217" s="124"/>
      <c r="M217" s="121"/>
      <c r="N217" s="124"/>
      <c r="O217" s="124"/>
      <c r="P217" s="124"/>
      <c r="Q217" s="125"/>
    </row>
    <row r="218" spans="1:17" ht="13.5" thickBot="1">
      <c r="A218" s="537"/>
      <c r="B218" s="126" t="s">
        <v>158</v>
      </c>
      <c r="C218" s="548"/>
      <c r="D218" s="549"/>
      <c r="E218" s="129"/>
      <c r="F218" s="129"/>
      <c r="G218" s="129"/>
      <c r="H218" s="130"/>
      <c r="I218" s="130"/>
      <c r="J218" s="130"/>
      <c r="K218" s="130"/>
      <c r="L218" s="130"/>
      <c r="M218" s="130"/>
      <c r="N218" s="130"/>
      <c r="O218" s="130"/>
      <c r="P218" s="130"/>
      <c r="Q218" s="131"/>
    </row>
    <row r="219" spans="1:17" ht="12.75">
      <c r="A219" s="535" t="s">
        <v>229</v>
      </c>
      <c r="B219" s="108" t="s">
        <v>84</v>
      </c>
      <c r="C219" s="538" t="s">
        <v>494</v>
      </c>
      <c r="D219" s="539"/>
      <c r="E219" s="539"/>
      <c r="F219" s="539"/>
      <c r="G219" s="539"/>
      <c r="H219" s="539"/>
      <c r="I219" s="539"/>
      <c r="J219" s="539"/>
      <c r="K219" s="109"/>
      <c r="L219" s="109"/>
      <c r="M219" s="109"/>
      <c r="N219" s="109"/>
      <c r="O219" s="109"/>
      <c r="P219" s="109"/>
      <c r="Q219" s="110"/>
    </row>
    <row r="220" spans="1:17" ht="12.75">
      <c r="A220" s="536"/>
      <c r="B220" s="111" t="s">
        <v>85</v>
      </c>
      <c r="C220" s="540" t="s">
        <v>498</v>
      </c>
      <c r="D220" s="541"/>
      <c r="E220" s="541"/>
      <c r="F220" s="541"/>
      <c r="G220" s="541"/>
      <c r="H220" s="541"/>
      <c r="I220" s="541"/>
      <c r="J220" s="541"/>
      <c r="K220" s="541"/>
      <c r="L220" s="541"/>
      <c r="M220" s="541"/>
      <c r="N220" s="541"/>
      <c r="O220" s="541"/>
      <c r="P220" s="541"/>
      <c r="Q220" s="542"/>
    </row>
    <row r="221" spans="1:17" ht="12.75">
      <c r="A221" s="536"/>
      <c r="B221" s="111" t="s">
        <v>86</v>
      </c>
      <c r="C221" s="540" t="s">
        <v>499</v>
      </c>
      <c r="D221" s="541"/>
      <c r="E221" s="541"/>
      <c r="F221" s="541"/>
      <c r="G221" s="541"/>
      <c r="H221" s="541"/>
      <c r="I221" s="541"/>
      <c r="J221" s="541"/>
      <c r="K221" s="541"/>
      <c r="L221" s="114"/>
      <c r="M221" s="114"/>
      <c r="N221" s="114"/>
      <c r="O221" s="114"/>
      <c r="P221" s="114"/>
      <c r="Q221" s="115"/>
    </row>
    <row r="222" spans="1:17" ht="12.75">
      <c r="A222" s="536"/>
      <c r="B222" s="116" t="s">
        <v>219</v>
      </c>
      <c r="C222" s="390"/>
      <c r="D222" s="393"/>
      <c r="E222" s="393"/>
      <c r="F222" s="393"/>
      <c r="G222" s="393"/>
      <c r="H222" s="393"/>
      <c r="I222" s="393"/>
      <c r="J222" s="393"/>
      <c r="K222" s="393"/>
      <c r="L222" s="114"/>
      <c r="M222" s="114"/>
      <c r="N222" s="114"/>
      <c r="O222" s="114"/>
      <c r="P222" s="114"/>
      <c r="Q222" s="115"/>
    </row>
    <row r="223" spans="1:17" ht="12.75">
      <c r="A223" s="536"/>
      <c r="B223" s="116" t="s">
        <v>87</v>
      </c>
      <c r="C223" s="127" t="s">
        <v>495</v>
      </c>
      <c r="D223" s="128"/>
      <c r="E223" s="128"/>
      <c r="F223" s="128"/>
      <c r="G223" s="128"/>
      <c r="H223" s="128"/>
      <c r="I223" s="128"/>
      <c r="J223" s="128"/>
      <c r="K223" s="114"/>
      <c r="L223" s="114"/>
      <c r="M223" s="114"/>
      <c r="N223" s="114"/>
      <c r="O223" s="114"/>
      <c r="P223" s="114"/>
      <c r="Q223" s="115"/>
    </row>
    <row r="224" spans="1:17" ht="12.75">
      <c r="A224" s="536"/>
      <c r="B224" s="117" t="s">
        <v>88</v>
      </c>
      <c r="C224" s="543"/>
      <c r="D224" s="544"/>
      <c r="E224" s="118">
        <f>E225+E226</f>
        <v>1343981</v>
      </c>
      <c r="F224" s="118">
        <f>F225+F226</f>
        <v>344362</v>
      </c>
      <c r="G224" s="118">
        <f>G225+G226</f>
        <v>999619</v>
      </c>
      <c r="H224" s="118">
        <f aca="true" t="shared" si="14" ref="H224:Q224">H225</f>
        <v>600779</v>
      </c>
      <c r="I224" s="118">
        <f t="shared" si="14"/>
        <v>203928</v>
      </c>
      <c r="J224" s="118">
        <f t="shared" si="14"/>
        <v>0</v>
      </c>
      <c r="K224" s="118">
        <f t="shared" si="14"/>
        <v>0</v>
      </c>
      <c r="L224" s="118">
        <f t="shared" si="14"/>
        <v>203928</v>
      </c>
      <c r="M224" s="118">
        <f t="shared" si="14"/>
        <v>396851</v>
      </c>
      <c r="N224" s="118">
        <f t="shared" si="14"/>
        <v>0</v>
      </c>
      <c r="O224" s="118">
        <f t="shared" si="14"/>
        <v>0</v>
      </c>
      <c r="P224" s="118">
        <f t="shared" si="14"/>
        <v>0</v>
      </c>
      <c r="Q224" s="119">
        <f t="shared" si="14"/>
        <v>396851</v>
      </c>
    </row>
    <row r="225" spans="1:17" ht="12.75">
      <c r="A225" s="536"/>
      <c r="B225" s="108" t="s">
        <v>214</v>
      </c>
      <c r="C225" s="545"/>
      <c r="D225" s="546"/>
      <c r="E225" s="120">
        <f>F225+G225</f>
        <v>600779</v>
      </c>
      <c r="F225" s="120">
        <f>I225</f>
        <v>203928</v>
      </c>
      <c r="G225" s="120">
        <f>M225</f>
        <v>396851</v>
      </c>
      <c r="H225" s="121">
        <f>I225+M225</f>
        <v>600779</v>
      </c>
      <c r="I225" s="121">
        <f>SUM(J225:L225)</f>
        <v>203928</v>
      </c>
      <c r="J225" s="121"/>
      <c r="K225" s="121"/>
      <c r="L225" s="121">
        <v>203928</v>
      </c>
      <c r="M225" s="121">
        <f>SUM(N225:Q225)</f>
        <v>396851</v>
      </c>
      <c r="N225" s="121"/>
      <c r="O225" s="121"/>
      <c r="P225" s="121"/>
      <c r="Q225" s="122">
        <v>396851</v>
      </c>
    </row>
    <row r="226" spans="1:17" ht="12.75">
      <c r="A226" s="536"/>
      <c r="B226" s="111" t="s">
        <v>138</v>
      </c>
      <c r="C226" s="540"/>
      <c r="D226" s="547"/>
      <c r="E226" s="120">
        <f>F226+G226</f>
        <v>743202</v>
      </c>
      <c r="F226" s="123">
        <v>140434</v>
      </c>
      <c r="G226" s="120">
        <v>602768</v>
      </c>
      <c r="H226" s="121"/>
      <c r="I226" s="121"/>
      <c r="J226" s="124"/>
      <c r="K226" s="124"/>
      <c r="L226" s="124"/>
      <c r="M226" s="121"/>
      <c r="N226" s="124"/>
      <c r="O226" s="124"/>
      <c r="P226" s="124"/>
      <c r="Q226" s="125"/>
    </row>
    <row r="227" spans="1:17" ht="13.5" thickBot="1">
      <c r="A227" s="537"/>
      <c r="B227" s="126" t="s">
        <v>158</v>
      </c>
      <c r="C227" s="548"/>
      <c r="D227" s="549"/>
      <c r="E227" s="129"/>
      <c r="F227" s="129"/>
      <c r="G227" s="129"/>
      <c r="H227" s="130"/>
      <c r="I227" s="130"/>
      <c r="J227" s="130"/>
      <c r="K227" s="130"/>
      <c r="L227" s="130"/>
      <c r="M227" s="130"/>
      <c r="N227" s="130"/>
      <c r="O227" s="130"/>
      <c r="P227" s="130"/>
      <c r="Q227" s="131"/>
    </row>
    <row r="228" spans="1:17" ht="12.75">
      <c r="A228" s="535" t="s">
        <v>230</v>
      </c>
      <c r="B228" s="108" t="s">
        <v>84</v>
      </c>
      <c r="C228" s="538"/>
      <c r="D228" s="539"/>
      <c r="E228" s="539"/>
      <c r="F228" s="539"/>
      <c r="G228" s="539"/>
      <c r="H228" s="539"/>
      <c r="I228" s="539"/>
      <c r="J228" s="539"/>
      <c r="K228" s="109"/>
      <c r="L228" s="109"/>
      <c r="M228" s="109"/>
      <c r="N228" s="109"/>
      <c r="O228" s="109"/>
      <c r="P228" s="109"/>
      <c r="Q228" s="110"/>
    </row>
    <row r="229" spans="1:17" ht="12.75">
      <c r="A229" s="536"/>
      <c r="B229" s="111" t="s">
        <v>85</v>
      </c>
      <c r="C229" s="540"/>
      <c r="D229" s="541"/>
      <c r="E229" s="541"/>
      <c r="F229" s="541"/>
      <c r="G229" s="541"/>
      <c r="H229" s="541"/>
      <c r="I229" s="541"/>
      <c r="J229" s="541"/>
      <c r="K229" s="541"/>
      <c r="L229" s="541"/>
      <c r="M229" s="541"/>
      <c r="N229" s="541"/>
      <c r="O229" s="541"/>
      <c r="P229" s="541"/>
      <c r="Q229" s="542"/>
    </row>
    <row r="230" spans="1:17" ht="12.75">
      <c r="A230" s="536"/>
      <c r="B230" s="111" t="s">
        <v>86</v>
      </c>
      <c r="C230" s="540"/>
      <c r="D230" s="541"/>
      <c r="E230" s="541"/>
      <c r="F230" s="541"/>
      <c r="G230" s="541"/>
      <c r="H230" s="541"/>
      <c r="I230" s="541"/>
      <c r="J230" s="541"/>
      <c r="K230" s="541"/>
      <c r="L230" s="114"/>
      <c r="M230" s="114"/>
      <c r="N230" s="114"/>
      <c r="O230" s="114"/>
      <c r="P230" s="114"/>
      <c r="Q230" s="115"/>
    </row>
    <row r="231" spans="1:17" ht="12.75">
      <c r="A231" s="536"/>
      <c r="B231" s="116" t="s">
        <v>219</v>
      </c>
      <c r="C231" s="390"/>
      <c r="D231" s="393"/>
      <c r="E231" s="393"/>
      <c r="F231" s="393"/>
      <c r="G231" s="393"/>
      <c r="H231" s="393"/>
      <c r="I231" s="393"/>
      <c r="J231" s="393"/>
      <c r="K231" s="393"/>
      <c r="L231" s="114"/>
      <c r="M231" s="114"/>
      <c r="N231" s="114"/>
      <c r="O231" s="114"/>
      <c r="P231" s="114"/>
      <c r="Q231" s="115"/>
    </row>
    <row r="232" spans="1:17" ht="12.75">
      <c r="A232" s="536"/>
      <c r="B232" s="116" t="s">
        <v>87</v>
      </c>
      <c r="C232" s="127" t="s">
        <v>497</v>
      </c>
      <c r="D232" s="128"/>
      <c r="E232" s="128"/>
      <c r="F232" s="128"/>
      <c r="G232" s="128"/>
      <c r="H232" s="128"/>
      <c r="I232" s="128"/>
      <c r="J232" s="128"/>
      <c r="K232" s="114"/>
      <c r="L232" s="114"/>
      <c r="M232" s="114"/>
      <c r="N232" s="114"/>
      <c r="O232" s="114"/>
      <c r="P232" s="114"/>
      <c r="Q232" s="115"/>
    </row>
    <row r="233" spans="1:17" ht="12.75">
      <c r="A233" s="536"/>
      <c r="B233" s="117" t="s">
        <v>88</v>
      </c>
      <c r="C233" s="543"/>
      <c r="D233" s="544"/>
      <c r="E233" s="118">
        <f>E234+E235</f>
        <v>7542</v>
      </c>
      <c r="F233" s="118">
        <f>F234+F235</f>
        <v>0</v>
      </c>
      <c r="G233" s="118">
        <f>G234+G235</f>
        <v>7542</v>
      </c>
      <c r="H233" s="118">
        <f aca="true" t="shared" si="15" ref="H233:Q233">H234</f>
        <v>7542</v>
      </c>
      <c r="I233" s="118">
        <f t="shared" si="15"/>
        <v>0</v>
      </c>
      <c r="J233" s="118">
        <f t="shared" si="15"/>
        <v>0</v>
      </c>
      <c r="K233" s="118">
        <f t="shared" si="15"/>
        <v>0</v>
      </c>
      <c r="L233" s="118">
        <f t="shared" si="15"/>
        <v>0</v>
      </c>
      <c r="M233" s="118">
        <f t="shared" si="15"/>
        <v>7542</v>
      </c>
      <c r="N233" s="118">
        <f t="shared" si="15"/>
        <v>0</v>
      </c>
      <c r="O233" s="118">
        <f t="shared" si="15"/>
        <v>0</v>
      </c>
      <c r="P233" s="118">
        <f t="shared" si="15"/>
        <v>0</v>
      </c>
      <c r="Q233" s="119">
        <f t="shared" si="15"/>
        <v>7542</v>
      </c>
    </row>
    <row r="234" spans="1:17" ht="12.75">
      <c r="A234" s="536"/>
      <c r="B234" s="108" t="s">
        <v>214</v>
      </c>
      <c r="C234" s="545"/>
      <c r="D234" s="546"/>
      <c r="E234" s="120">
        <f>F234+G234</f>
        <v>7542</v>
      </c>
      <c r="F234" s="120">
        <f>I234</f>
        <v>0</v>
      </c>
      <c r="G234" s="120">
        <f>M234</f>
        <v>7542</v>
      </c>
      <c r="H234" s="121">
        <f>I234+M234</f>
        <v>7542</v>
      </c>
      <c r="I234" s="121">
        <f>SUM(J234:L234)</f>
        <v>0</v>
      </c>
      <c r="J234" s="121"/>
      <c r="K234" s="121"/>
      <c r="L234" s="121">
        <v>0</v>
      </c>
      <c r="M234" s="121">
        <f>SUM(N234:Q234)</f>
        <v>7542</v>
      </c>
      <c r="N234" s="121"/>
      <c r="O234" s="121"/>
      <c r="P234" s="121"/>
      <c r="Q234" s="122">
        <v>7542</v>
      </c>
    </row>
    <row r="235" spans="1:17" ht="12.75">
      <c r="A235" s="536"/>
      <c r="B235" s="111" t="s">
        <v>138</v>
      </c>
      <c r="C235" s="540"/>
      <c r="D235" s="547"/>
      <c r="E235" s="120">
        <f>F235</f>
        <v>0</v>
      </c>
      <c r="F235" s="123"/>
      <c r="G235" s="120"/>
      <c r="H235" s="121"/>
      <c r="I235" s="121"/>
      <c r="J235" s="124"/>
      <c r="K235" s="124"/>
      <c r="L235" s="124"/>
      <c r="M235" s="121"/>
      <c r="N235" s="124"/>
      <c r="O235" s="124"/>
      <c r="P235" s="124"/>
      <c r="Q235" s="125"/>
    </row>
    <row r="236" spans="1:17" ht="13.5" thickBot="1">
      <c r="A236" s="537"/>
      <c r="B236" s="126" t="s">
        <v>158</v>
      </c>
      <c r="C236" s="548"/>
      <c r="D236" s="549"/>
      <c r="E236" s="129"/>
      <c r="F236" s="129"/>
      <c r="G236" s="129"/>
      <c r="H236" s="130"/>
      <c r="I236" s="130"/>
      <c r="J236" s="130"/>
      <c r="K236" s="130"/>
      <c r="L236" s="130"/>
      <c r="M236" s="130"/>
      <c r="N236" s="130"/>
      <c r="O236" s="130"/>
      <c r="P236" s="130"/>
      <c r="Q236" s="131"/>
    </row>
    <row r="237" spans="1:17" ht="12.75">
      <c r="A237" s="535" t="s">
        <v>231</v>
      </c>
      <c r="B237" s="108" t="s">
        <v>84</v>
      </c>
      <c r="C237" s="538" t="s">
        <v>496</v>
      </c>
      <c r="D237" s="539"/>
      <c r="E237" s="539"/>
      <c r="F237" s="539"/>
      <c r="G237" s="539"/>
      <c r="H237" s="539"/>
      <c r="I237" s="539"/>
      <c r="J237" s="539"/>
      <c r="K237" s="109"/>
      <c r="L237" s="109"/>
      <c r="M237" s="109"/>
      <c r="N237" s="109"/>
      <c r="O237" s="109"/>
      <c r="P237" s="109"/>
      <c r="Q237" s="110"/>
    </row>
    <row r="238" spans="1:17" ht="12.75">
      <c r="A238" s="536"/>
      <c r="B238" s="111" t="s">
        <v>85</v>
      </c>
      <c r="C238" s="540"/>
      <c r="D238" s="541"/>
      <c r="E238" s="541"/>
      <c r="F238" s="541"/>
      <c r="G238" s="541"/>
      <c r="H238" s="541"/>
      <c r="I238" s="541"/>
      <c r="J238" s="541"/>
      <c r="K238" s="541"/>
      <c r="L238" s="541"/>
      <c r="M238" s="541"/>
      <c r="N238" s="541"/>
      <c r="O238" s="541"/>
      <c r="P238" s="541"/>
      <c r="Q238" s="542"/>
    </row>
    <row r="239" spans="1:17" ht="12.75">
      <c r="A239" s="536"/>
      <c r="B239" s="111" t="s">
        <v>86</v>
      </c>
      <c r="C239" s="540"/>
      <c r="D239" s="541"/>
      <c r="E239" s="541"/>
      <c r="F239" s="541"/>
      <c r="G239" s="541"/>
      <c r="H239" s="541"/>
      <c r="I239" s="541"/>
      <c r="J239" s="541"/>
      <c r="K239" s="541"/>
      <c r="L239" s="114"/>
      <c r="M239" s="114"/>
      <c r="N239" s="114"/>
      <c r="O239" s="114"/>
      <c r="P239" s="114"/>
      <c r="Q239" s="115"/>
    </row>
    <row r="240" spans="1:17" ht="12.75">
      <c r="A240" s="536"/>
      <c r="B240" s="116" t="s">
        <v>219</v>
      </c>
      <c r="C240" s="390"/>
      <c r="D240" s="393"/>
      <c r="E240" s="393"/>
      <c r="F240" s="393"/>
      <c r="G240" s="393"/>
      <c r="H240" s="393"/>
      <c r="I240" s="393"/>
      <c r="J240" s="393"/>
      <c r="K240" s="393"/>
      <c r="L240" s="114"/>
      <c r="M240" s="114"/>
      <c r="N240" s="114"/>
      <c r="O240" s="114"/>
      <c r="P240" s="114"/>
      <c r="Q240" s="115"/>
    </row>
    <row r="241" spans="1:17" ht="12.75">
      <c r="A241" s="536"/>
      <c r="B241" s="116" t="s">
        <v>87</v>
      </c>
      <c r="C241" s="127" t="s">
        <v>500</v>
      </c>
      <c r="D241" s="128"/>
      <c r="E241" s="128"/>
      <c r="F241" s="128"/>
      <c r="G241" s="128"/>
      <c r="H241" s="128"/>
      <c r="I241" s="128"/>
      <c r="J241" s="128"/>
      <c r="K241" s="114"/>
      <c r="L241" s="114"/>
      <c r="M241" s="114"/>
      <c r="N241" s="114"/>
      <c r="O241" s="114"/>
      <c r="P241" s="114"/>
      <c r="Q241" s="115"/>
    </row>
    <row r="242" spans="1:17" ht="12.75">
      <c r="A242" s="536"/>
      <c r="B242" s="117" t="s">
        <v>88</v>
      </c>
      <c r="C242" s="543"/>
      <c r="D242" s="544"/>
      <c r="E242" s="118">
        <f>E243+E244</f>
        <v>18768</v>
      </c>
      <c r="F242" s="118">
        <f>F243+F244</f>
        <v>0</v>
      </c>
      <c r="G242" s="118">
        <f>G243+G244</f>
        <v>18768</v>
      </c>
      <c r="H242" s="118">
        <f aca="true" t="shared" si="16" ref="H242:Q242">H243</f>
        <v>18768</v>
      </c>
      <c r="I242" s="118">
        <f t="shared" si="16"/>
        <v>0</v>
      </c>
      <c r="J242" s="118">
        <f t="shared" si="16"/>
        <v>0</v>
      </c>
      <c r="K242" s="118">
        <f t="shared" si="16"/>
        <v>0</v>
      </c>
      <c r="L242" s="118">
        <f t="shared" si="16"/>
        <v>0</v>
      </c>
      <c r="M242" s="118">
        <f t="shared" si="16"/>
        <v>18768</v>
      </c>
      <c r="N242" s="118">
        <f t="shared" si="16"/>
        <v>0</v>
      </c>
      <c r="O242" s="118">
        <f t="shared" si="16"/>
        <v>0</v>
      </c>
      <c r="P242" s="118">
        <f t="shared" si="16"/>
        <v>0</v>
      </c>
      <c r="Q242" s="119">
        <f t="shared" si="16"/>
        <v>18768</v>
      </c>
    </row>
    <row r="243" spans="1:17" ht="12.75">
      <c r="A243" s="536"/>
      <c r="B243" s="108" t="s">
        <v>214</v>
      </c>
      <c r="C243" s="545"/>
      <c r="D243" s="546"/>
      <c r="E243" s="120">
        <f>F243+G243</f>
        <v>18768</v>
      </c>
      <c r="F243" s="120">
        <f>I243</f>
        <v>0</v>
      </c>
      <c r="G243" s="120">
        <f>M243</f>
        <v>18768</v>
      </c>
      <c r="H243" s="121">
        <f>I243+M243</f>
        <v>18768</v>
      </c>
      <c r="I243" s="121">
        <f>SUM(J243:L243)</f>
        <v>0</v>
      </c>
      <c r="J243" s="121"/>
      <c r="K243" s="121"/>
      <c r="L243" s="121">
        <v>0</v>
      </c>
      <c r="M243" s="121">
        <f>SUM(N243:Q243)</f>
        <v>18768</v>
      </c>
      <c r="N243" s="121"/>
      <c r="O243" s="121"/>
      <c r="P243" s="121"/>
      <c r="Q243" s="122">
        <v>18768</v>
      </c>
    </row>
    <row r="244" spans="1:17" ht="12.75">
      <c r="A244" s="536"/>
      <c r="B244" s="111" t="s">
        <v>138</v>
      </c>
      <c r="C244" s="540"/>
      <c r="D244" s="547"/>
      <c r="E244" s="120">
        <f>F244</f>
        <v>0</v>
      </c>
      <c r="F244" s="123"/>
      <c r="G244" s="120"/>
      <c r="H244" s="121"/>
      <c r="I244" s="121"/>
      <c r="J244" s="124"/>
      <c r="K244" s="124"/>
      <c r="L244" s="124"/>
      <c r="M244" s="121"/>
      <c r="N244" s="124"/>
      <c r="O244" s="124"/>
      <c r="P244" s="124"/>
      <c r="Q244" s="125"/>
    </row>
    <row r="245" spans="1:17" ht="13.5" thickBot="1">
      <c r="A245" s="537"/>
      <c r="B245" s="126" t="s">
        <v>158</v>
      </c>
      <c r="C245" s="548"/>
      <c r="D245" s="549"/>
      <c r="E245" s="129"/>
      <c r="F245" s="129"/>
      <c r="G245" s="129"/>
      <c r="H245" s="130"/>
      <c r="I245" s="130"/>
      <c r="J245" s="130"/>
      <c r="K245" s="130"/>
      <c r="L245" s="130"/>
      <c r="M245" s="130"/>
      <c r="N245" s="130"/>
      <c r="O245" s="130"/>
      <c r="P245" s="130"/>
      <c r="Q245" s="131"/>
    </row>
    <row r="246" spans="1:17" ht="12.75">
      <c r="A246" s="535" t="s">
        <v>504</v>
      </c>
      <c r="B246" s="108" t="s">
        <v>84</v>
      </c>
      <c r="C246" s="538" t="s">
        <v>477</v>
      </c>
      <c r="D246" s="539"/>
      <c r="E246" s="539"/>
      <c r="F246" s="539"/>
      <c r="G246" s="539"/>
      <c r="H246" s="539"/>
      <c r="I246" s="539"/>
      <c r="J246" s="539"/>
      <c r="K246" s="109"/>
      <c r="L246" s="109"/>
      <c r="M246" s="109"/>
      <c r="N246" s="109"/>
      <c r="O246" s="109"/>
      <c r="P246" s="109"/>
      <c r="Q246" s="110"/>
    </row>
    <row r="247" spans="1:2" ht="12.75">
      <c r="A247" s="536"/>
      <c r="B247" s="111" t="s">
        <v>85</v>
      </c>
    </row>
    <row r="248" spans="1:17" ht="12.75">
      <c r="A248" s="536"/>
      <c r="B248" s="111" t="s">
        <v>86</v>
      </c>
      <c r="C248" s="540" t="s">
        <v>501</v>
      </c>
      <c r="D248" s="541"/>
      <c r="E248" s="541"/>
      <c r="F248" s="541"/>
      <c r="G248" s="541"/>
      <c r="H248" s="541"/>
      <c r="I248" s="541"/>
      <c r="J248" s="541"/>
      <c r="K248" s="541"/>
      <c r="L248" s="541"/>
      <c r="M248" s="541"/>
      <c r="N248" s="541"/>
      <c r="O248" s="541"/>
      <c r="P248" s="541"/>
      <c r="Q248" s="542"/>
    </row>
    <row r="249" spans="1:17" ht="12.75">
      <c r="A249" s="536"/>
      <c r="B249" s="116" t="s">
        <v>219</v>
      </c>
      <c r="C249" s="390" t="s">
        <v>502</v>
      </c>
      <c r="D249" s="393"/>
      <c r="E249" s="393"/>
      <c r="F249" s="393"/>
      <c r="G249" s="393"/>
      <c r="H249" s="393"/>
      <c r="I249" s="393"/>
      <c r="J249" s="393"/>
      <c r="K249" s="393"/>
      <c r="L249" s="114"/>
      <c r="M249" s="114"/>
      <c r="N249" s="114"/>
      <c r="O249" s="114"/>
      <c r="P249" s="114"/>
      <c r="Q249" s="115"/>
    </row>
    <row r="250" spans="1:17" ht="12.75">
      <c r="A250" s="536"/>
      <c r="B250" s="116" t="s">
        <v>87</v>
      </c>
      <c r="C250" s="127" t="s">
        <v>503</v>
      </c>
      <c r="D250" s="128"/>
      <c r="E250" s="128"/>
      <c r="F250" s="128"/>
      <c r="G250" s="128"/>
      <c r="H250" s="128"/>
      <c r="I250" s="128"/>
      <c r="J250" s="128"/>
      <c r="K250" s="114"/>
      <c r="L250" s="114"/>
      <c r="M250" s="114"/>
      <c r="N250" s="114"/>
      <c r="O250" s="114"/>
      <c r="P250" s="114"/>
      <c r="Q250" s="115"/>
    </row>
    <row r="251" spans="1:17" ht="12.75">
      <c r="A251" s="536"/>
      <c r="B251" s="117" t="s">
        <v>88</v>
      </c>
      <c r="C251" s="543"/>
      <c r="D251" s="544"/>
      <c r="E251" s="118">
        <f>E252+E253</f>
        <v>221566</v>
      </c>
      <c r="F251" s="118">
        <f>F252+F253</f>
        <v>33236</v>
      </c>
      <c r="G251" s="118">
        <f>G252+G253</f>
        <v>188330</v>
      </c>
      <c r="H251" s="118">
        <f aca="true" t="shared" si="17" ref="H251:Q251">H252</f>
        <v>221566</v>
      </c>
      <c r="I251" s="118">
        <f t="shared" si="17"/>
        <v>33236</v>
      </c>
      <c r="J251" s="118">
        <f t="shared" si="17"/>
        <v>0</v>
      </c>
      <c r="K251" s="118">
        <f t="shared" si="17"/>
        <v>0</v>
      </c>
      <c r="L251" s="118">
        <f t="shared" si="17"/>
        <v>33236</v>
      </c>
      <c r="M251" s="118">
        <f t="shared" si="17"/>
        <v>188330</v>
      </c>
      <c r="N251" s="118">
        <f t="shared" si="17"/>
        <v>0</v>
      </c>
      <c r="O251" s="118">
        <f t="shared" si="17"/>
        <v>0</v>
      </c>
      <c r="P251" s="118">
        <f t="shared" si="17"/>
        <v>0</v>
      </c>
      <c r="Q251" s="119">
        <f t="shared" si="17"/>
        <v>188330</v>
      </c>
    </row>
    <row r="252" spans="1:17" ht="12.75">
      <c r="A252" s="536"/>
      <c r="B252" s="108" t="s">
        <v>214</v>
      </c>
      <c r="C252" s="545"/>
      <c r="D252" s="546"/>
      <c r="E252" s="120">
        <f>F252+G252</f>
        <v>221566</v>
      </c>
      <c r="F252" s="120">
        <f>I252</f>
        <v>33236</v>
      </c>
      <c r="G252" s="120">
        <f>M252</f>
        <v>188330</v>
      </c>
      <c r="H252" s="121">
        <f>I252+M252</f>
        <v>221566</v>
      </c>
      <c r="I252" s="121">
        <f>SUM(J252:L252)</f>
        <v>33236</v>
      </c>
      <c r="J252" s="121"/>
      <c r="K252" s="121"/>
      <c r="L252" s="121">
        <v>33236</v>
      </c>
      <c r="M252" s="121">
        <f>SUM(N252:Q252)</f>
        <v>188330</v>
      </c>
      <c r="N252" s="121"/>
      <c r="O252" s="121"/>
      <c r="P252" s="121"/>
      <c r="Q252" s="122">
        <v>188330</v>
      </c>
    </row>
    <row r="253" spans="1:17" ht="12.75">
      <c r="A253" s="536"/>
      <c r="B253" s="111" t="s">
        <v>138</v>
      </c>
      <c r="C253" s="540"/>
      <c r="D253" s="547"/>
      <c r="E253" s="120">
        <f>F253</f>
        <v>0</v>
      </c>
      <c r="F253" s="123"/>
      <c r="G253" s="120"/>
      <c r="H253" s="121"/>
      <c r="I253" s="121"/>
      <c r="J253" s="124"/>
      <c r="K253" s="124"/>
      <c r="L253" s="124"/>
      <c r="M253" s="121"/>
      <c r="N253" s="124"/>
      <c r="O253" s="124"/>
      <c r="P253" s="124"/>
      <c r="Q253" s="125"/>
    </row>
    <row r="254" spans="1:17" ht="13.5" thickBot="1">
      <c r="A254" s="537"/>
      <c r="B254" s="126" t="s">
        <v>158</v>
      </c>
      <c r="C254" s="548"/>
      <c r="D254" s="549"/>
      <c r="E254" s="129"/>
      <c r="F254" s="129"/>
      <c r="G254" s="129"/>
      <c r="H254" s="130"/>
      <c r="I254" s="130"/>
      <c r="J254" s="130"/>
      <c r="K254" s="130"/>
      <c r="L254" s="130"/>
      <c r="M254" s="130"/>
      <c r="N254" s="130"/>
      <c r="O254" s="130"/>
      <c r="P254" s="130"/>
      <c r="Q254" s="131"/>
    </row>
    <row r="255" spans="1:17" ht="12.75">
      <c r="A255" s="535" t="s">
        <v>504</v>
      </c>
      <c r="B255" s="108" t="s">
        <v>84</v>
      </c>
      <c r="C255" s="538" t="s">
        <v>477</v>
      </c>
      <c r="D255" s="539"/>
      <c r="E255" s="539"/>
      <c r="F255" s="539"/>
      <c r="G255" s="539"/>
      <c r="H255" s="539"/>
      <c r="I255" s="539"/>
      <c r="J255" s="539"/>
      <c r="K255" s="109"/>
      <c r="L255" s="109"/>
      <c r="M255" s="109"/>
      <c r="N255" s="109"/>
      <c r="O255" s="109"/>
      <c r="P255" s="109"/>
      <c r="Q255" s="110"/>
    </row>
    <row r="256" spans="1:3" ht="12.75">
      <c r="A256" s="536"/>
      <c r="B256" s="111" t="s">
        <v>85</v>
      </c>
      <c r="C256" s="420" t="s">
        <v>521</v>
      </c>
    </row>
    <row r="257" spans="1:17" ht="12.75">
      <c r="A257" s="536"/>
      <c r="B257" s="111" t="s">
        <v>86</v>
      </c>
      <c r="C257" s="540" t="s">
        <v>522</v>
      </c>
      <c r="D257" s="541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  <c r="Q257" s="542"/>
    </row>
    <row r="258" spans="1:17" ht="12.75">
      <c r="A258" s="536"/>
      <c r="B258" s="116" t="s">
        <v>219</v>
      </c>
      <c r="C258" s="390"/>
      <c r="D258" s="393"/>
      <c r="E258" s="393"/>
      <c r="F258" s="393"/>
      <c r="G258" s="393"/>
      <c r="H258" s="393"/>
      <c r="I258" s="393"/>
      <c r="J258" s="393"/>
      <c r="K258" s="393"/>
      <c r="L258" s="114"/>
      <c r="M258" s="114"/>
      <c r="N258" s="114"/>
      <c r="O258" s="114"/>
      <c r="P258" s="114"/>
      <c r="Q258" s="115"/>
    </row>
    <row r="259" spans="1:17" ht="12.75">
      <c r="A259" s="536"/>
      <c r="B259" s="116" t="s">
        <v>87</v>
      </c>
      <c r="C259" s="127" t="s">
        <v>523</v>
      </c>
      <c r="D259" s="128"/>
      <c r="E259" s="128"/>
      <c r="F259" s="128"/>
      <c r="G259" s="128"/>
      <c r="H259" s="128"/>
      <c r="I259" s="128"/>
      <c r="J259" s="128"/>
      <c r="K259" s="114"/>
      <c r="L259" s="114"/>
      <c r="M259" s="114"/>
      <c r="N259" s="114"/>
      <c r="O259" s="114"/>
      <c r="P259" s="114"/>
      <c r="Q259" s="115"/>
    </row>
    <row r="260" spans="1:17" ht="12.75">
      <c r="A260" s="536"/>
      <c r="B260" s="117" t="s">
        <v>88</v>
      </c>
      <c r="C260" s="543"/>
      <c r="D260" s="544"/>
      <c r="E260" s="118">
        <f>E261+E262</f>
        <v>722700</v>
      </c>
      <c r="F260" s="118">
        <f>F261+F262</f>
        <v>36135</v>
      </c>
      <c r="G260" s="118">
        <f>G261+G262</f>
        <v>686565</v>
      </c>
      <c r="H260" s="118">
        <f aca="true" t="shared" si="18" ref="H260:Q260">H261</f>
        <v>391747</v>
      </c>
      <c r="I260" s="118">
        <f t="shared" si="18"/>
        <v>19587</v>
      </c>
      <c r="J260" s="118">
        <f t="shared" si="18"/>
        <v>0</v>
      </c>
      <c r="K260" s="118">
        <f t="shared" si="18"/>
        <v>0</v>
      </c>
      <c r="L260" s="118">
        <f t="shared" si="18"/>
        <v>19587</v>
      </c>
      <c r="M260" s="118">
        <f t="shared" si="18"/>
        <v>372160</v>
      </c>
      <c r="N260" s="118">
        <f t="shared" si="18"/>
        <v>0</v>
      </c>
      <c r="O260" s="118">
        <f t="shared" si="18"/>
        <v>0</v>
      </c>
      <c r="P260" s="118">
        <f t="shared" si="18"/>
        <v>0</v>
      </c>
      <c r="Q260" s="119">
        <f t="shared" si="18"/>
        <v>372160</v>
      </c>
    </row>
    <row r="261" spans="1:17" ht="12.75">
      <c r="A261" s="536"/>
      <c r="B261" s="108" t="s">
        <v>214</v>
      </c>
      <c r="C261" s="545"/>
      <c r="D261" s="546"/>
      <c r="E261" s="120">
        <f>F261+G261</f>
        <v>391747</v>
      </c>
      <c r="F261" s="120">
        <f>I261</f>
        <v>19587</v>
      </c>
      <c r="G261" s="120">
        <f>M261</f>
        <v>372160</v>
      </c>
      <c r="H261" s="121">
        <f>I261+M261</f>
        <v>391747</v>
      </c>
      <c r="I261" s="121">
        <f>SUM(J261:L261)</f>
        <v>19587</v>
      </c>
      <c r="J261" s="121"/>
      <c r="K261" s="121"/>
      <c r="L261" s="121">
        <v>19587</v>
      </c>
      <c r="M261" s="121">
        <f>SUM(N261:Q261)</f>
        <v>372160</v>
      </c>
      <c r="N261" s="121"/>
      <c r="O261" s="121"/>
      <c r="P261" s="121"/>
      <c r="Q261" s="122">
        <v>372160</v>
      </c>
    </row>
    <row r="262" spans="1:17" ht="12.75">
      <c r="A262" s="536"/>
      <c r="B262" s="111" t="s">
        <v>138</v>
      </c>
      <c r="C262" s="540"/>
      <c r="D262" s="547"/>
      <c r="E262" s="120">
        <f>F262+G262</f>
        <v>330953</v>
      </c>
      <c r="F262" s="123">
        <v>16548</v>
      </c>
      <c r="G262" s="120">
        <v>314405</v>
      </c>
      <c r="H262" s="121"/>
      <c r="I262" s="121"/>
      <c r="J262" s="124"/>
      <c r="K262" s="124"/>
      <c r="L262" s="124"/>
      <c r="M262" s="121"/>
      <c r="N262" s="124"/>
      <c r="O262" s="124"/>
      <c r="P262" s="124"/>
      <c r="Q262" s="125"/>
    </row>
    <row r="263" spans="1:17" ht="13.5" thickBot="1">
      <c r="A263" s="537"/>
      <c r="B263" s="126" t="s">
        <v>158</v>
      </c>
      <c r="C263" s="548"/>
      <c r="D263" s="549"/>
      <c r="E263" s="129"/>
      <c r="F263" s="129"/>
      <c r="G263" s="129"/>
      <c r="H263" s="130"/>
      <c r="I263" s="130"/>
      <c r="J263" s="130"/>
      <c r="K263" s="130"/>
      <c r="L263" s="130"/>
      <c r="M263" s="130"/>
      <c r="N263" s="130"/>
      <c r="O263" s="130"/>
      <c r="P263" s="130"/>
      <c r="Q263" s="131"/>
    </row>
    <row r="264" spans="1:17" ht="13.5" thickBot="1">
      <c r="A264" s="138">
        <v>2</v>
      </c>
      <c r="B264" s="139" t="s">
        <v>82</v>
      </c>
      <c r="C264" s="562" t="s">
        <v>46</v>
      </c>
      <c r="D264" s="563"/>
      <c r="E264" s="140">
        <f>E270+E279+E288</f>
        <v>23625406</v>
      </c>
      <c r="F264" s="140">
        <f aca="true" t="shared" si="19" ref="F264:Q264">F270+F279+F288</f>
        <v>5938124</v>
      </c>
      <c r="G264" s="140">
        <f t="shared" si="19"/>
        <v>17723872</v>
      </c>
      <c r="H264" s="140">
        <f t="shared" si="19"/>
        <v>9898784</v>
      </c>
      <c r="I264" s="140">
        <f t="shared" si="19"/>
        <v>3393321</v>
      </c>
      <c r="J264" s="140">
        <f t="shared" si="19"/>
        <v>0</v>
      </c>
      <c r="K264" s="140">
        <f t="shared" si="19"/>
        <v>0</v>
      </c>
      <c r="L264" s="140">
        <f t="shared" si="19"/>
        <v>3393321</v>
      </c>
      <c r="M264" s="140">
        <f t="shared" si="19"/>
        <v>6505463</v>
      </c>
      <c r="N264" s="140">
        <f t="shared" si="19"/>
        <v>0</v>
      </c>
      <c r="O264" s="140">
        <f t="shared" si="19"/>
        <v>0</v>
      </c>
      <c r="P264" s="140">
        <f t="shared" si="19"/>
        <v>0</v>
      </c>
      <c r="Q264" s="140">
        <f t="shared" si="19"/>
        <v>6544783</v>
      </c>
    </row>
    <row r="265" spans="1:17" ht="12.75">
      <c r="A265" s="587" t="s">
        <v>92</v>
      </c>
      <c r="B265" s="132" t="s">
        <v>84</v>
      </c>
      <c r="C265" s="391" t="s">
        <v>244</v>
      </c>
      <c r="D265" s="40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41"/>
    </row>
    <row r="266" spans="1:17" ht="12.75">
      <c r="A266" s="551"/>
      <c r="B266" s="111" t="s">
        <v>85</v>
      </c>
      <c r="C266" s="390" t="s">
        <v>245</v>
      </c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41"/>
    </row>
    <row r="267" spans="1:17" ht="12.75">
      <c r="A267" s="551"/>
      <c r="B267" s="111" t="s">
        <v>86</v>
      </c>
      <c r="C267" s="390" t="s">
        <v>246</v>
      </c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41"/>
    </row>
    <row r="268" spans="1:17" ht="12.75">
      <c r="A268" s="551"/>
      <c r="B268" s="116" t="s">
        <v>219</v>
      </c>
      <c r="C268" s="390" t="s">
        <v>247</v>
      </c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41"/>
    </row>
    <row r="269" spans="1:17" ht="12.75">
      <c r="A269" s="551"/>
      <c r="B269" s="116" t="s">
        <v>87</v>
      </c>
      <c r="C269" s="112" t="s">
        <v>248</v>
      </c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41"/>
    </row>
    <row r="270" spans="1:17" ht="12.75">
      <c r="A270" s="551"/>
      <c r="B270" s="117" t="s">
        <v>88</v>
      </c>
      <c r="C270" s="553"/>
      <c r="D270" s="544"/>
      <c r="E270" s="118">
        <v>10602689</v>
      </c>
      <c r="F270" s="118">
        <v>3192040</v>
      </c>
      <c r="G270" s="118">
        <v>7447239</v>
      </c>
      <c r="H270" s="118">
        <f>H271</f>
        <v>1570736</v>
      </c>
      <c r="I270" s="118">
        <f aca="true" t="shared" si="20" ref="I270:Q270">I271</f>
        <v>647237</v>
      </c>
      <c r="J270" s="118">
        <f t="shared" si="20"/>
        <v>0</v>
      </c>
      <c r="K270" s="118">
        <f t="shared" si="20"/>
        <v>0</v>
      </c>
      <c r="L270" s="118">
        <f t="shared" si="20"/>
        <v>647237</v>
      </c>
      <c r="M270" s="118">
        <f t="shared" si="20"/>
        <v>923499</v>
      </c>
      <c r="N270" s="118">
        <f t="shared" si="20"/>
        <v>0</v>
      </c>
      <c r="O270" s="118">
        <f t="shared" si="20"/>
        <v>0</v>
      </c>
      <c r="P270" s="118">
        <f t="shared" si="20"/>
        <v>0</v>
      </c>
      <c r="Q270" s="119">
        <f t="shared" si="20"/>
        <v>962819</v>
      </c>
    </row>
    <row r="271" spans="1:17" ht="12.75">
      <c r="A271" s="551"/>
      <c r="B271" s="108" t="s">
        <v>214</v>
      </c>
      <c r="C271" s="545"/>
      <c r="D271" s="546"/>
      <c r="E271" s="118">
        <f>F271+G271</f>
        <v>1570736</v>
      </c>
      <c r="F271" s="118">
        <f>I271</f>
        <v>647237</v>
      </c>
      <c r="G271" s="118">
        <f>M271</f>
        <v>923499</v>
      </c>
      <c r="H271" s="118">
        <f>I271+M271</f>
        <v>1570736</v>
      </c>
      <c r="I271" s="118">
        <f>L271</f>
        <v>647237</v>
      </c>
      <c r="J271" s="142"/>
      <c r="K271" s="142"/>
      <c r="L271" s="118">
        <v>647237</v>
      </c>
      <c r="M271" s="118">
        <v>923499</v>
      </c>
      <c r="N271" s="142"/>
      <c r="O271" s="142"/>
      <c r="P271" s="142"/>
      <c r="Q271" s="119">
        <v>962819</v>
      </c>
    </row>
    <row r="272" spans="1:17" ht="12.75">
      <c r="A272" s="551"/>
      <c r="B272" s="111" t="s">
        <v>138</v>
      </c>
      <c r="C272" s="540"/>
      <c r="D272" s="547"/>
      <c r="E272" s="120"/>
      <c r="F272" s="123"/>
      <c r="G272" s="120"/>
      <c r="H272" s="121"/>
      <c r="I272" s="121"/>
      <c r="J272" s="121"/>
      <c r="K272" s="121"/>
      <c r="L272" s="121"/>
      <c r="M272" s="121"/>
      <c r="N272" s="121"/>
      <c r="O272" s="121"/>
      <c r="P272" s="121"/>
      <c r="Q272" s="122"/>
    </row>
    <row r="273" spans="1:17" ht="13.5" thickBot="1">
      <c r="A273" s="554"/>
      <c r="B273" s="403" t="s">
        <v>142</v>
      </c>
      <c r="C273" s="555"/>
      <c r="D273" s="556"/>
      <c r="E273" s="399"/>
      <c r="F273" s="399"/>
      <c r="G273" s="399"/>
      <c r="H273" s="400"/>
      <c r="I273" s="400"/>
      <c r="J273" s="400"/>
      <c r="K273" s="400"/>
      <c r="L273" s="400"/>
      <c r="M273" s="400"/>
      <c r="N273" s="400"/>
      <c r="O273" s="400"/>
      <c r="P273" s="400"/>
      <c r="Q273" s="401"/>
    </row>
    <row r="274" spans="1:17" ht="12.75">
      <c r="A274" s="550" t="s">
        <v>505</v>
      </c>
      <c r="B274" s="108" t="s">
        <v>84</v>
      </c>
      <c r="C274" s="391" t="s">
        <v>244</v>
      </c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41"/>
    </row>
    <row r="275" spans="1:17" ht="12.75">
      <c r="A275" s="551"/>
      <c r="B275" s="111" t="s">
        <v>85</v>
      </c>
      <c r="C275" s="390" t="s">
        <v>245</v>
      </c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41"/>
    </row>
    <row r="276" spans="1:17" ht="12.75">
      <c r="A276" s="551"/>
      <c r="B276" s="111" t="s">
        <v>86</v>
      </c>
      <c r="C276" s="390" t="s">
        <v>516</v>
      </c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41"/>
    </row>
    <row r="277" spans="1:17" ht="12.75">
      <c r="A277" s="551"/>
      <c r="B277" s="116" t="s">
        <v>219</v>
      </c>
      <c r="C277" s="390" t="s">
        <v>517</v>
      </c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41"/>
    </row>
    <row r="278" spans="1:17" ht="12.75">
      <c r="A278" s="551"/>
      <c r="B278" s="116" t="s">
        <v>87</v>
      </c>
      <c r="C278" s="112" t="s">
        <v>506</v>
      </c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41"/>
    </row>
    <row r="279" spans="1:17" ht="12.75">
      <c r="A279" s="551"/>
      <c r="B279" s="117" t="s">
        <v>88</v>
      </c>
      <c r="C279" s="553"/>
      <c r="D279" s="544"/>
      <c r="E279" s="118">
        <f>E280+E281</f>
        <v>8391066</v>
      </c>
      <c r="F279" s="118">
        <f>F280+F281</f>
        <v>1143424</v>
      </c>
      <c r="G279" s="118">
        <f>G280+G281</f>
        <v>7247642</v>
      </c>
      <c r="H279" s="118">
        <f>H280</f>
        <v>3696397</v>
      </c>
      <c r="I279" s="118">
        <f aca="true" t="shared" si="21" ref="I279:Q279">I280</f>
        <v>1143424</v>
      </c>
      <c r="J279" s="118">
        <f t="shared" si="21"/>
        <v>0</v>
      </c>
      <c r="K279" s="118">
        <f t="shared" si="21"/>
        <v>0</v>
      </c>
      <c r="L279" s="118">
        <f t="shared" si="21"/>
        <v>1143424</v>
      </c>
      <c r="M279" s="118">
        <f t="shared" si="21"/>
        <v>2552973</v>
      </c>
      <c r="N279" s="118">
        <f t="shared" si="21"/>
        <v>0</v>
      </c>
      <c r="O279" s="118">
        <f t="shared" si="21"/>
        <v>0</v>
      </c>
      <c r="P279" s="118">
        <f t="shared" si="21"/>
        <v>0</v>
      </c>
      <c r="Q279" s="119">
        <f t="shared" si="21"/>
        <v>2552973</v>
      </c>
    </row>
    <row r="280" spans="1:17" ht="12.75">
      <c r="A280" s="551"/>
      <c r="B280" s="108" t="s">
        <v>214</v>
      </c>
      <c r="C280" s="545"/>
      <c r="D280" s="546"/>
      <c r="E280" s="118">
        <f>F280+G280</f>
        <v>3696397</v>
      </c>
      <c r="F280" s="118">
        <f>I280</f>
        <v>1143424</v>
      </c>
      <c r="G280" s="118">
        <f>M280</f>
        <v>2552973</v>
      </c>
      <c r="H280" s="118">
        <f>I280+M280</f>
        <v>3696397</v>
      </c>
      <c r="I280" s="118">
        <f>L280</f>
        <v>1143424</v>
      </c>
      <c r="J280" s="142"/>
      <c r="K280" s="142"/>
      <c r="L280" s="118">
        <v>1143424</v>
      </c>
      <c r="M280" s="118">
        <f>SUM(N280:Q280)</f>
        <v>2552973</v>
      </c>
      <c r="N280" s="142"/>
      <c r="O280" s="142"/>
      <c r="P280" s="142"/>
      <c r="Q280" s="119">
        <v>2552973</v>
      </c>
    </row>
    <row r="281" spans="1:17" ht="12.75">
      <c r="A281" s="551"/>
      <c r="B281" s="111" t="s">
        <v>138</v>
      </c>
      <c r="C281" s="540"/>
      <c r="D281" s="547"/>
      <c r="E281" s="120">
        <f>F281+G281</f>
        <v>4694669</v>
      </c>
      <c r="F281" s="123"/>
      <c r="G281" s="120">
        <v>4694669</v>
      </c>
      <c r="H281" s="121"/>
      <c r="I281" s="121"/>
      <c r="J281" s="121"/>
      <c r="K281" s="121"/>
      <c r="L281" s="121"/>
      <c r="M281" s="121"/>
      <c r="N281" s="121"/>
      <c r="O281" s="121"/>
      <c r="P281" s="121"/>
      <c r="Q281" s="122"/>
    </row>
    <row r="282" spans="1:17" ht="12.75">
      <c r="A282" s="554"/>
      <c r="B282" s="403" t="s">
        <v>142</v>
      </c>
      <c r="C282" s="555"/>
      <c r="D282" s="556"/>
      <c r="E282" s="399"/>
      <c r="F282" s="399"/>
      <c r="G282" s="399"/>
      <c r="H282" s="400"/>
      <c r="I282" s="400"/>
      <c r="J282" s="400"/>
      <c r="K282" s="400"/>
      <c r="L282" s="400"/>
      <c r="M282" s="400"/>
      <c r="N282" s="400"/>
      <c r="O282" s="400"/>
      <c r="P282" s="400"/>
      <c r="Q282" s="401"/>
    </row>
    <row r="283" spans="1:17" ht="12.75">
      <c r="A283" s="550" t="s">
        <v>518</v>
      </c>
      <c r="B283" s="108" t="s">
        <v>84</v>
      </c>
      <c r="C283" s="390" t="s">
        <v>244</v>
      </c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41"/>
    </row>
    <row r="284" spans="1:17" ht="12.75">
      <c r="A284" s="551"/>
      <c r="B284" s="111" t="s">
        <v>85</v>
      </c>
      <c r="C284" s="390" t="s">
        <v>245</v>
      </c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41"/>
    </row>
    <row r="285" spans="1:17" ht="12.75">
      <c r="A285" s="551"/>
      <c r="B285" s="111" t="s">
        <v>86</v>
      </c>
      <c r="C285" s="390" t="s">
        <v>246</v>
      </c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41"/>
    </row>
    <row r="286" spans="1:17" ht="12.75">
      <c r="A286" s="551"/>
      <c r="B286" s="116" t="s">
        <v>219</v>
      </c>
      <c r="C286" s="390" t="s">
        <v>247</v>
      </c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41"/>
    </row>
    <row r="287" spans="1:17" ht="12.75">
      <c r="A287" s="551"/>
      <c r="B287" s="116" t="s">
        <v>87</v>
      </c>
      <c r="C287" s="112" t="s">
        <v>519</v>
      </c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41"/>
    </row>
    <row r="288" spans="1:17" ht="12.75">
      <c r="A288" s="551"/>
      <c r="B288" s="117" t="s">
        <v>88</v>
      </c>
      <c r="C288" s="553"/>
      <c r="D288" s="544"/>
      <c r="E288" s="118">
        <f>E289+E290</f>
        <v>4631651</v>
      </c>
      <c r="F288" s="118">
        <f>F289+F290</f>
        <v>1602660</v>
      </c>
      <c r="G288" s="118">
        <f>G289+G290</f>
        <v>3028991</v>
      </c>
      <c r="H288" s="118">
        <f>H289</f>
        <v>4631651</v>
      </c>
      <c r="I288" s="118">
        <f aca="true" t="shared" si="22" ref="I288:Q288">I289</f>
        <v>1602660</v>
      </c>
      <c r="J288" s="118">
        <f t="shared" si="22"/>
        <v>0</v>
      </c>
      <c r="K288" s="118">
        <f t="shared" si="22"/>
        <v>0</v>
      </c>
      <c r="L288" s="118">
        <f t="shared" si="22"/>
        <v>1602660</v>
      </c>
      <c r="M288" s="118">
        <f t="shared" si="22"/>
        <v>3028991</v>
      </c>
      <c r="N288" s="118">
        <f t="shared" si="22"/>
        <v>0</v>
      </c>
      <c r="O288" s="118">
        <f t="shared" si="22"/>
        <v>0</v>
      </c>
      <c r="P288" s="118">
        <f t="shared" si="22"/>
        <v>0</v>
      </c>
      <c r="Q288" s="119">
        <f t="shared" si="22"/>
        <v>3028991</v>
      </c>
    </row>
    <row r="289" spans="1:17" ht="12.75">
      <c r="A289" s="551"/>
      <c r="B289" s="108" t="s">
        <v>214</v>
      </c>
      <c r="C289" s="545"/>
      <c r="D289" s="546"/>
      <c r="E289" s="118">
        <f>F289+G289</f>
        <v>4631651</v>
      </c>
      <c r="F289" s="118">
        <f>I289</f>
        <v>1602660</v>
      </c>
      <c r="G289" s="118">
        <f>M289</f>
        <v>3028991</v>
      </c>
      <c r="H289" s="118">
        <f>I289+M289</f>
        <v>4631651</v>
      </c>
      <c r="I289" s="118">
        <f>L289</f>
        <v>1602660</v>
      </c>
      <c r="J289" s="142"/>
      <c r="K289" s="142"/>
      <c r="L289" s="118">
        <v>1602660</v>
      </c>
      <c r="M289" s="118">
        <f>SUM(N289:Q289)</f>
        <v>3028991</v>
      </c>
      <c r="N289" s="142"/>
      <c r="O289" s="142"/>
      <c r="P289" s="142"/>
      <c r="Q289" s="119">
        <v>3028991</v>
      </c>
    </row>
    <row r="290" spans="1:17" ht="12.75">
      <c r="A290" s="551"/>
      <c r="B290" s="111" t="s">
        <v>138</v>
      </c>
      <c r="C290" s="540"/>
      <c r="D290" s="547"/>
      <c r="E290" s="120">
        <f>F290+G290</f>
        <v>0</v>
      </c>
      <c r="F290" s="123"/>
      <c r="G290" s="120">
        <v>0</v>
      </c>
      <c r="H290" s="121"/>
      <c r="I290" s="121"/>
      <c r="J290" s="121"/>
      <c r="K290" s="121"/>
      <c r="L290" s="121"/>
      <c r="M290" s="121"/>
      <c r="N290" s="121"/>
      <c r="O290" s="121"/>
      <c r="P290" s="121"/>
      <c r="Q290" s="122"/>
    </row>
    <row r="291" spans="1:17" ht="13.5" thickBot="1">
      <c r="A291" s="552"/>
      <c r="B291" s="126" t="s">
        <v>142</v>
      </c>
      <c r="C291" s="540"/>
      <c r="D291" s="547"/>
      <c r="E291" s="143"/>
      <c r="F291" s="143"/>
      <c r="G291" s="143"/>
      <c r="H291" s="144"/>
      <c r="I291" s="144"/>
      <c r="J291" s="144"/>
      <c r="K291" s="144"/>
      <c r="L291" s="144"/>
      <c r="M291" s="144"/>
      <c r="N291" s="144"/>
      <c r="O291" s="144"/>
      <c r="P291" s="144"/>
      <c r="Q291" s="145"/>
    </row>
    <row r="292" spans="1:17" ht="13.5" thickBot="1">
      <c r="A292" s="557" t="s">
        <v>102</v>
      </c>
      <c r="B292" s="558"/>
      <c r="C292" s="558"/>
      <c r="D292" s="559"/>
      <c r="E292" s="146">
        <f aca="true" t="shared" si="23" ref="E292:Q292">E264+E15</f>
        <v>27527635</v>
      </c>
      <c r="F292" s="146">
        <f t="shared" si="23"/>
        <v>6878060</v>
      </c>
      <c r="G292" s="146">
        <f t="shared" si="23"/>
        <v>20892821</v>
      </c>
      <c r="H292" s="146">
        <f t="shared" si="23"/>
        <v>12197826</v>
      </c>
      <c r="I292" s="146">
        <f t="shared" si="23"/>
        <v>3907661</v>
      </c>
      <c r="J292" s="146">
        <f t="shared" si="23"/>
        <v>0</v>
      </c>
      <c r="K292" s="146">
        <f t="shared" si="23"/>
        <v>0</v>
      </c>
      <c r="L292" s="146">
        <f t="shared" si="23"/>
        <v>3907661</v>
      </c>
      <c r="M292" s="146">
        <f t="shared" si="23"/>
        <v>8290165</v>
      </c>
      <c r="N292" s="146">
        <f t="shared" si="23"/>
        <v>0</v>
      </c>
      <c r="O292" s="146">
        <f t="shared" si="23"/>
        <v>0</v>
      </c>
      <c r="P292" s="146">
        <f t="shared" si="23"/>
        <v>0</v>
      </c>
      <c r="Q292" s="147">
        <f t="shared" si="23"/>
        <v>8329485</v>
      </c>
    </row>
    <row r="293" spans="1:17" ht="12.75">
      <c r="A293" s="560" t="s">
        <v>93</v>
      </c>
      <c r="B293" s="561"/>
      <c r="C293" s="561"/>
      <c r="D293" s="561"/>
      <c r="E293" s="561"/>
      <c r="F293" s="561"/>
      <c r="G293" s="561"/>
      <c r="H293" s="561"/>
      <c r="I293" s="561"/>
      <c r="J293" s="561"/>
      <c r="K293" s="148"/>
      <c r="L293" s="148"/>
      <c r="M293" s="148"/>
      <c r="N293" s="148"/>
      <c r="O293" s="148"/>
      <c r="P293" s="148"/>
      <c r="Q293" s="149"/>
    </row>
    <row r="294" spans="1:17" ht="12.75">
      <c r="A294" s="150" t="s">
        <v>97</v>
      </c>
      <c r="B294" s="151"/>
      <c r="C294" s="151"/>
      <c r="D294" s="151"/>
      <c r="E294" s="151"/>
      <c r="F294" s="151"/>
      <c r="G294" s="151"/>
      <c r="H294" s="151"/>
      <c r="I294" s="151"/>
      <c r="J294" s="151"/>
      <c r="K294" s="148"/>
      <c r="L294" s="148"/>
      <c r="M294" s="148"/>
      <c r="N294" s="148"/>
      <c r="O294" s="148"/>
      <c r="P294" s="148"/>
      <c r="Q294" s="149"/>
    </row>
    <row r="295" spans="1:17" ht="13.5" thickBot="1">
      <c r="A295" s="152" t="s">
        <v>249</v>
      </c>
      <c r="B295" s="153"/>
      <c r="C295" s="153"/>
      <c r="D295" s="153"/>
      <c r="E295" s="153"/>
      <c r="F295" s="153"/>
      <c r="G295" s="153"/>
      <c r="H295" s="153"/>
      <c r="I295" s="153"/>
      <c r="J295" s="153"/>
      <c r="K295" s="154"/>
      <c r="L295" s="154"/>
      <c r="M295" s="154"/>
      <c r="N295" s="154"/>
      <c r="O295" s="154"/>
      <c r="P295" s="154"/>
      <c r="Q295" s="155"/>
    </row>
  </sheetData>
  <sheetProtection/>
  <mergeCells count="193">
    <mergeCell ref="A6:Q6"/>
    <mergeCell ref="A8:A13"/>
    <mergeCell ref="B8:B13"/>
    <mergeCell ref="C8:C13"/>
    <mergeCell ref="D8:D13"/>
    <mergeCell ref="E8:E13"/>
    <mergeCell ref="F8:G8"/>
    <mergeCell ref="A265:A273"/>
    <mergeCell ref="C270:D270"/>
    <mergeCell ref="C271:D273"/>
    <mergeCell ref="A237:A245"/>
    <mergeCell ref="C237:J237"/>
    <mergeCell ref="C238:Q238"/>
    <mergeCell ref="C239:K239"/>
    <mergeCell ref="C248:Q248"/>
    <mergeCell ref="C251:D251"/>
    <mergeCell ref="C252:D254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A16:A23"/>
    <mergeCell ref="C16:J16"/>
    <mergeCell ref="C17:Q17"/>
    <mergeCell ref="C19:J19"/>
    <mergeCell ref="C20:D20"/>
    <mergeCell ref="C21:D23"/>
    <mergeCell ref="M12:M13"/>
    <mergeCell ref="N12:Q12"/>
    <mergeCell ref="A24:A31"/>
    <mergeCell ref="C24:J24"/>
    <mergeCell ref="C25:Q25"/>
    <mergeCell ref="C26:K26"/>
    <mergeCell ref="C27:M27"/>
    <mergeCell ref="C28:D28"/>
    <mergeCell ref="C29:D31"/>
    <mergeCell ref="C15:D15"/>
    <mergeCell ref="A32:A39"/>
    <mergeCell ref="C32:J32"/>
    <mergeCell ref="C33:Q33"/>
    <mergeCell ref="C34:K34"/>
    <mergeCell ref="C36:D36"/>
    <mergeCell ref="C37:D39"/>
    <mergeCell ref="A40:A48"/>
    <mergeCell ref="C40:J40"/>
    <mergeCell ref="C41:Q41"/>
    <mergeCell ref="C42:K42"/>
    <mergeCell ref="C45:D45"/>
    <mergeCell ref="C46:D48"/>
    <mergeCell ref="A49:A56"/>
    <mergeCell ref="C49:J49"/>
    <mergeCell ref="C50:Q50"/>
    <mergeCell ref="C51:K51"/>
    <mergeCell ref="C53:D53"/>
    <mergeCell ref="C54:D56"/>
    <mergeCell ref="A57:A64"/>
    <mergeCell ref="C57:J57"/>
    <mergeCell ref="C58:Q58"/>
    <mergeCell ref="C59:K59"/>
    <mergeCell ref="C61:D61"/>
    <mergeCell ref="C62:D64"/>
    <mergeCell ref="A65:A72"/>
    <mergeCell ref="C65:J65"/>
    <mergeCell ref="C66:Q66"/>
    <mergeCell ref="C67:K67"/>
    <mergeCell ref="C69:D69"/>
    <mergeCell ref="C70:D72"/>
    <mergeCell ref="A73:A80"/>
    <mergeCell ref="C73:J73"/>
    <mergeCell ref="C74:Q74"/>
    <mergeCell ref="C75:K75"/>
    <mergeCell ref="C77:D77"/>
    <mergeCell ref="C78:D80"/>
    <mergeCell ref="A81:A88"/>
    <mergeCell ref="C81:J81"/>
    <mergeCell ref="C82:Q82"/>
    <mergeCell ref="C83:K83"/>
    <mergeCell ref="C85:D85"/>
    <mergeCell ref="C86:D88"/>
    <mergeCell ref="A89:A96"/>
    <mergeCell ref="C89:J89"/>
    <mergeCell ref="C90:Q90"/>
    <mergeCell ref="C91:K91"/>
    <mergeCell ref="C93:D93"/>
    <mergeCell ref="C94:D96"/>
    <mergeCell ref="A147:A155"/>
    <mergeCell ref="C147:J147"/>
    <mergeCell ref="C148:Q148"/>
    <mergeCell ref="C149:K149"/>
    <mergeCell ref="C152:D152"/>
    <mergeCell ref="C153:D155"/>
    <mergeCell ref="A97:A104"/>
    <mergeCell ref="C101:D101"/>
    <mergeCell ref="C102:D104"/>
    <mergeCell ref="A105:A112"/>
    <mergeCell ref="C109:D109"/>
    <mergeCell ref="C110:D112"/>
    <mergeCell ref="A113:A120"/>
    <mergeCell ref="C114:Q114"/>
    <mergeCell ref="C117:D117"/>
    <mergeCell ref="C118:D120"/>
    <mergeCell ref="A121:A128"/>
    <mergeCell ref="C122:Q122"/>
    <mergeCell ref="C125:D125"/>
    <mergeCell ref="C126:D128"/>
    <mergeCell ref="A129:A137"/>
    <mergeCell ref="C130:Q130"/>
    <mergeCell ref="C134:D134"/>
    <mergeCell ref="C135:D137"/>
    <mergeCell ref="A138:A146"/>
    <mergeCell ref="C138:J138"/>
    <mergeCell ref="C139:Q139"/>
    <mergeCell ref="C140:K140"/>
    <mergeCell ref="C143:D143"/>
    <mergeCell ref="C144:D146"/>
    <mergeCell ref="A156:A164"/>
    <mergeCell ref="C156:J156"/>
    <mergeCell ref="C157:Q157"/>
    <mergeCell ref="C158:K158"/>
    <mergeCell ref="C161:D161"/>
    <mergeCell ref="C162:D164"/>
    <mergeCell ref="A165:A173"/>
    <mergeCell ref="C165:J165"/>
    <mergeCell ref="C166:Q166"/>
    <mergeCell ref="C167:K167"/>
    <mergeCell ref="C170:D170"/>
    <mergeCell ref="C171:D173"/>
    <mergeCell ref="A292:D292"/>
    <mergeCell ref="A293:J293"/>
    <mergeCell ref="A174:A182"/>
    <mergeCell ref="C174:J174"/>
    <mergeCell ref="C175:Q175"/>
    <mergeCell ref="C176:K176"/>
    <mergeCell ref="C179:D179"/>
    <mergeCell ref="C180:D182"/>
    <mergeCell ref="A183:A191"/>
    <mergeCell ref="C183:J183"/>
    <mergeCell ref="C233:D233"/>
    <mergeCell ref="C234:D236"/>
    <mergeCell ref="C264:D264"/>
    <mergeCell ref="C184:Q184"/>
    <mergeCell ref="C185:K185"/>
    <mergeCell ref="C188:D188"/>
    <mergeCell ref="C189:D191"/>
    <mergeCell ref="A210:A218"/>
    <mergeCell ref="C210:J210"/>
    <mergeCell ref="C211:Q211"/>
    <mergeCell ref="C212:K212"/>
    <mergeCell ref="C215:D215"/>
    <mergeCell ref="C216:D218"/>
    <mergeCell ref="A219:A227"/>
    <mergeCell ref="C219:J219"/>
    <mergeCell ref="C220:Q220"/>
    <mergeCell ref="C221:K221"/>
    <mergeCell ref="A283:A291"/>
    <mergeCell ref="C288:D288"/>
    <mergeCell ref="C289:D291"/>
    <mergeCell ref="C224:D224"/>
    <mergeCell ref="C225:D227"/>
    <mergeCell ref="A274:A282"/>
    <mergeCell ref="A255:A263"/>
    <mergeCell ref="C255:J255"/>
    <mergeCell ref="C257:Q257"/>
    <mergeCell ref="C260:D260"/>
    <mergeCell ref="C261:D263"/>
    <mergeCell ref="C279:D279"/>
    <mergeCell ref="C280:D282"/>
    <mergeCell ref="A228:A236"/>
    <mergeCell ref="C228:J228"/>
    <mergeCell ref="C229:Q229"/>
    <mergeCell ref="C230:K230"/>
    <mergeCell ref="C242:D242"/>
    <mergeCell ref="C243:D245"/>
    <mergeCell ref="A246:A254"/>
    <mergeCell ref="C246:J246"/>
    <mergeCell ref="A201:A209"/>
    <mergeCell ref="C201:J201"/>
    <mergeCell ref="C202:Q202"/>
    <mergeCell ref="C203:K203"/>
    <mergeCell ref="C206:D206"/>
    <mergeCell ref="C207:D209"/>
    <mergeCell ref="A192:A200"/>
    <mergeCell ref="C192:J192"/>
    <mergeCell ref="C193:Q193"/>
    <mergeCell ref="C194:K194"/>
    <mergeCell ref="C197:D197"/>
    <mergeCell ref="C198:D200"/>
  </mergeCells>
  <printOptions/>
  <pageMargins left="0.1968503937007874" right="0.7086614173228347" top="0.7480314960629921" bottom="0.7480314960629921" header="0.31496062992125984" footer="0.31496062992125984"/>
  <pageSetup fitToHeight="4" fitToWidth="4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7"/>
  <sheetViews>
    <sheetView view="pageBreakPreview" zoomScaleSheetLayoutView="100" zoomScalePageLayoutView="0" workbookViewId="0" topLeftCell="A1">
      <selection activeCell="A10" sqref="A10:F10"/>
    </sheetView>
  </sheetViews>
  <sheetFormatPr defaultColWidth="9.00390625" defaultRowHeight="12.75"/>
  <cols>
    <col min="1" max="1" width="6.875" style="0" customWidth="1"/>
    <col min="2" max="2" width="8.25390625" style="0" customWidth="1"/>
    <col min="3" max="3" width="8.375" style="0" customWidth="1"/>
    <col min="4" max="4" width="53.625" style="0" customWidth="1"/>
    <col min="5" max="5" width="10.375" style="0" customWidth="1"/>
    <col min="6" max="6" width="11.25390625" style="0" customWidth="1"/>
    <col min="7" max="7" width="9.875" style="0" customWidth="1"/>
  </cols>
  <sheetData>
    <row r="1" spans="1:7" ht="12.75">
      <c r="A1" s="158"/>
      <c r="B1" s="158"/>
      <c r="C1" s="158"/>
      <c r="D1" s="158"/>
      <c r="E1" s="159"/>
      <c r="F1" s="160" t="s">
        <v>546</v>
      </c>
      <c r="G1" s="158"/>
    </row>
    <row r="2" spans="1:7" ht="12.75">
      <c r="A2" s="158"/>
      <c r="B2" s="158"/>
      <c r="C2" s="158"/>
      <c r="D2" s="158"/>
      <c r="E2" s="159"/>
      <c r="F2" s="160" t="s">
        <v>255</v>
      </c>
      <c r="G2" s="158"/>
    </row>
    <row r="3" spans="1:7" ht="12.75">
      <c r="A3" s="158"/>
      <c r="B3" s="158"/>
      <c r="C3" s="158"/>
      <c r="D3" s="158"/>
      <c r="E3" s="159"/>
      <c r="F3" s="160" t="s">
        <v>165</v>
      </c>
      <c r="G3" s="158"/>
    </row>
    <row r="4" spans="1:7" ht="12.75">
      <c r="A4" s="158"/>
      <c r="B4" s="158"/>
      <c r="C4" s="158"/>
      <c r="D4" s="158"/>
      <c r="E4" s="159"/>
      <c r="F4" s="160" t="s">
        <v>256</v>
      </c>
      <c r="G4" s="158"/>
    </row>
    <row r="5" spans="1:7" ht="12.75">
      <c r="A5" s="158"/>
      <c r="B5" s="158"/>
      <c r="C5" s="158"/>
      <c r="D5" s="158"/>
      <c r="E5" s="158"/>
      <c r="F5" s="158"/>
      <c r="G5" s="158"/>
    </row>
    <row r="6" spans="1:7" ht="12.75">
      <c r="A6" s="158"/>
      <c r="B6" s="158"/>
      <c r="C6" s="158"/>
      <c r="D6" s="158"/>
      <c r="E6" s="158"/>
      <c r="F6" s="158"/>
      <c r="G6" s="158"/>
    </row>
    <row r="7" spans="1:7" ht="12.75">
      <c r="A7" s="158"/>
      <c r="B7" s="158"/>
      <c r="C7" s="158"/>
      <c r="D7" s="158"/>
      <c r="E7" s="158"/>
      <c r="F7" s="158"/>
      <c r="G7" s="158"/>
    </row>
    <row r="8" spans="1:7" ht="12.75">
      <c r="A8" s="158"/>
      <c r="B8" s="158"/>
      <c r="C8" s="158"/>
      <c r="D8" s="158"/>
      <c r="E8" s="158"/>
      <c r="F8" s="158"/>
      <c r="G8" s="158"/>
    </row>
    <row r="9" spans="1:7" ht="15.75">
      <c r="A9" s="589" t="s">
        <v>257</v>
      </c>
      <c r="B9" s="589"/>
      <c r="C9" s="589"/>
      <c r="D9" s="589"/>
      <c r="E9" s="589"/>
      <c r="F9" s="589"/>
      <c r="G9" s="158"/>
    </row>
    <row r="10" spans="1:7" ht="15.75">
      <c r="A10" s="590" t="s">
        <v>258</v>
      </c>
      <c r="B10" s="590"/>
      <c r="C10" s="590"/>
      <c r="D10" s="590"/>
      <c r="E10" s="590"/>
      <c r="F10" s="590"/>
      <c r="G10" s="158"/>
    </row>
    <row r="11" spans="1:7" ht="15.75">
      <c r="A11" s="590" t="s">
        <v>259</v>
      </c>
      <c r="B11" s="590"/>
      <c r="C11" s="590"/>
      <c r="D11" s="590"/>
      <c r="E11" s="590"/>
      <c r="F11" s="590"/>
      <c r="G11" s="158"/>
    </row>
    <row r="12" spans="1:7" ht="12.75">
      <c r="A12" s="158"/>
      <c r="B12" s="161"/>
      <c r="C12" s="161"/>
      <c r="D12" s="161"/>
      <c r="E12" s="161"/>
      <c r="F12" s="161"/>
      <c r="G12" s="158"/>
    </row>
    <row r="13" spans="1:7" ht="13.5" thickBot="1">
      <c r="A13" s="158"/>
      <c r="B13" s="158"/>
      <c r="C13" s="158"/>
      <c r="D13" s="158"/>
      <c r="E13" s="162"/>
      <c r="F13" s="162"/>
      <c r="G13" s="163"/>
    </row>
    <row r="14" spans="1:7" ht="12.75">
      <c r="A14" s="164"/>
      <c r="B14" s="165"/>
      <c r="C14" s="165"/>
      <c r="D14" s="166"/>
      <c r="E14" s="167"/>
      <c r="F14" s="167"/>
      <c r="G14" s="168" t="s">
        <v>260</v>
      </c>
    </row>
    <row r="15" spans="1:7" ht="12.75">
      <c r="A15" s="169" t="s">
        <v>261</v>
      </c>
      <c r="B15" s="170" t="s">
        <v>43</v>
      </c>
      <c r="C15" s="170" t="s">
        <v>4</v>
      </c>
      <c r="D15" s="170" t="s">
        <v>262</v>
      </c>
      <c r="E15" s="171" t="s">
        <v>263</v>
      </c>
      <c r="F15" s="171" t="s">
        <v>9</v>
      </c>
      <c r="G15" s="172" t="s">
        <v>264</v>
      </c>
    </row>
    <row r="16" spans="1:7" ht="12.75">
      <c r="A16" s="169"/>
      <c r="B16" s="170"/>
      <c r="C16" s="170"/>
      <c r="D16" s="173"/>
      <c r="E16" s="171"/>
      <c r="F16" s="171"/>
      <c r="G16" s="172" t="s">
        <v>265</v>
      </c>
    </row>
    <row r="17" spans="1:7" ht="13.5" thickBot="1">
      <c r="A17" s="174"/>
      <c r="B17" s="175"/>
      <c r="C17" s="176"/>
      <c r="D17" s="177"/>
      <c r="E17" s="177"/>
      <c r="F17" s="178"/>
      <c r="G17" s="179" t="s">
        <v>266</v>
      </c>
    </row>
    <row r="18" spans="1:7" ht="13.5" thickBot="1">
      <c r="A18" s="180">
        <v>1</v>
      </c>
      <c r="B18" s="181">
        <v>2</v>
      </c>
      <c r="C18" s="181">
        <v>3</v>
      </c>
      <c r="D18" s="181">
        <v>4</v>
      </c>
      <c r="E18" s="182">
        <v>5</v>
      </c>
      <c r="F18" s="183">
        <v>6</v>
      </c>
      <c r="G18" s="184">
        <v>7</v>
      </c>
    </row>
    <row r="19" spans="1:7" ht="15.75" thickBot="1">
      <c r="A19" s="449" t="s">
        <v>267</v>
      </c>
      <c r="B19" s="450"/>
      <c r="C19" s="450"/>
      <c r="D19" s="451" t="s">
        <v>268</v>
      </c>
      <c r="E19" s="452">
        <f>E20+E27</f>
        <v>56495</v>
      </c>
      <c r="F19" s="452">
        <f>F20+F27</f>
        <v>56495</v>
      </c>
      <c r="G19" s="453">
        <f>G20</f>
        <v>90</v>
      </c>
    </row>
    <row r="20" spans="1:7" ht="15">
      <c r="A20" s="454"/>
      <c r="B20" s="455" t="s">
        <v>269</v>
      </c>
      <c r="C20" s="456"/>
      <c r="D20" s="457" t="s">
        <v>270</v>
      </c>
      <c r="E20" s="458">
        <f>E21</f>
        <v>38000</v>
      </c>
      <c r="F20" s="459">
        <f>SUM(F21:F22)</f>
        <v>38000</v>
      </c>
      <c r="G20" s="460">
        <f>G25</f>
        <v>90</v>
      </c>
    </row>
    <row r="21" spans="1:7" ht="15">
      <c r="A21" s="454"/>
      <c r="B21" s="461"/>
      <c r="C21" s="462" t="s">
        <v>271</v>
      </c>
      <c r="D21" s="463" t="s">
        <v>272</v>
      </c>
      <c r="E21" s="464">
        <v>38000</v>
      </c>
      <c r="F21" s="465"/>
      <c r="G21" s="466"/>
    </row>
    <row r="22" spans="1:7" ht="15">
      <c r="A22" s="454"/>
      <c r="B22" s="461"/>
      <c r="C22" s="462" t="s">
        <v>273</v>
      </c>
      <c r="D22" s="463" t="s">
        <v>274</v>
      </c>
      <c r="E22" s="464"/>
      <c r="F22" s="465">
        <v>38000</v>
      </c>
      <c r="G22" s="466"/>
    </row>
    <row r="23" spans="1:7" ht="15">
      <c r="A23" s="454"/>
      <c r="B23" s="461"/>
      <c r="C23" s="462"/>
      <c r="D23" s="463"/>
      <c r="E23" s="464"/>
      <c r="F23" s="465"/>
      <c r="G23" s="466"/>
    </row>
    <row r="24" spans="1:7" ht="15">
      <c r="A24" s="454"/>
      <c r="B24" s="455" t="s">
        <v>275</v>
      </c>
      <c r="C24" s="467"/>
      <c r="D24" s="468" t="s">
        <v>276</v>
      </c>
      <c r="E24" s="469"/>
      <c r="F24" s="459"/>
      <c r="G24" s="470">
        <f>G25</f>
        <v>90</v>
      </c>
    </row>
    <row r="25" spans="1:7" ht="15">
      <c r="A25" s="454"/>
      <c r="B25" s="461"/>
      <c r="C25" s="462" t="s">
        <v>277</v>
      </c>
      <c r="D25" s="463" t="s">
        <v>278</v>
      </c>
      <c r="E25" s="464"/>
      <c r="F25" s="465"/>
      <c r="G25" s="466">
        <v>90</v>
      </c>
    </row>
    <row r="26" spans="1:7" ht="15">
      <c r="A26" s="454"/>
      <c r="B26" s="461"/>
      <c r="C26" s="462"/>
      <c r="D26" s="463"/>
      <c r="E26" s="464"/>
      <c r="F26" s="465"/>
      <c r="G26" s="466"/>
    </row>
    <row r="27" spans="1:7" ht="15">
      <c r="A27" s="454"/>
      <c r="B27" s="455" t="s">
        <v>536</v>
      </c>
      <c r="C27" s="467"/>
      <c r="D27" s="468" t="s">
        <v>469</v>
      </c>
      <c r="E27" s="469">
        <f>E28</f>
        <v>18495</v>
      </c>
      <c r="F27" s="459">
        <f>F30+F31+F29</f>
        <v>18495</v>
      </c>
      <c r="G27" s="470"/>
    </row>
    <row r="28" spans="1:7" ht="15">
      <c r="A28" s="454"/>
      <c r="B28" s="462"/>
      <c r="C28" s="462" t="s">
        <v>271</v>
      </c>
      <c r="D28" s="463" t="s">
        <v>272</v>
      </c>
      <c r="E28" s="464">
        <v>18495</v>
      </c>
      <c r="F28" s="465"/>
      <c r="G28" s="466"/>
    </row>
    <row r="29" spans="1:7" ht="15">
      <c r="A29" s="454"/>
      <c r="B29" s="462"/>
      <c r="C29" s="462" t="s">
        <v>273</v>
      </c>
      <c r="D29" s="463" t="s">
        <v>274</v>
      </c>
      <c r="E29" s="464"/>
      <c r="F29" s="465">
        <v>3600</v>
      </c>
      <c r="G29" s="466"/>
    </row>
    <row r="30" spans="1:7" ht="15">
      <c r="A30" s="454"/>
      <c r="B30" s="461"/>
      <c r="C30" s="462" t="s">
        <v>534</v>
      </c>
      <c r="D30" s="471" t="s">
        <v>471</v>
      </c>
      <c r="E30" s="464"/>
      <c r="F30" s="465">
        <v>2555</v>
      </c>
      <c r="G30" s="466"/>
    </row>
    <row r="31" spans="1:7" ht="15">
      <c r="A31" s="454"/>
      <c r="B31" s="461"/>
      <c r="C31" s="462" t="s">
        <v>533</v>
      </c>
      <c r="D31" s="463" t="s">
        <v>535</v>
      </c>
      <c r="E31" s="464"/>
      <c r="F31" s="465">
        <v>12340</v>
      </c>
      <c r="G31" s="466"/>
    </row>
    <row r="32" spans="1:7" ht="14.25">
      <c r="A32" s="472"/>
      <c r="B32" s="461"/>
      <c r="C32" s="461"/>
      <c r="D32" s="463"/>
      <c r="E32" s="464"/>
      <c r="F32" s="465"/>
      <c r="G32" s="466"/>
    </row>
    <row r="33" spans="1:7" ht="15.75" thickBot="1">
      <c r="A33" s="473">
        <v>700</v>
      </c>
      <c r="B33" s="450"/>
      <c r="C33" s="450"/>
      <c r="D33" s="474" t="s">
        <v>279</v>
      </c>
      <c r="E33" s="452">
        <f>E34</f>
        <v>23000</v>
      </c>
      <c r="F33" s="475">
        <f>F34</f>
        <v>23000</v>
      </c>
      <c r="G33" s="476">
        <f>G34</f>
        <v>248000</v>
      </c>
    </row>
    <row r="34" spans="1:7" ht="14.25">
      <c r="A34" s="472"/>
      <c r="B34" s="477">
        <v>70005</v>
      </c>
      <c r="C34" s="456"/>
      <c r="D34" s="468" t="s">
        <v>280</v>
      </c>
      <c r="E34" s="458">
        <f>E35</f>
        <v>23000</v>
      </c>
      <c r="F34" s="459">
        <f>SUM(F37:F41)</f>
        <v>23000</v>
      </c>
      <c r="G34" s="460">
        <f>G36</f>
        <v>248000</v>
      </c>
    </row>
    <row r="35" spans="1:7" ht="14.25">
      <c r="A35" s="472"/>
      <c r="B35" s="461"/>
      <c r="C35" s="462" t="s">
        <v>271</v>
      </c>
      <c r="D35" s="463" t="s">
        <v>272</v>
      </c>
      <c r="E35" s="464">
        <v>23000</v>
      </c>
      <c r="F35" s="465"/>
      <c r="G35" s="466"/>
    </row>
    <row r="36" spans="1:7" ht="14.25">
      <c r="A36" s="472"/>
      <c r="B36" s="461"/>
      <c r="C36" s="462" t="s">
        <v>277</v>
      </c>
      <c r="D36" s="463" t="s">
        <v>278</v>
      </c>
      <c r="E36" s="464"/>
      <c r="F36" s="465"/>
      <c r="G36" s="466">
        <v>248000</v>
      </c>
    </row>
    <row r="37" spans="1:7" ht="14.25">
      <c r="A37" s="472"/>
      <c r="B37" s="461"/>
      <c r="C37" s="478">
        <v>4210</v>
      </c>
      <c r="D37" s="471" t="s">
        <v>297</v>
      </c>
      <c r="E37" s="464"/>
      <c r="F37" s="465">
        <v>2111</v>
      </c>
      <c r="G37" s="466"/>
    </row>
    <row r="38" spans="1:7" ht="14.25">
      <c r="A38" s="472"/>
      <c r="B38" s="461"/>
      <c r="C38" s="462" t="s">
        <v>281</v>
      </c>
      <c r="D38" s="463" t="s">
        <v>282</v>
      </c>
      <c r="E38" s="464"/>
      <c r="F38" s="479">
        <v>4014</v>
      </c>
      <c r="G38" s="466"/>
    </row>
    <row r="39" spans="1:7" ht="14.25">
      <c r="A39" s="472"/>
      <c r="B39" s="461"/>
      <c r="C39" s="462" t="s">
        <v>273</v>
      </c>
      <c r="D39" s="463" t="s">
        <v>274</v>
      </c>
      <c r="E39" s="464"/>
      <c r="F39" s="479">
        <v>10094</v>
      </c>
      <c r="G39" s="466"/>
    </row>
    <row r="40" spans="1:7" ht="14.25">
      <c r="A40" s="472"/>
      <c r="B40" s="461"/>
      <c r="C40" s="462" t="s">
        <v>283</v>
      </c>
      <c r="D40" s="463" t="s">
        <v>284</v>
      </c>
      <c r="E40" s="464"/>
      <c r="F40" s="479">
        <f>3000+2181</f>
        <v>5181</v>
      </c>
      <c r="G40" s="480"/>
    </row>
    <row r="41" spans="1:7" ht="14.25">
      <c r="A41" s="472"/>
      <c r="B41" s="461"/>
      <c r="C41" s="462" t="s">
        <v>285</v>
      </c>
      <c r="D41" s="471" t="s">
        <v>286</v>
      </c>
      <c r="E41" s="464"/>
      <c r="F41" s="479">
        <f>2000-400</f>
        <v>1600</v>
      </c>
      <c r="G41" s="480"/>
    </row>
    <row r="42" spans="1:7" ht="14.25">
      <c r="A42" s="472"/>
      <c r="B42" s="461"/>
      <c r="C42" s="462"/>
      <c r="D42" s="463"/>
      <c r="E42" s="464"/>
      <c r="F42" s="465"/>
      <c r="G42" s="480"/>
    </row>
    <row r="43" spans="1:7" ht="15.75" thickBot="1">
      <c r="A43" s="473">
        <v>710</v>
      </c>
      <c r="B43" s="450"/>
      <c r="C43" s="481"/>
      <c r="D43" s="474" t="s">
        <v>287</v>
      </c>
      <c r="E43" s="452">
        <f>E44+E49+E53</f>
        <v>379487</v>
      </c>
      <c r="F43" s="475">
        <f>F44+F49+F53</f>
        <v>379487</v>
      </c>
      <c r="G43" s="480"/>
    </row>
    <row r="44" spans="1:7" ht="14.25">
      <c r="A44" s="472"/>
      <c r="B44" s="477">
        <v>71013</v>
      </c>
      <c r="C44" s="467"/>
      <c r="D44" s="468" t="s">
        <v>288</v>
      </c>
      <c r="E44" s="458">
        <f>E45</f>
        <v>45000</v>
      </c>
      <c r="F44" s="459">
        <f>SUM(F46:F47)</f>
        <v>45000</v>
      </c>
      <c r="G44" s="480"/>
    </row>
    <row r="45" spans="1:7" ht="14.25">
      <c r="A45" s="472"/>
      <c r="B45" s="461"/>
      <c r="C45" s="462" t="s">
        <v>271</v>
      </c>
      <c r="D45" s="463" t="s">
        <v>272</v>
      </c>
      <c r="E45" s="464">
        <v>45000</v>
      </c>
      <c r="F45" s="465"/>
      <c r="G45" s="480"/>
    </row>
    <row r="46" spans="1:7" ht="14.25">
      <c r="A46" s="472"/>
      <c r="B46" s="461"/>
      <c r="C46" s="462" t="s">
        <v>273</v>
      </c>
      <c r="D46" s="463" t="s">
        <v>274</v>
      </c>
      <c r="E46" s="464"/>
      <c r="F46" s="465">
        <v>45000</v>
      </c>
      <c r="G46" s="480"/>
    </row>
    <row r="47" spans="1:7" ht="14.25">
      <c r="A47" s="472"/>
      <c r="B47" s="461"/>
      <c r="C47" s="462" t="s">
        <v>285</v>
      </c>
      <c r="D47" s="471" t="s">
        <v>289</v>
      </c>
      <c r="E47" s="464"/>
      <c r="F47" s="465">
        <v>0</v>
      </c>
      <c r="G47" s="480"/>
    </row>
    <row r="48" spans="1:7" ht="14.25">
      <c r="A48" s="472"/>
      <c r="B48" s="461"/>
      <c r="C48" s="462"/>
      <c r="D48" s="463"/>
      <c r="E48" s="464"/>
      <c r="F48" s="465"/>
      <c r="G48" s="480"/>
    </row>
    <row r="49" spans="1:7" ht="14.25">
      <c r="A49" s="472"/>
      <c r="B49" s="477">
        <v>71014</v>
      </c>
      <c r="C49" s="467"/>
      <c r="D49" s="468" t="s">
        <v>290</v>
      </c>
      <c r="E49" s="458">
        <f>E50</f>
        <v>15000</v>
      </c>
      <c r="F49" s="459">
        <f>SUM(F51)</f>
        <v>15000</v>
      </c>
      <c r="G49" s="480"/>
    </row>
    <row r="50" spans="1:7" ht="14.25">
      <c r="A50" s="472"/>
      <c r="B50" s="461"/>
      <c r="C50" s="462" t="s">
        <v>271</v>
      </c>
      <c r="D50" s="463" t="s">
        <v>272</v>
      </c>
      <c r="E50" s="464">
        <f>'[1]Dochody-ukł.wykon.'!F60</f>
        <v>15000</v>
      </c>
      <c r="F50" s="465"/>
      <c r="G50" s="480"/>
    </row>
    <row r="51" spans="1:7" ht="14.25">
      <c r="A51" s="472"/>
      <c r="B51" s="461"/>
      <c r="C51" s="462" t="s">
        <v>273</v>
      </c>
      <c r="D51" s="463" t="s">
        <v>274</v>
      </c>
      <c r="E51" s="464"/>
      <c r="F51" s="465">
        <f>'[1]WYDATKI ukł.wyk.'!F95</f>
        <v>15000</v>
      </c>
      <c r="G51" s="480"/>
    </row>
    <row r="52" spans="1:7" ht="14.25">
      <c r="A52" s="472"/>
      <c r="B52" s="461"/>
      <c r="C52" s="462"/>
      <c r="D52" s="463"/>
      <c r="E52" s="464"/>
      <c r="F52" s="465"/>
      <c r="G52" s="480"/>
    </row>
    <row r="53" spans="1:7" ht="14.25">
      <c r="A53" s="472"/>
      <c r="B53" s="477">
        <v>71015</v>
      </c>
      <c r="C53" s="456"/>
      <c r="D53" s="468" t="s">
        <v>291</v>
      </c>
      <c r="E53" s="458">
        <f>SUM(E54:E54)</f>
        <v>319487</v>
      </c>
      <c r="F53" s="459">
        <f>SUM(F55:F72)</f>
        <v>319487</v>
      </c>
      <c r="G53" s="480"/>
    </row>
    <row r="54" spans="1:7" ht="14.25">
      <c r="A54" s="472"/>
      <c r="B54" s="461"/>
      <c r="C54" s="482">
        <v>2110</v>
      </c>
      <c r="D54" s="463" t="s">
        <v>272</v>
      </c>
      <c r="E54" s="464">
        <v>319487</v>
      </c>
      <c r="F54" s="465"/>
      <c r="G54" s="480"/>
    </row>
    <row r="55" spans="1:7" ht="14.25">
      <c r="A55" s="472"/>
      <c r="B55" s="461"/>
      <c r="C55" s="478">
        <v>4010</v>
      </c>
      <c r="D55" s="471" t="s">
        <v>292</v>
      </c>
      <c r="E55" s="464"/>
      <c r="F55" s="465">
        <v>75578</v>
      </c>
      <c r="G55" s="480"/>
    </row>
    <row r="56" spans="1:7" ht="14.25">
      <c r="A56" s="472"/>
      <c r="B56" s="461"/>
      <c r="C56" s="478">
        <v>4020</v>
      </c>
      <c r="D56" s="471" t="s">
        <v>293</v>
      </c>
      <c r="E56" s="464"/>
      <c r="F56" s="465">
        <v>146909</v>
      </c>
      <c r="G56" s="480"/>
    </row>
    <row r="57" spans="1:7" ht="14.25">
      <c r="A57" s="472"/>
      <c r="B57" s="461"/>
      <c r="C57" s="478">
        <v>4040</v>
      </c>
      <c r="D57" s="471" t="s">
        <v>294</v>
      </c>
      <c r="E57" s="464"/>
      <c r="F57" s="465">
        <v>17759</v>
      </c>
      <c r="G57" s="480"/>
    </row>
    <row r="58" spans="1:7" ht="14.25">
      <c r="A58" s="472"/>
      <c r="B58" s="461"/>
      <c r="C58" s="478">
        <v>4110</v>
      </c>
      <c r="D58" s="471" t="s">
        <v>295</v>
      </c>
      <c r="E58" s="464"/>
      <c r="F58" s="465">
        <v>35235</v>
      </c>
      <c r="G58" s="480"/>
    </row>
    <row r="59" spans="1:7" ht="14.25">
      <c r="A59" s="472"/>
      <c r="B59" s="461"/>
      <c r="C59" s="478">
        <v>4120</v>
      </c>
      <c r="D59" s="471" t="s">
        <v>296</v>
      </c>
      <c r="E59" s="464"/>
      <c r="F59" s="465">
        <v>1573</v>
      </c>
      <c r="G59" s="480"/>
    </row>
    <row r="60" spans="1:7" ht="14.25">
      <c r="A60" s="472"/>
      <c r="B60" s="461"/>
      <c r="C60" s="478">
        <v>4170</v>
      </c>
      <c r="D60" s="471" t="s">
        <v>314</v>
      </c>
      <c r="E60" s="464"/>
      <c r="F60" s="465">
        <v>1000</v>
      </c>
      <c r="G60" s="480"/>
    </row>
    <row r="61" spans="1:7" ht="14.25">
      <c r="A61" s="472"/>
      <c r="B61" s="461"/>
      <c r="C61" s="478">
        <v>4210</v>
      </c>
      <c r="D61" s="471" t="s">
        <v>297</v>
      </c>
      <c r="E61" s="464"/>
      <c r="F61" s="465">
        <v>4062</v>
      </c>
      <c r="G61" s="480"/>
    </row>
    <row r="62" spans="1:7" ht="14.25">
      <c r="A62" s="472"/>
      <c r="B62" s="461"/>
      <c r="C62" s="461">
        <v>4270</v>
      </c>
      <c r="D62" s="471" t="s">
        <v>282</v>
      </c>
      <c r="E62" s="464"/>
      <c r="F62" s="465">
        <v>0</v>
      </c>
      <c r="G62" s="480"/>
    </row>
    <row r="63" spans="1:7" ht="14.25">
      <c r="A63" s="472"/>
      <c r="B63" s="461"/>
      <c r="C63" s="478">
        <v>4280</v>
      </c>
      <c r="D63" s="471" t="s">
        <v>316</v>
      </c>
      <c r="E63" s="464"/>
      <c r="F63" s="465">
        <v>220</v>
      </c>
      <c r="G63" s="480"/>
    </row>
    <row r="64" spans="1:7" ht="14.25">
      <c r="A64" s="472"/>
      <c r="B64" s="461"/>
      <c r="C64" s="483" t="s">
        <v>273</v>
      </c>
      <c r="D64" s="471" t="s">
        <v>274</v>
      </c>
      <c r="E64" s="464"/>
      <c r="F64" s="465">
        <v>14637</v>
      </c>
      <c r="G64" s="480"/>
    </row>
    <row r="65" spans="1:7" ht="14.25">
      <c r="A65" s="472"/>
      <c r="B65" s="461"/>
      <c r="C65" s="461">
        <v>4350</v>
      </c>
      <c r="D65" s="471" t="s">
        <v>298</v>
      </c>
      <c r="E65" s="464"/>
      <c r="F65" s="465">
        <v>2181</v>
      </c>
      <c r="G65" s="480"/>
    </row>
    <row r="66" spans="1:7" ht="14.25">
      <c r="A66" s="472"/>
      <c r="B66" s="461"/>
      <c r="C66" s="484">
        <v>4360</v>
      </c>
      <c r="D66" s="471" t="s">
        <v>299</v>
      </c>
      <c r="E66" s="464"/>
      <c r="F66" s="465">
        <f>300-7</f>
        <v>293</v>
      </c>
      <c r="G66" s="480"/>
    </row>
    <row r="67" spans="1:7" ht="14.25">
      <c r="A67" s="472"/>
      <c r="B67" s="461"/>
      <c r="C67" s="461">
        <v>4370</v>
      </c>
      <c r="D67" s="471" t="s">
        <v>300</v>
      </c>
      <c r="E67" s="464"/>
      <c r="F67" s="465">
        <v>3190</v>
      </c>
      <c r="G67" s="480"/>
    </row>
    <row r="68" spans="1:7" ht="14.25">
      <c r="A68" s="472"/>
      <c r="B68" s="461"/>
      <c r="C68" s="461">
        <v>4400</v>
      </c>
      <c r="D68" s="471" t="s">
        <v>301</v>
      </c>
      <c r="E68" s="464"/>
      <c r="F68" s="465">
        <v>6924</v>
      </c>
      <c r="G68" s="480"/>
    </row>
    <row r="69" spans="1:7" ht="14.25">
      <c r="A69" s="472"/>
      <c r="B69" s="461"/>
      <c r="C69" s="483" t="s">
        <v>302</v>
      </c>
      <c r="D69" s="471" t="s">
        <v>303</v>
      </c>
      <c r="E69" s="464"/>
      <c r="F69" s="465">
        <v>1393</v>
      </c>
      <c r="G69" s="480"/>
    </row>
    <row r="70" spans="1:7" ht="14.25">
      <c r="A70" s="472"/>
      <c r="B70" s="461"/>
      <c r="C70" s="483" t="s">
        <v>304</v>
      </c>
      <c r="D70" s="471" t="s">
        <v>305</v>
      </c>
      <c r="E70" s="464"/>
      <c r="F70" s="465">
        <v>4715</v>
      </c>
      <c r="G70" s="480"/>
    </row>
    <row r="71" spans="1:7" ht="14.25">
      <c r="A71" s="472"/>
      <c r="B71" s="461"/>
      <c r="C71" s="485" t="s">
        <v>306</v>
      </c>
      <c r="D71" s="463" t="s">
        <v>307</v>
      </c>
      <c r="E71" s="464"/>
      <c r="F71" s="465">
        <v>630</v>
      </c>
      <c r="G71" s="480"/>
    </row>
    <row r="72" spans="1:7" ht="14.25">
      <c r="A72" s="472"/>
      <c r="B72" s="461"/>
      <c r="C72" s="485" t="s">
        <v>308</v>
      </c>
      <c r="D72" s="471" t="s">
        <v>309</v>
      </c>
      <c r="E72" s="464"/>
      <c r="F72" s="465">
        <v>3188</v>
      </c>
      <c r="G72" s="480"/>
    </row>
    <row r="73" spans="1:7" ht="15">
      <c r="A73" s="454"/>
      <c r="B73" s="486"/>
      <c r="C73" s="484"/>
      <c r="D73" s="463"/>
      <c r="E73" s="464"/>
      <c r="F73" s="465"/>
      <c r="G73" s="480"/>
    </row>
    <row r="74" spans="1:7" ht="15.75" thickBot="1">
      <c r="A74" s="473">
        <v>750</v>
      </c>
      <c r="B74" s="450"/>
      <c r="C74" s="450"/>
      <c r="D74" s="474" t="s">
        <v>310</v>
      </c>
      <c r="E74" s="452">
        <f>E75+E95</f>
        <v>197685</v>
      </c>
      <c r="F74" s="475">
        <f>F75+F95</f>
        <v>197685</v>
      </c>
      <c r="G74" s="480"/>
    </row>
    <row r="75" spans="1:7" ht="14.25">
      <c r="A75" s="472"/>
      <c r="B75" s="477">
        <v>75011</v>
      </c>
      <c r="C75" s="456"/>
      <c r="D75" s="468" t="s">
        <v>311</v>
      </c>
      <c r="E75" s="458">
        <f>E76</f>
        <v>186019</v>
      </c>
      <c r="F75" s="459">
        <f>SUM(F77:F94)</f>
        <v>186019</v>
      </c>
      <c r="G75" s="480"/>
    </row>
    <row r="76" spans="1:7" ht="14.25">
      <c r="A76" s="472"/>
      <c r="B76" s="461"/>
      <c r="C76" s="461">
        <v>2110</v>
      </c>
      <c r="D76" s="463" t="s">
        <v>272</v>
      </c>
      <c r="E76" s="464">
        <f>156019+30000</f>
        <v>186019</v>
      </c>
      <c r="F76" s="465"/>
      <c r="G76" s="480"/>
    </row>
    <row r="77" spans="1:7" ht="14.25">
      <c r="A77" s="472"/>
      <c r="B77" s="461"/>
      <c r="C77" s="478">
        <v>3020</v>
      </c>
      <c r="D77" s="487" t="s">
        <v>312</v>
      </c>
      <c r="E77" s="488"/>
      <c r="F77" s="479">
        <v>0</v>
      </c>
      <c r="G77" s="480"/>
    </row>
    <row r="78" spans="1:7" ht="14.25">
      <c r="A78" s="472"/>
      <c r="B78" s="461"/>
      <c r="C78" s="478">
        <v>4010</v>
      </c>
      <c r="D78" s="471" t="s">
        <v>292</v>
      </c>
      <c r="E78" s="464"/>
      <c r="F78" s="479">
        <f>130391-7731</f>
        <v>122660</v>
      </c>
      <c r="G78" s="480"/>
    </row>
    <row r="79" spans="1:7" ht="14.25">
      <c r="A79" s="472"/>
      <c r="B79" s="461"/>
      <c r="C79" s="478">
        <v>4040</v>
      </c>
      <c r="D79" s="471" t="s">
        <v>294</v>
      </c>
      <c r="E79" s="464"/>
      <c r="F79" s="479">
        <f>18481+1731</f>
        <v>20212</v>
      </c>
      <c r="G79" s="480"/>
    </row>
    <row r="80" spans="1:7" ht="14.25">
      <c r="A80" s="472"/>
      <c r="B80" s="461"/>
      <c r="C80" s="478">
        <v>4110</v>
      </c>
      <c r="D80" s="471" t="s">
        <v>295</v>
      </c>
      <c r="E80" s="464"/>
      <c r="F80" s="479">
        <v>20253</v>
      </c>
      <c r="G80" s="480"/>
    </row>
    <row r="81" spans="1:7" ht="14.25">
      <c r="A81" s="472"/>
      <c r="B81" s="461"/>
      <c r="C81" s="478">
        <v>4120</v>
      </c>
      <c r="D81" s="471" t="s">
        <v>313</v>
      </c>
      <c r="E81" s="464"/>
      <c r="F81" s="479">
        <v>3267</v>
      </c>
      <c r="G81" s="480"/>
    </row>
    <row r="82" spans="1:7" ht="14.25">
      <c r="A82" s="472"/>
      <c r="B82" s="461"/>
      <c r="C82" s="478">
        <v>4170</v>
      </c>
      <c r="D82" s="471" t="s">
        <v>314</v>
      </c>
      <c r="E82" s="464"/>
      <c r="F82" s="479">
        <f>6355+6000</f>
        <v>12355</v>
      </c>
      <c r="G82" s="480"/>
    </row>
    <row r="83" spans="1:7" ht="14.25">
      <c r="A83" s="472"/>
      <c r="B83" s="461"/>
      <c r="C83" s="478">
        <v>4210</v>
      </c>
      <c r="D83" s="471" t="s">
        <v>297</v>
      </c>
      <c r="E83" s="464"/>
      <c r="F83" s="479">
        <v>0</v>
      </c>
      <c r="G83" s="480"/>
    </row>
    <row r="84" spans="1:7" ht="14.25">
      <c r="A84" s="472"/>
      <c r="B84" s="461"/>
      <c r="C84" s="478">
        <v>4260</v>
      </c>
      <c r="D84" s="471" t="s">
        <v>315</v>
      </c>
      <c r="E84" s="464"/>
      <c r="F84" s="479">
        <v>0</v>
      </c>
      <c r="G84" s="480"/>
    </row>
    <row r="85" spans="1:7" ht="14.25">
      <c r="A85" s="472"/>
      <c r="B85" s="461"/>
      <c r="C85" s="478">
        <v>4270</v>
      </c>
      <c r="D85" s="471" t="s">
        <v>282</v>
      </c>
      <c r="E85" s="464"/>
      <c r="F85" s="479">
        <v>0</v>
      </c>
      <c r="G85" s="480"/>
    </row>
    <row r="86" spans="1:7" ht="14.25">
      <c r="A86" s="472"/>
      <c r="B86" s="461"/>
      <c r="C86" s="478">
        <v>4280</v>
      </c>
      <c r="D86" s="471" t="s">
        <v>316</v>
      </c>
      <c r="E86" s="464"/>
      <c r="F86" s="479">
        <v>272</v>
      </c>
      <c r="G86" s="480"/>
    </row>
    <row r="87" spans="1:7" ht="14.25">
      <c r="A87" s="472"/>
      <c r="B87" s="461"/>
      <c r="C87" s="483" t="s">
        <v>273</v>
      </c>
      <c r="D87" s="471" t="s">
        <v>274</v>
      </c>
      <c r="E87" s="464"/>
      <c r="F87" s="479">
        <v>0</v>
      </c>
      <c r="G87" s="480"/>
    </row>
    <row r="88" spans="1:7" ht="14.25">
      <c r="A88" s="472"/>
      <c r="B88" s="461"/>
      <c r="C88" s="483" t="s">
        <v>317</v>
      </c>
      <c r="D88" s="471" t="s">
        <v>298</v>
      </c>
      <c r="E88" s="464"/>
      <c r="F88" s="479">
        <v>0</v>
      </c>
      <c r="G88" s="480"/>
    </row>
    <row r="89" spans="1:7" ht="14.25">
      <c r="A89" s="472"/>
      <c r="B89" s="461"/>
      <c r="C89" s="483" t="s">
        <v>318</v>
      </c>
      <c r="D89" s="471" t="s">
        <v>319</v>
      </c>
      <c r="E89" s="464"/>
      <c r="F89" s="479">
        <v>0</v>
      </c>
      <c r="G89" s="480"/>
    </row>
    <row r="90" spans="1:7" ht="14.25">
      <c r="A90" s="472"/>
      <c r="B90" s="461"/>
      <c r="C90" s="483" t="s">
        <v>320</v>
      </c>
      <c r="D90" s="471" t="s">
        <v>321</v>
      </c>
      <c r="E90" s="464"/>
      <c r="F90" s="479">
        <v>0</v>
      </c>
      <c r="G90" s="480"/>
    </row>
    <row r="91" spans="1:7" ht="14.25">
      <c r="A91" s="472"/>
      <c r="B91" s="461"/>
      <c r="C91" s="483" t="s">
        <v>304</v>
      </c>
      <c r="D91" s="471" t="s">
        <v>305</v>
      </c>
      <c r="E91" s="464"/>
      <c r="F91" s="479">
        <v>7000</v>
      </c>
      <c r="G91" s="480"/>
    </row>
    <row r="92" spans="1:7" ht="14.25">
      <c r="A92" s="472"/>
      <c r="B92" s="461"/>
      <c r="C92" s="485" t="s">
        <v>285</v>
      </c>
      <c r="D92" s="463" t="s">
        <v>322</v>
      </c>
      <c r="E92" s="464"/>
      <c r="F92" s="479">
        <v>0</v>
      </c>
      <c r="G92" s="480"/>
    </row>
    <row r="93" spans="1:7" ht="14.25">
      <c r="A93" s="472"/>
      <c r="B93" s="461"/>
      <c r="C93" s="485" t="s">
        <v>306</v>
      </c>
      <c r="D93" s="463" t="s">
        <v>307</v>
      </c>
      <c r="E93" s="464"/>
      <c r="F93" s="479">
        <v>0</v>
      </c>
      <c r="G93" s="480"/>
    </row>
    <row r="94" spans="1:7" ht="14.25">
      <c r="A94" s="472"/>
      <c r="B94" s="461"/>
      <c r="C94" s="485" t="s">
        <v>308</v>
      </c>
      <c r="D94" s="463" t="s">
        <v>323</v>
      </c>
      <c r="E94" s="464"/>
      <c r="F94" s="479">
        <v>0</v>
      </c>
      <c r="G94" s="480"/>
    </row>
    <row r="95" spans="1:7" ht="14.25">
      <c r="A95" s="472"/>
      <c r="B95" s="477">
        <v>75045</v>
      </c>
      <c r="C95" s="456"/>
      <c r="D95" s="468" t="s">
        <v>324</v>
      </c>
      <c r="E95" s="458">
        <f>E96</f>
        <v>11666</v>
      </c>
      <c r="F95" s="459">
        <f>SUM(F97:F107)</f>
        <v>11666</v>
      </c>
      <c r="G95" s="480"/>
    </row>
    <row r="96" spans="1:7" ht="14.25">
      <c r="A96" s="472"/>
      <c r="B96" s="461"/>
      <c r="C96" s="461">
        <v>2110</v>
      </c>
      <c r="D96" s="463" t="s">
        <v>272</v>
      </c>
      <c r="E96" s="464">
        <v>11666</v>
      </c>
      <c r="F96" s="465"/>
      <c r="G96" s="480"/>
    </row>
    <row r="97" spans="1:7" ht="14.25">
      <c r="A97" s="472"/>
      <c r="B97" s="461"/>
      <c r="C97" s="483" t="s">
        <v>325</v>
      </c>
      <c r="D97" s="471" t="s">
        <v>326</v>
      </c>
      <c r="E97" s="464"/>
      <c r="F97" s="465">
        <f>1400+310</f>
        <v>1710</v>
      </c>
      <c r="G97" s="480"/>
    </row>
    <row r="98" spans="1:7" ht="14.25">
      <c r="A98" s="472"/>
      <c r="B98" s="461"/>
      <c r="C98" s="478">
        <v>4110</v>
      </c>
      <c r="D98" s="471" t="s">
        <v>295</v>
      </c>
      <c r="E98" s="464"/>
      <c r="F98" s="465">
        <v>760</v>
      </c>
      <c r="G98" s="480"/>
    </row>
    <row r="99" spans="1:7" ht="14.25">
      <c r="A99" s="472"/>
      <c r="B99" s="461"/>
      <c r="C99" s="478">
        <v>4120</v>
      </c>
      <c r="D99" s="471" t="s">
        <v>296</v>
      </c>
      <c r="E99" s="464"/>
      <c r="F99" s="465">
        <v>27</v>
      </c>
      <c r="G99" s="480"/>
    </row>
    <row r="100" spans="1:7" ht="14.25">
      <c r="A100" s="472"/>
      <c r="B100" s="461"/>
      <c r="C100" s="478">
        <v>4170</v>
      </c>
      <c r="D100" s="471" t="s">
        <v>314</v>
      </c>
      <c r="E100" s="464"/>
      <c r="F100" s="465">
        <v>6500</v>
      </c>
      <c r="G100" s="480"/>
    </row>
    <row r="101" spans="1:7" ht="14.25">
      <c r="A101" s="472"/>
      <c r="B101" s="461"/>
      <c r="C101" s="478">
        <v>4210</v>
      </c>
      <c r="D101" s="471" t="s">
        <v>297</v>
      </c>
      <c r="E101" s="464"/>
      <c r="F101" s="465">
        <v>176</v>
      </c>
      <c r="G101" s="480"/>
    </row>
    <row r="102" spans="1:7" ht="14.25">
      <c r="A102" s="472"/>
      <c r="B102" s="461"/>
      <c r="C102" s="485" t="s">
        <v>273</v>
      </c>
      <c r="D102" s="471" t="s">
        <v>274</v>
      </c>
      <c r="E102" s="464"/>
      <c r="F102" s="465">
        <v>189</v>
      </c>
      <c r="G102" s="480"/>
    </row>
    <row r="103" spans="1:7" ht="14.25">
      <c r="A103" s="472"/>
      <c r="B103" s="461"/>
      <c r="C103" s="461">
        <v>4370</v>
      </c>
      <c r="D103" s="471" t="s">
        <v>327</v>
      </c>
      <c r="E103" s="464"/>
      <c r="F103" s="465">
        <v>37</v>
      </c>
      <c r="G103" s="480"/>
    </row>
    <row r="104" spans="1:7" ht="14.25">
      <c r="A104" s="472"/>
      <c r="B104" s="461"/>
      <c r="C104" s="484">
        <v>4400</v>
      </c>
      <c r="D104" s="471" t="s">
        <v>328</v>
      </c>
      <c r="E104" s="464"/>
      <c r="F104" s="465">
        <v>2200</v>
      </c>
      <c r="G104" s="480"/>
    </row>
    <row r="105" spans="1:7" ht="14.25">
      <c r="A105" s="472"/>
      <c r="B105" s="461"/>
      <c r="C105" s="485" t="s">
        <v>320</v>
      </c>
      <c r="D105" s="471" t="s">
        <v>321</v>
      </c>
      <c r="E105" s="464"/>
      <c r="F105" s="465">
        <v>0</v>
      </c>
      <c r="G105" s="480"/>
    </row>
    <row r="106" spans="1:7" ht="14.25">
      <c r="A106" s="472"/>
      <c r="B106" s="461"/>
      <c r="C106" s="461">
        <v>4740</v>
      </c>
      <c r="D106" s="471" t="s">
        <v>329</v>
      </c>
      <c r="E106" s="464"/>
      <c r="F106" s="465">
        <v>67</v>
      </c>
      <c r="G106" s="480"/>
    </row>
    <row r="107" spans="1:7" ht="14.25">
      <c r="A107" s="472"/>
      <c r="B107" s="461"/>
      <c r="C107" s="461">
        <v>4750</v>
      </c>
      <c r="D107" s="471" t="s">
        <v>323</v>
      </c>
      <c r="E107" s="464"/>
      <c r="F107" s="465">
        <v>0</v>
      </c>
      <c r="G107" s="480"/>
    </row>
    <row r="108" spans="1:7" ht="14.25">
      <c r="A108" s="472"/>
      <c r="B108" s="461"/>
      <c r="C108" s="485"/>
      <c r="D108" s="471"/>
      <c r="E108" s="464"/>
      <c r="F108" s="465"/>
      <c r="G108" s="480"/>
    </row>
    <row r="109" spans="1:7" ht="14.25">
      <c r="A109" s="472"/>
      <c r="B109" s="461"/>
      <c r="C109" s="462"/>
      <c r="D109" s="471"/>
      <c r="E109" s="464"/>
      <c r="F109" s="465"/>
      <c r="G109" s="480"/>
    </row>
    <row r="110" spans="1:7" ht="15">
      <c r="A110" s="454">
        <v>751</v>
      </c>
      <c r="B110" s="461"/>
      <c r="C110" s="462"/>
      <c r="D110" s="489" t="s">
        <v>538</v>
      </c>
      <c r="E110" s="490">
        <f>E113</f>
        <v>31555</v>
      </c>
      <c r="F110" s="491">
        <f>F113</f>
        <v>31555</v>
      </c>
      <c r="G110" s="492"/>
    </row>
    <row r="111" spans="1:7" ht="15.75" thickBot="1">
      <c r="A111" s="493"/>
      <c r="B111" s="494"/>
      <c r="C111" s="495"/>
      <c r="D111" s="496" t="s">
        <v>539</v>
      </c>
      <c r="E111" s="497"/>
      <c r="F111" s="498"/>
      <c r="G111" s="499"/>
    </row>
    <row r="112" spans="1:7" ht="14.25">
      <c r="A112" s="472"/>
      <c r="B112" s="461">
        <v>75109</v>
      </c>
      <c r="C112" s="462"/>
      <c r="D112" s="471" t="s">
        <v>540</v>
      </c>
      <c r="E112" s="464"/>
      <c r="F112" s="465"/>
      <c r="G112" s="480"/>
    </row>
    <row r="113" spans="1:7" ht="14.25">
      <c r="A113" s="472"/>
      <c r="B113" s="461"/>
      <c r="C113" s="462"/>
      <c r="D113" s="471" t="s">
        <v>541</v>
      </c>
      <c r="E113" s="464">
        <f>E115</f>
        <v>31555</v>
      </c>
      <c r="F113" s="465">
        <f>SUM(F116:F123)</f>
        <v>31555</v>
      </c>
      <c r="G113" s="480"/>
    </row>
    <row r="114" spans="1:7" ht="14.25">
      <c r="A114" s="500"/>
      <c r="B114" s="456"/>
      <c r="C114" s="467"/>
      <c r="D114" s="501" t="s">
        <v>542</v>
      </c>
      <c r="E114" s="469"/>
      <c r="F114" s="459"/>
      <c r="G114" s="502"/>
    </row>
    <row r="115" spans="1:7" ht="14.25">
      <c r="A115" s="472"/>
      <c r="B115" s="461"/>
      <c r="C115" s="462" t="s">
        <v>271</v>
      </c>
      <c r="D115" s="463" t="s">
        <v>272</v>
      </c>
      <c r="E115" s="464">
        <v>31555</v>
      </c>
      <c r="F115" s="465"/>
      <c r="G115" s="480"/>
    </row>
    <row r="116" spans="1:7" ht="14.25">
      <c r="A116" s="472"/>
      <c r="B116" s="461"/>
      <c r="C116" s="462" t="s">
        <v>325</v>
      </c>
      <c r="D116" s="487" t="s">
        <v>312</v>
      </c>
      <c r="E116" s="464"/>
      <c r="F116" s="465">
        <v>1470</v>
      </c>
      <c r="G116" s="480"/>
    </row>
    <row r="117" spans="1:7" ht="14.25">
      <c r="A117" s="472"/>
      <c r="B117" s="461"/>
      <c r="C117" s="462" t="s">
        <v>543</v>
      </c>
      <c r="D117" s="471" t="s">
        <v>314</v>
      </c>
      <c r="E117" s="464"/>
      <c r="F117" s="465">
        <v>17035</v>
      </c>
      <c r="G117" s="480"/>
    </row>
    <row r="118" spans="1:7" ht="14.25">
      <c r="A118" s="472"/>
      <c r="B118" s="461"/>
      <c r="C118" s="462" t="s">
        <v>544</v>
      </c>
      <c r="D118" s="471" t="s">
        <v>297</v>
      </c>
      <c r="E118" s="464"/>
      <c r="F118" s="465">
        <v>5608</v>
      </c>
      <c r="G118" s="480"/>
    </row>
    <row r="119" spans="1:7" ht="14.25">
      <c r="A119" s="472"/>
      <c r="B119" s="461"/>
      <c r="C119" s="462" t="s">
        <v>545</v>
      </c>
      <c r="D119" s="471" t="s">
        <v>315</v>
      </c>
      <c r="E119" s="464"/>
      <c r="F119" s="465">
        <v>100</v>
      </c>
      <c r="G119" s="480"/>
    </row>
    <row r="120" spans="1:7" ht="14.25">
      <c r="A120" s="472"/>
      <c r="B120" s="461"/>
      <c r="C120" s="462" t="s">
        <v>273</v>
      </c>
      <c r="D120" s="471" t="s">
        <v>274</v>
      </c>
      <c r="E120" s="464"/>
      <c r="F120" s="465">
        <v>2423</v>
      </c>
      <c r="G120" s="480"/>
    </row>
    <row r="121" spans="1:7" ht="14.25">
      <c r="A121" s="472"/>
      <c r="B121" s="461"/>
      <c r="C121" s="462" t="s">
        <v>318</v>
      </c>
      <c r="D121" s="471" t="s">
        <v>327</v>
      </c>
      <c r="E121" s="464"/>
      <c r="F121" s="465">
        <v>400</v>
      </c>
      <c r="G121" s="480"/>
    </row>
    <row r="122" spans="1:7" ht="14.25">
      <c r="A122" s="472"/>
      <c r="B122" s="461"/>
      <c r="C122" s="462" t="s">
        <v>320</v>
      </c>
      <c r="D122" s="471" t="s">
        <v>321</v>
      </c>
      <c r="E122" s="464"/>
      <c r="F122" s="465">
        <v>2000</v>
      </c>
      <c r="G122" s="480"/>
    </row>
    <row r="123" spans="1:7" ht="14.25">
      <c r="A123" s="472"/>
      <c r="B123" s="461"/>
      <c r="C123" s="461">
        <v>4750</v>
      </c>
      <c r="D123" s="471" t="s">
        <v>323</v>
      </c>
      <c r="E123" s="464"/>
      <c r="F123" s="465">
        <v>2519</v>
      </c>
      <c r="G123" s="480"/>
    </row>
    <row r="124" spans="1:7" ht="14.25">
      <c r="A124" s="472"/>
      <c r="B124" s="461"/>
      <c r="C124" s="462"/>
      <c r="D124" s="471"/>
      <c r="E124" s="464"/>
      <c r="F124" s="465"/>
      <c r="G124" s="480"/>
    </row>
    <row r="125" spans="1:7" ht="15.75" thickBot="1">
      <c r="A125" s="473">
        <v>754</v>
      </c>
      <c r="B125" s="450"/>
      <c r="C125" s="481"/>
      <c r="D125" s="496" t="s">
        <v>330</v>
      </c>
      <c r="E125" s="503">
        <f>E126</f>
        <v>2000</v>
      </c>
      <c r="F125" s="475">
        <f>F126</f>
        <v>2000</v>
      </c>
      <c r="G125" s="504"/>
    </row>
    <row r="126" spans="1:7" ht="14.25">
      <c r="A126" s="472"/>
      <c r="B126" s="477">
        <v>75414</v>
      </c>
      <c r="C126" s="467"/>
      <c r="D126" s="501" t="s">
        <v>331</v>
      </c>
      <c r="E126" s="469">
        <f>E127</f>
        <v>2000</v>
      </c>
      <c r="F126" s="459">
        <f>F128</f>
        <v>2000</v>
      </c>
      <c r="G126" s="502"/>
    </row>
    <row r="127" spans="1:7" ht="14.25">
      <c r="A127" s="472"/>
      <c r="B127" s="461"/>
      <c r="C127" s="461">
        <v>2110</v>
      </c>
      <c r="D127" s="463" t="s">
        <v>272</v>
      </c>
      <c r="E127" s="464">
        <v>2000</v>
      </c>
      <c r="F127" s="465"/>
      <c r="G127" s="480"/>
    </row>
    <row r="128" spans="1:7" ht="14.25">
      <c r="A128" s="472"/>
      <c r="B128" s="461"/>
      <c r="C128" s="478">
        <v>4210</v>
      </c>
      <c r="D128" s="471" t="s">
        <v>297</v>
      </c>
      <c r="E128" s="464"/>
      <c r="F128" s="465">
        <v>2000</v>
      </c>
      <c r="G128" s="480"/>
    </row>
    <row r="129" spans="1:7" ht="14.25">
      <c r="A129" s="472"/>
      <c r="B129" s="461"/>
      <c r="C129" s="462"/>
      <c r="D129" s="471"/>
      <c r="E129" s="464"/>
      <c r="F129" s="465"/>
      <c r="G129" s="480"/>
    </row>
    <row r="130" spans="1:7" ht="15.75" thickBot="1">
      <c r="A130" s="473">
        <v>851</v>
      </c>
      <c r="B130" s="505"/>
      <c r="C130" s="450"/>
      <c r="D130" s="496" t="s">
        <v>332</v>
      </c>
      <c r="E130" s="452">
        <f>E131</f>
        <v>74411</v>
      </c>
      <c r="F130" s="475">
        <f>F131</f>
        <v>74411</v>
      </c>
      <c r="G130" s="480"/>
    </row>
    <row r="131" spans="1:7" ht="14.25">
      <c r="A131" s="472"/>
      <c r="B131" s="477">
        <v>85156</v>
      </c>
      <c r="C131" s="456"/>
      <c r="D131" s="501" t="s">
        <v>333</v>
      </c>
      <c r="E131" s="458">
        <f>E132</f>
        <v>74411</v>
      </c>
      <c r="F131" s="459">
        <f>SUM(F133)</f>
        <v>74411</v>
      </c>
      <c r="G131" s="480"/>
    </row>
    <row r="132" spans="1:7" ht="14.25">
      <c r="A132" s="472"/>
      <c r="B132" s="484"/>
      <c r="C132" s="461">
        <v>2110</v>
      </c>
      <c r="D132" s="463" t="s">
        <v>272</v>
      </c>
      <c r="E132" s="464">
        <v>74411</v>
      </c>
      <c r="F132" s="465"/>
      <c r="G132" s="480"/>
    </row>
    <row r="133" spans="1:7" ht="14.25">
      <c r="A133" s="472"/>
      <c r="B133" s="461"/>
      <c r="C133" s="461">
        <v>4130</v>
      </c>
      <c r="D133" s="463" t="s">
        <v>334</v>
      </c>
      <c r="E133" s="464"/>
      <c r="F133" s="465">
        <v>74411</v>
      </c>
      <c r="G133" s="480"/>
    </row>
    <row r="134" spans="1:7" ht="14.25">
      <c r="A134" s="472"/>
      <c r="B134" s="461"/>
      <c r="C134" s="461"/>
      <c r="D134" s="463"/>
      <c r="E134" s="464"/>
      <c r="F134" s="465"/>
      <c r="G134" s="480"/>
    </row>
    <row r="135" spans="1:7" ht="15.75" thickBot="1">
      <c r="A135" s="473">
        <v>852</v>
      </c>
      <c r="B135" s="450"/>
      <c r="C135" s="450"/>
      <c r="D135" s="474" t="s">
        <v>335</v>
      </c>
      <c r="E135" s="503">
        <f>E136+E162</f>
        <v>366500</v>
      </c>
      <c r="F135" s="475">
        <f>F136+F162</f>
        <v>366500</v>
      </c>
      <c r="G135" s="480"/>
    </row>
    <row r="136" spans="1:7" ht="14.25">
      <c r="A136" s="472"/>
      <c r="B136" s="506">
        <v>85203</v>
      </c>
      <c r="C136" s="507"/>
      <c r="D136" s="508" t="s">
        <v>336</v>
      </c>
      <c r="E136" s="509">
        <f>E137</f>
        <v>359000</v>
      </c>
      <c r="F136" s="510">
        <f>SUM(F138:F160)</f>
        <v>359000</v>
      </c>
      <c r="G136" s="480"/>
    </row>
    <row r="137" spans="1:7" ht="14.25">
      <c r="A137" s="472"/>
      <c r="B137" s="461"/>
      <c r="C137" s="461">
        <v>2110</v>
      </c>
      <c r="D137" s="471" t="s">
        <v>272</v>
      </c>
      <c r="E137" s="464">
        <v>359000</v>
      </c>
      <c r="F137" s="465"/>
      <c r="G137" s="480"/>
    </row>
    <row r="138" spans="1:7" ht="14.25">
      <c r="A138" s="472"/>
      <c r="B138" s="461"/>
      <c r="C138" s="461">
        <v>3020</v>
      </c>
      <c r="D138" s="471" t="s">
        <v>312</v>
      </c>
      <c r="E138" s="464"/>
      <c r="F138" s="465">
        <v>208</v>
      </c>
      <c r="G138" s="480"/>
    </row>
    <row r="139" spans="1:7" ht="14.25">
      <c r="A139" s="472"/>
      <c r="B139" s="461"/>
      <c r="C139" s="461">
        <v>4010</v>
      </c>
      <c r="D139" s="471" t="s">
        <v>292</v>
      </c>
      <c r="E139" s="464"/>
      <c r="F139" s="465">
        <v>179707</v>
      </c>
      <c r="G139" s="480"/>
    </row>
    <row r="140" spans="1:7" ht="14.25">
      <c r="A140" s="472"/>
      <c r="B140" s="461"/>
      <c r="C140" s="461">
        <v>4040</v>
      </c>
      <c r="D140" s="471" t="s">
        <v>337</v>
      </c>
      <c r="E140" s="464"/>
      <c r="F140" s="465">
        <v>7828</v>
      </c>
      <c r="G140" s="480"/>
    </row>
    <row r="141" spans="1:7" ht="14.25">
      <c r="A141" s="472"/>
      <c r="B141" s="461"/>
      <c r="C141" s="461">
        <v>4110</v>
      </c>
      <c r="D141" s="471" t="s">
        <v>295</v>
      </c>
      <c r="E141" s="464"/>
      <c r="F141" s="465">
        <v>27848</v>
      </c>
      <c r="G141" s="480"/>
    </row>
    <row r="142" spans="1:7" ht="14.25">
      <c r="A142" s="472"/>
      <c r="B142" s="461"/>
      <c r="C142" s="461">
        <v>4120</v>
      </c>
      <c r="D142" s="471" t="s">
        <v>313</v>
      </c>
      <c r="E142" s="464"/>
      <c r="F142" s="465">
        <v>4297</v>
      </c>
      <c r="G142" s="480"/>
    </row>
    <row r="143" spans="1:7" ht="14.25">
      <c r="A143" s="472"/>
      <c r="B143" s="461"/>
      <c r="C143" s="461">
        <v>4170</v>
      </c>
      <c r="D143" s="471" t="s">
        <v>314</v>
      </c>
      <c r="E143" s="464"/>
      <c r="F143" s="465">
        <v>1500</v>
      </c>
      <c r="G143" s="480"/>
    </row>
    <row r="144" spans="1:7" ht="14.25">
      <c r="A144" s="472"/>
      <c r="B144" s="461"/>
      <c r="C144" s="461">
        <v>4210</v>
      </c>
      <c r="D144" s="471" t="s">
        <v>297</v>
      </c>
      <c r="E144" s="464"/>
      <c r="F144" s="465">
        <v>81475</v>
      </c>
      <c r="G144" s="480"/>
    </row>
    <row r="145" spans="1:7" ht="14.25">
      <c r="A145" s="472"/>
      <c r="B145" s="461"/>
      <c r="C145" s="461">
        <v>4220</v>
      </c>
      <c r="D145" s="471" t="s">
        <v>338</v>
      </c>
      <c r="E145" s="464"/>
      <c r="F145" s="465">
        <f>26670-6000-3111</f>
        <v>17559</v>
      </c>
      <c r="G145" s="480"/>
    </row>
    <row r="146" spans="1:7" ht="14.25">
      <c r="A146" s="472"/>
      <c r="B146" s="461"/>
      <c r="C146" s="461">
        <v>4230</v>
      </c>
      <c r="D146" s="471" t="s">
        <v>339</v>
      </c>
      <c r="E146" s="464"/>
      <c r="F146" s="465">
        <f>400-200</f>
        <v>200</v>
      </c>
      <c r="G146" s="480"/>
    </row>
    <row r="147" spans="1:7" ht="14.25">
      <c r="A147" s="472"/>
      <c r="B147" s="461"/>
      <c r="C147" s="461">
        <v>4260</v>
      </c>
      <c r="D147" s="471" t="s">
        <v>315</v>
      </c>
      <c r="E147" s="464"/>
      <c r="F147" s="465">
        <v>3311</v>
      </c>
      <c r="G147" s="480"/>
    </row>
    <row r="148" spans="1:7" ht="14.25">
      <c r="A148" s="472"/>
      <c r="B148" s="461"/>
      <c r="C148" s="461">
        <v>4270</v>
      </c>
      <c r="D148" s="471" t="s">
        <v>282</v>
      </c>
      <c r="E148" s="464"/>
      <c r="F148" s="465">
        <v>7500</v>
      </c>
      <c r="G148" s="480"/>
    </row>
    <row r="149" spans="1:7" ht="14.25">
      <c r="A149" s="472"/>
      <c r="B149" s="461"/>
      <c r="C149" s="461">
        <v>4280</v>
      </c>
      <c r="D149" s="471" t="s">
        <v>316</v>
      </c>
      <c r="E149" s="464"/>
      <c r="F149" s="465">
        <v>382</v>
      </c>
      <c r="G149" s="480"/>
    </row>
    <row r="150" spans="1:7" ht="14.25">
      <c r="A150" s="472"/>
      <c r="B150" s="461"/>
      <c r="C150" s="461">
        <v>4300</v>
      </c>
      <c r="D150" s="471" t="s">
        <v>274</v>
      </c>
      <c r="E150" s="464"/>
      <c r="F150" s="465">
        <v>7980</v>
      </c>
      <c r="G150" s="480"/>
    </row>
    <row r="151" spans="1:7" ht="14.25">
      <c r="A151" s="472"/>
      <c r="B151" s="461"/>
      <c r="C151" s="483" t="s">
        <v>317</v>
      </c>
      <c r="D151" s="471" t="s">
        <v>298</v>
      </c>
      <c r="E151" s="464"/>
      <c r="F151" s="465">
        <f>'[1]WYDATKI ukł.wyk.'!F430</f>
        <v>660</v>
      </c>
      <c r="G151" s="480"/>
    </row>
    <row r="152" spans="1:7" ht="14.25">
      <c r="A152" s="472"/>
      <c r="B152" s="461"/>
      <c r="C152" s="461">
        <v>4360</v>
      </c>
      <c r="D152" s="471" t="s">
        <v>299</v>
      </c>
      <c r="E152" s="464"/>
      <c r="F152" s="465">
        <f>650-100-31</f>
        <v>519</v>
      </c>
      <c r="G152" s="480"/>
    </row>
    <row r="153" spans="1:7" ht="14.25">
      <c r="A153" s="472"/>
      <c r="B153" s="461"/>
      <c r="C153" s="461">
        <v>4370</v>
      </c>
      <c r="D153" s="471" t="s">
        <v>340</v>
      </c>
      <c r="E153" s="464"/>
      <c r="F153" s="465">
        <f>1500+30-241</f>
        <v>1289</v>
      </c>
      <c r="G153" s="480"/>
    </row>
    <row r="154" spans="1:7" ht="14.25">
      <c r="A154" s="472"/>
      <c r="B154" s="461"/>
      <c r="C154" s="461">
        <v>4410</v>
      </c>
      <c r="D154" s="471" t="s">
        <v>321</v>
      </c>
      <c r="E154" s="464"/>
      <c r="F154" s="465">
        <f>400-111</f>
        <v>289</v>
      </c>
      <c r="G154" s="480"/>
    </row>
    <row r="155" spans="1:7" ht="14.25">
      <c r="A155" s="472"/>
      <c r="B155" s="461"/>
      <c r="C155" s="461">
        <v>4430</v>
      </c>
      <c r="D155" s="471" t="s">
        <v>303</v>
      </c>
      <c r="E155" s="464"/>
      <c r="F155" s="465">
        <f>3650+930</f>
        <v>4580</v>
      </c>
      <c r="G155" s="480"/>
    </row>
    <row r="156" spans="1:7" ht="14.25">
      <c r="A156" s="472"/>
      <c r="B156" s="461"/>
      <c r="C156" s="461">
        <v>4440</v>
      </c>
      <c r="D156" s="471" t="s">
        <v>341</v>
      </c>
      <c r="E156" s="464"/>
      <c r="F156" s="465">
        <v>9431</v>
      </c>
      <c r="G156" s="480"/>
    </row>
    <row r="157" spans="1:7" ht="14.25">
      <c r="A157" s="472"/>
      <c r="B157" s="461"/>
      <c r="C157" s="461">
        <v>4580</v>
      </c>
      <c r="D157" s="471" t="s">
        <v>471</v>
      </c>
      <c r="E157" s="464"/>
      <c r="F157" s="465">
        <v>1</v>
      </c>
      <c r="G157" s="480"/>
    </row>
    <row r="158" spans="1:7" ht="14.25">
      <c r="A158" s="472"/>
      <c r="B158" s="461"/>
      <c r="C158" s="461">
        <v>4700</v>
      </c>
      <c r="D158" s="471" t="s">
        <v>286</v>
      </c>
      <c r="E158" s="464"/>
      <c r="F158" s="465">
        <f>1700-500-140</f>
        <v>1060</v>
      </c>
      <c r="G158" s="480"/>
    </row>
    <row r="159" spans="1:7" ht="14.25">
      <c r="A159" s="472"/>
      <c r="B159" s="461"/>
      <c r="C159" s="461">
        <v>4740</v>
      </c>
      <c r="D159" s="471" t="s">
        <v>342</v>
      </c>
      <c r="E159" s="464"/>
      <c r="F159" s="465">
        <f>500-300</f>
        <v>200</v>
      </c>
      <c r="G159" s="480"/>
    </row>
    <row r="160" spans="1:7" ht="14.25">
      <c r="A160" s="472"/>
      <c r="B160" s="461"/>
      <c r="C160" s="461">
        <v>4750</v>
      </c>
      <c r="D160" s="471" t="s">
        <v>323</v>
      </c>
      <c r="E160" s="464"/>
      <c r="F160" s="465">
        <f>1200-24</f>
        <v>1176</v>
      </c>
      <c r="G160" s="480"/>
    </row>
    <row r="161" spans="1:7" ht="14.25">
      <c r="A161" s="472"/>
      <c r="B161" s="461"/>
      <c r="C161" s="461"/>
      <c r="D161" s="471"/>
      <c r="E161" s="464"/>
      <c r="F161" s="465"/>
      <c r="G161" s="480"/>
    </row>
    <row r="162" spans="1:7" ht="14.25">
      <c r="A162" s="472"/>
      <c r="B162" s="477">
        <v>85205</v>
      </c>
      <c r="C162" s="456"/>
      <c r="D162" s="501" t="s">
        <v>343</v>
      </c>
      <c r="E162" s="469">
        <f>E163</f>
        <v>7500</v>
      </c>
      <c r="F162" s="459">
        <f>F164+F165</f>
        <v>7500</v>
      </c>
      <c r="G162" s="480"/>
    </row>
    <row r="163" spans="1:7" ht="14.25">
      <c r="A163" s="472"/>
      <c r="B163" s="461"/>
      <c r="C163" s="461">
        <v>2110</v>
      </c>
      <c r="D163" s="463" t="s">
        <v>272</v>
      </c>
      <c r="E163" s="464">
        <v>7500</v>
      </c>
      <c r="F163" s="465"/>
      <c r="G163" s="480"/>
    </row>
    <row r="164" spans="1:7" ht="14.25">
      <c r="A164" s="472"/>
      <c r="B164" s="461"/>
      <c r="C164" s="478">
        <v>4210</v>
      </c>
      <c r="D164" s="471" t="s">
        <v>297</v>
      </c>
      <c r="E164" s="464"/>
      <c r="F164" s="465">
        <v>2500</v>
      </c>
      <c r="G164" s="480"/>
    </row>
    <row r="165" spans="1:7" ht="14.25">
      <c r="A165" s="472"/>
      <c r="B165" s="461"/>
      <c r="C165" s="461">
        <v>4300</v>
      </c>
      <c r="D165" s="471" t="s">
        <v>274</v>
      </c>
      <c r="E165" s="464"/>
      <c r="F165" s="465">
        <v>5000</v>
      </c>
      <c r="G165" s="480"/>
    </row>
    <row r="166" spans="1:7" ht="14.25">
      <c r="A166" s="472"/>
      <c r="B166" s="461"/>
      <c r="C166" s="462"/>
      <c r="D166" s="471"/>
      <c r="E166" s="464"/>
      <c r="F166" s="465"/>
      <c r="G166" s="480"/>
    </row>
    <row r="167" spans="1:7" ht="15.75" thickBot="1">
      <c r="A167" s="473">
        <v>853</v>
      </c>
      <c r="B167" s="450"/>
      <c r="C167" s="450"/>
      <c r="D167" s="474" t="s">
        <v>344</v>
      </c>
      <c r="E167" s="452">
        <f>E168</f>
        <v>426208</v>
      </c>
      <c r="F167" s="475">
        <f>F168</f>
        <v>426208</v>
      </c>
      <c r="G167" s="480"/>
    </row>
    <row r="168" spans="1:7" ht="14.25">
      <c r="A168" s="472"/>
      <c r="B168" s="477">
        <v>85321</v>
      </c>
      <c r="C168" s="456"/>
      <c r="D168" s="468" t="s">
        <v>345</v>
      </c>
      <c r="E168" s="458">
        <f>E169</f>
        <v>426208</v>
      </c>
      <c r="F168" s="459">
        <f>SUM(F170:F191)</f>
        <v>426208</v>
      </c>
      <c r="G168" s="480"/>
    </row>
    <row r="169" spans="1:7" ht="14.25">
      <c r="A169" s="472"/>
      <c r="B169" s="461"/>
      <c r="C169" s="461">
        <v>2110</v>
      </c>
      <c r="D169" s="463" t="s">
        <v>272</v>
      </c>
      <c r="E169" s="464">
        <v>426208</v>
      </c>
      <c r="F169" s="465"/>
      <c r="G169" s="480"/>
    </row>
    <row r="170" spans="1:7" ht="14.25">
      <c r="A170" s="472"/>
      <c r="B170" s="461"/>
      <c r="C170" s="478">
        <v>3020</v>
      </c>
      <c r="D170" s="471" t="s">
        <v>312</v>
      </c>
      <c r="E170" s="464"/>
      <c r="F170" s="465">
        <v>130</v>
      </c>
      <c r="G170" s="480"/>
    </row>
    <row r="171" spans="1:7" ht="14.25">
      <c r="A171" s="472"/>
      <c r="B171" s="461"/>
      <c r="C171" s="478">
        <v>4010</v>
      </c>
      <c r="D171" s="471" t="s">
        <v>292</v>
      </c>
      <c r="E171" s="464"/>
      <c r="F171" s="465">
        <v>122570</v>
      </c>
      <c r="G171" s="480"/>
    </row>
    <row r="172" spans="1:7" ht="14.25">
      <c r="A172" s="472"/>
      <c r="B172" s="461"/>
      <c r="C172" s="478">
        <v>4040</v>
      </c>
      <c r="D172" s="471" t="s">
        <v>294</v>
      </c>
      <c r="E172" s="464"/>
      <c r="F172" s="465">
        <v>9222</v>
      </c>
      <c r="G172" s="480"/>
    </row>
    <row r="173" spans="1:7" ht="14.25">
      <c r="A173" s="472"/>
      <c r="B173" s="461"/>
      <c r="C173" s="478">
        <v>4110</v>
      </c>
      <c r="D173" s="471" t="s">
        <v>295</v>
      </c>
      <c r="E173" s="464"/>
      <c r="F173" s="465">
        <v>23633</v>
      </c>
      <c r="G173" s="480"/>
    </row>
    <row r="174" spans="1:7" ht="14.25">
      <c r="A174" s="472"/>
      <c r="B174" s="461"/>
      <c r="C174" s="478">
        <v>4120</v>
      </c>
      <c r="D174" s="471" t="s">
        <v>296</v>
      </c>
      <c r="E174" s="464"/>
      <c r="F174" s="465">
        <v>2508</v>
      </c>
      <c r="G174" s="480"/>
    </row>
    <row r="175" spans="1:7" ht="14.25">
      <c r="A175" s="472"/>
      <c r="B175" s="461"/>
      <c r="C175" s="478">
        <v>4170</v>
      </c>
      <c r="D175" s="471" t="s">
        <v>314</v>
      </c>
      <c r="E175" s="464"/>
      <c r="F175" s="465">
        <v>99940</v>
      </c>
      <c r="G175" s="480"/>
    </row>
    <row r="176" spans="1:7" ht="14.25">
      <c r="A176" s="472"/>
      <c r="B176" s="461"/>
      <c r="C176" s="478">
        <v>4210</v>
      </c>
      <c r="D176" s="471" t="s">
        <v>297</v>
      </c>
      <c r="E176" s="464"/>
      <c r="F176" s="465">
        <v>19203</v>
      </c>
      <c r="G176" s="480"/>
    </row>
    <row r="177" spans="1:7" ht="14.25">
      <c r="A177" s="472"/>
      <c r="B177" s="461"/>
      <c r="C177" s="478">
        <v>4230</v>
      </c>
      <c r="D177" s="471" t="s">
        <v>346</v>
      </c>
      <c r="E177" s="464"/>
      <c r="F177" s="465">
        <v>300</v>
      </c>
      <c r="G177" s="480"/>
    </row>
    <row r="178" spans="1:7" ht="14.25">
      <c r="A178" s="472"/>
      <c r="B178" s="461"/>
      <c r="C178" s="478">
        <v>4260</v>
      </c>
      <c r="D178" s="471" t="s">
        <v>315</v>
      </c>
      <c r="E178" s="464"/>
      <c r="F178" s="465">
        <v>13806</v>
      </c>
      <c r="G178" s="480"/>
    </row>
    <row r="179" spans="1:7" ht="14.25">
      <c r="A179" s="472"/>
      <c r="B179" s="461"/>
      <c r="C179" s="478">
        <v>4270</v>
      </c>
      <c r="D179" s="471" t="s">
        <v>282</v>
      </c>
      <c r="E179" s="464"/>
      <c r="F179" s="465">
        <v>3895</v>
      </c>
      <c r="G179" s="480"/>
    </row>
    <row r="180" spans="1:7" ht="14.25">
      <c r="A180" s="472"/>
      <c r="B180" s="461"/>
      <c r="C180" s="478">
        <v>4280</v>
      </c>
      <c r="D180" s="471" t="s">
        <v>316</v>
      </c>
      <c r="E180" s="464"/>
      <c r="F180" s="465">
        <v>50</v>
      </c>
      <c r="G180" s="480"/>
    </row>
    <row r="181" spans="1:7" ht="14.25">
      <c r="A181" s="472"/>
      <c r="B181" s="461"/>
      <c r="C181" s="483" t="s">
        <v>273</v>
      </c>
      <c r="D181" s="471" t="s">
        <v>274</v>
      </c>
      <c r="E181" s="464"/>
      <c r="F181" s="465">
        <v>114736</v>
      </c>
      <c r="G181" s="480"/>
    </row>
    <row r="182" spans="1:7" ht="14.25">
      <c r="A182" s="472"/>
      <c r="B182" s="461"/>
      <c r="C182" s="483" t="s">
        <v>317</v>
      </c>
      <c r="D182" s="471" t="s">
        <v>298</v>
      </c>
      <c r="E182" s="464"/>
      <c r="F182" s="465">
        <v>3486</v>
      </c>
      <c r="G182" s="480"/>
    </row>
    <row r="183" spans="1:7" ht="14.25">
      <c r="A183" s="472"/>
      <c r="B183" s="461"/>
      <c r="C183" s="461">
        <v>4370</v>
      </c>
      <c r="D183" s="471" t="s">
        <v>319</v>
      </c>
      <c r="E183" s="464"/>
      <c r="F183" s="465">
        <v>2690</v>
      </c>
      <c r="G183" s="480"/>
    </row>
    <row r="184" spans="1:7" ht="14.25">
      <c r="A184" s="472"/>
      <c r="B184" s="461"/>
      <c r="C184" s="478">
        <v>4410</v>
      </c>
      <c r="D184" s="471" t="s">
        <v>321</v>
      </c>
      <c r="E184" s="464"/>
      <c r="F184" s="465">
        <v>1337</v>
      </c>
      <c r="G184" s="480"/>
    </row>
    <row r="185" spans="1:7" ht="14.25">
      <c r="A185" s="472"/>
      <c r="B185" s="461"/>
      <c r="C185" s="461">
        <v>4430</v>
      </c>
      <c r="D185" s="471" t="s">
        <v>303</v>
      </c>
      <c r="E185" s="464"/>
      <c r="F185" s="465">
        <v>164</v>
      </c>
      <c r="G185" s="480"/>
    </row>
    <row r="186" spans="1:7" ht="14.25">
      <c r="A186" s="472"/>
      <c r="B186" s="461"/>
      <c r="C186" s="483" t="s">
        <v>304</v>
      </c>
      <c r="D186" s="471" t="s">
        <v>305</v>
      </c>
      <c r="E186" s="464"/>
      <c r="F186" s="465">
        <v>4209</v>
      </c>
      <c r="G186" s="480"/>
    </row>
    <row r="187" spans="1:7" ht="14.25">
      <c r="A187" s="472"/>
      <c r="B187" s="461"/>
      <c r="C187" s="483" t="s">
        <v>283</v>
      </c>
      <c r="D187" s="471" t="s">
        <v>284</v>
      </c>
      <c r="E187" s="464"/>
      <c r="F187" s="465">
        <v>462</v>
      </c>
      <c r="G187" s="480"/>
    </row>
    <row r="188" spans="1:7" ht="14.25">
      <c r="A188" s="472"/>
      <c r="B188" s="461"/>
      <c r="C188" s="483" t="s">
        <v>347</v>
      </c>
      <c r="D188" s="471" t="s">
        <v>348</v>
      </c>
      <c r="E188" s="464"/>
      <c r="F188" s="465">
        <v>0</v>
      </c>
      <c r="G188" s="480"/>
    </row>
    <row r="189" spans="1:7" ht="14.25">
      <c r="A189" s="472"/>
      <c r="B189" s="461"/>
      <c r="C189" s="461">
        <v>4700</v>
      </c>
      <c r="D189" s="471" t="s">
        <v>286</v>
      </c>
      <c r="E189" s="464"/>
      <c r="F189" s="465">
        <f>2000-1350-250</f>
        <v>400</v>
      </c>
      <c r="G189" s="480"/>
    </row>
    <row r="190" spans="1:7" ht="14.25">
      <c r="A190" s="472"/>
      <c r="B190" s="461"/>
      <c r="C190" s="461">
        <v>4740</v>
      </c>
      <c r="D190" s="471" t="s">
        <v>342</v>
      </c>
      <c r="E190" s="464"/>
      <c r="F190" s="465">
        <f>2500-1500-500</f>
        <v>500</v>
      </c>
      <c r="G190" s="480"/>
    </row>
    <row r="191" spans="1:7" ht="14.25">
      <c r="A191" s="472"/>
      <c r="B191" s="461"/>
      <c r="C191" s="461">
        <v>4750</v>
      </c>
      <c r="D191" s="471" t="s">
        <v>323</v>
      </c>
      <c r="E191" s="464"/>
      <c r="F191" s="465">
        <v>2967</v>
      </c>
      <c r="G191" s="480"/>
    </row>
    <row r="192" spans="1:7" ht="15" thickBot="1">
      <c r="A192" s="493"/>
      <c r="B192" s="494"/>
      <c r="C192" s="511"/>
      <c r="D192" s="512"/>
      <c r="E192" s="497"/>
      <c r="F192" s="498"/>
      <c r="G192" s="499"/>
    </row>
    <row r="193" spans="1:7" ht="15.75" thickBot="1">
      <c r="A193" s="513"/>
      <c r="B193" s="513"/>
      <c r="C193" s="513"/>
      <c r="D193" s="514" t="s">
        <v>349</v>
      </c>
      <c r="E193" s="515">
        <f>E167+E135+E130+E74+E43+E33+E19+E125+E110</f>
        <v>1557341</v>
      </c>
      <c r="F193" s="515">
        <f>F167+F135+F130+F74+F43+F33+F19+F125+F110</f>
        <v>1557341</v>
      </c>
      <c r="G193" s="453">
        <f>G167+G135+G130+G74+G43+G33+G19</f>
        <v>248090</v>
      </c>
    </row>
    <row r="194" spans="1:7" ht="14.25">
      <c r="A194" s="513"/>
      <c r="B194" s="513"/>
      <c r="C194" s="513"/>
      <c r="D194" s="516" t="s">
        <v>350</v>
      </c>
      <c r="E194" s="517"/>
      <c r="F194" s="518">
        <f>F168+F162+F136+F131+F95+F75+F53+F49+F44+F34+F20+F27+F128+F116+F117+F118+F120+F121+F119+F122</f>
        <v>1554822</v>
      </c>
      <c r="G194" s="513"/>
    </row>
    <row r="195" spans="1:7" ht="14.25">
      <c r="A195" s="513"/>
      <c r="B195" s="513"/>
      <c r="C195" s="513"/>
      <c r="D195" s="519" t="s">
        <v>351</v>
      </c>
      <c r="E195" s="520"/>
      <c r="F195" s="521">
        <f>F55+F57+F58+F59+F78+F79+F80+F81+F82+F98+F99+F100+F139+F140+F141+F142+F143+F171+F172+F173+F174+F175+F56+F117+F60</f>
        <v>960176</v>
      </c>
      <c r="G195" s="513"/>
    </row>
    <row r="196" spans="1:7" ht="14.25">
      <c r="A196" s="513"/>
      <c r="B196" s="513"/>
      <c r="C196" s="513"/>
      <c r="D196" s="522" t="s">
        <v>352</v>
      </c>
      <c r="E196" s="523"/>
      <c r="F196" s="524">
        <v>0</v>
      </c>
      <c r="G196" s="513"/>
    </row>
    <row r="197" spans="1:7" ht="15" thickBot="1">
      <c r="A197" s="513"/>
      <c r="B197" s="513"/>
      <c r="C197" s="513"/>
      <c r="D197" s="525" t="s">
        <v>353</v>
      </c>
      <c r="E197" s="526"/>
      <c r="F197" s="527">
        <v>0</v>
      </c>
      <c r="G197" s="513"/>
    </row>
  </sheetData>
  <sheetProtection/>
  <mergeCells count="3">
    <mergeCell ref="A9:F9"/>
    <mergeCell ref="A10:F10"/>
    <mergeCell ref="A11:F11"/>
  </mergeCells>
  <printOptions/>
  <pageMargins left="1.15" right="0.23" top="0.7480314960629921" bottom="0.7480314960629921" header="0.33" footer="0.31496062992125984"/>
  <pageSetup fitToHeight="2" fitToWidth="2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I56" sqref="I56"/>
    </sheetView>
  </sheetViews>
  <sheetFormatPr defaultColWidth="9.00390625" defaultRowHeight="12.75"/>
  <cols>
    <col min="1" max="1" width="7.75390625" style="0" customWidth="1"/>
    <col min="2" max="2" width="6.875" style="0" customWidth="1"/>
    <col min="4" max="4" width="47.875" style="0" customWidth="1"/>
  </cols>
  <sheetData>
    <row r="1" spans="1:6" ht="12.75">
      <c r="A1" s="187"/>
      <c r="B1" s="187"/>
      <c r="C1" s="187"/>
      <c r="D1" s="187"/>
      <c r="E1" s="188" t="s">
        <v>354</v>
      </c>
      <c r="F1" s="189"/>
    </row>
    <row r="2" spans="1:6" ht="12.75">
      <c r="A2" s="187"/>
      <c r="B2" s="187"/>
      <c r="C2" s="187"/>
      <c r="D2" s="187"/>
      <c r="E2" s="188" t="s">
        <v>355</v>
      </c>
      <c r="F2" s="189"/>
    </row>
    <row r="3" spans="1:6" ht="12.75">
      <c r="A3" s="187"/>
      <c r="B3" s="187"/>
      <c r="C3" s="187"/>
      <c r="D3" s="190"/>
      <c r="E3" s="188" t="s">
        <v>165</v>
      </c>
      <c r="F3" s="189"/>
    </row>
    <row r="4" spans="1:6" ht="12.75">
      <c r="A4" s="187"/>
      <c r="B4" s="187"/>
      <c r="C4" s="187"/>
      <c r="D4" s="190"/>
      <c r="E4" s="188" t="s">
        <v>356</v>
      </c>
      <c r="F4" s="189"/>
    </row>
    <row r="5" spans="1:6" ht="12.75">
      <c r="A5" s="187"/>
      <c r="B5" s="187"/>
      <c r="C5" s="187"/>
      <c r="D5" s="190"/>
      <c r="E5" s="188"/>
      <c r="F5" s="188"/>
    </row>
    <row r="6" spans="1:6" ht="15.75">
      <c r="A6" s="590" t="s">
        <v>357</v>
      </c>
      <c r="B6" s="590"/>
      <c r="C6" s="590"/>
      <c r="D6" s="590"/>
      <c r="E6" s="590"/>
      <c r="F6" s="590"/>
    </row>
    <row r="7" spans="1:6" ht="15.75">
      <c r="A7" s="590" t="s">
        <v>358</v>
      </c>
      <c r="B7" s="590"/>
      <c r="C7" s="590"/>
      <c r="D7" s="590"/>
      <c r="E7" s="590"/>
      <c r="F7" s="590"/>
    </row>
    <row r="8" spans="1:6" ht="15.75">
      <c r="A8" s="590" t="s">
        <v>359</v>
      </c>
      <c r="B8" s="590"/>
      <c r="C8" s="590"/>
      <c r="D8" s="590"/>
      <c r="E8" s="590"/>
      <c r="F8" s="590"/>
    </row>
    <row r="9" spans="1:6" ht="13.5" thickBot="1">
      <c r="A9" s="190"/>
      <c r="B9" s="190"/>
      <c r="C9" s="190"/>
      <c r="D9" s="190"/>
      <c r="E9" s="190"/>
      <c r="F9" s="191" t="s">
        <v>360</v>
      </c>
    </row>
    <row r="10" spans="1:6" ht="12.75">
      <c r="A10" s="591" t="s">
        <v>113</v>
      </c>
      <c r="B10" s="592"/>
      <c r="C10" s="593"/>
      <c r="D10" s="594" t="s">
        <v>361</v>
      </c>
      <c r="E10" s="594" t="s">
        <v>263</v>
      </c>
      <c r="F10" s="597" t="s">
        <v>9</v>
      </c>
    </row>
    <row r="11" spans="1:6" ht="12.75">
      <c r="A11" s="600" t="s">
        <v>261</v>
      </c>
      <c r="B11" s="602" t="s">
        <v>43</v>
      </c>
      <c r="C11" s="602" t="s">
        <v>4</v>
      </c>
      <c r="D11" s="595"/>
      <c r="E11" s="595"/>
      <c r="F11" s="598"/>
    </row>
    <row r="12" spans="1:6" ht="13.5" thickBot="1">
      <c r="A12" s="601"/>
      <c r="B12" s="596"/>
      <c r="C12" s="596"/>
      <c r="D12" s="596"/>
      <c r="E12" s="596"/>
      <c r="F12" s="599"/>
    </row>
    <row r="13" spans="1:6" ht="13.5" thickBot="1">
      <c r="A13" s="194">
        <v>1</v>
      </c>
      <c r="B13" s="195">
        <v>2</v>
      </c>
      <c r="C13" s="196">
        <v>3</v>
      </c>
      <c r="D13" s="196">
        <v>4</v>
      </c>
      <c r="E13" s="196">
        <v>5</v>
      </c>
      <c r="F13" s="197">
        <v>6</v>
      </c>
    </row>
    <row r="14" spans="1:6" ht="13.5" thickBot="1">
      <c r="A14" s="198">
        <v>600</v>
      </c>
      <c r="B14" s="199"/>
      <c r="C14" s="199"/>
      <c r="D14" s="200" t="s">
        <v>362</v>
      </c>
      <c r="E14" s="201">
        <f>E15</f>
        <v>1654612</v>
      </c>
      <c r="F14" s="202">
        <f>F15</f>
        <v>1654612</v>
      </c>
    </row>
    <row r="15" spans="1:6" ht="12.75">
      <c r="A15" s="203"/>
      <c r="B15" s="204">
        <v>60014</v>
      </c>
      <c r="C15" s="204"/>
      <c r="D15" s="205" t="s">
        <v>363</v>
      </c>
      <c r="E15" s="206">
        <f>E16</f>
        <v>1654612</v>
      </c>
      <c r="F15" s="207">
        <f>+F18</f>
        <v>1654612</v>
      </c>
    </row>
    <row r="16" spans="1:6" ht="12.75">
      <c r="A16" s="203"/>
      <c r="B16" s="208"/>
      <c r="C16" s="208">
        <v>2310</v>
      </c>
      <c r="D16" s="209" t="s">
        <v>364</v>
      </c>
      <c r="E16" s="210">
        <v>1654612</v>
      </c>
      <c r="F16" s="211"/>
    </row>
    <row r="17" spans="1:6" ht="12.75">
      <c r="A17" s="203"/>
      <c r="B17" s="208"/>
      <c r="C17" s="208"/>
      <c r="D17" s="209" t="s">
        <v>365</v>
      </c>
      <c r="E17" s="212"/>
      <c r="F17" s="211"/>
    </row>
    <row r="18" spans="1:6" ht="12.75">
      <c r="A18" s="203"/>
      <c r="B18" s="213"/>
      <c r="C18" s="213">
        <v>4270</v>
      </c>
      <c r="D18" s="209" t="s">
        <v>282</v>
      </c>
      <c r="E18" s="214"/>
      <c r="F18" s="215">
        <v>1654612</v>
      </c>
    </row>
    <row r="19" spans="1:6" ht="12.75">
      <c r="A19" s="203"/>
      <c r="B19" s="213"/>
      <c r="C19" s="213"/>
      <c r="D19" s="209"/>
      <c r="E19" s="217"/>
      <c r="F19" s="218"/>
    </row>
    <row r="20" spans="1:6" ht="13.5" thickBot="1">
      <c r="A20" s="219">
        <v>630</v>
      </c>
      <c r="B20" s="220"/>
      <c r="C20" s="220"/>
      <c r="D20" s="221" t="s">
        <v>366</v>
      </c>
      <c r="E20" s="222"/>
      <c r="F20" s="223">
        <f>F21</f>
        <v>122463</v>
      </c>
    </row>
    <row r="21" spans="1:6" ht="12.75">
      <c r="A21" s="203"/>
      <c r="B21" s="224">
        <v>63003</v>
      </c>
      <c r="C21" s="225"/>
      <c r="D21" s="226" t="s">
        <v>367</v>
      </c>
      <c r="E21" s="227"/>
      <c r="F21" s="228">
        <f>+F22</f>
        <v>122463</v>
      </c>
    </row>
    <row r="22" spans="1:6" ht="12.75">
      <c r="A22" s="203"/>
      <c r="B22" s="213"/>
      <c r="C22" s="213">
        <v>2339</v>
      </c>
      <c r="D22" s="229" t="s">
        <v>368</v>
      </c>
      <c r="E22" s="230"/>
      <c r="F22" s="215">
        <v>122463</v>
      </c>
    </row>
    <row r="23" spans="1:6" ht="12.75">
      <c r="A23" s="203"/>
      <c r="B23" s="213"/>
      <c r="C23" s="213"/>
      <c r="D23" s="209" t="s">
        <v>369</v>
      </c>
      <c r="E23" s="230"/>
      <c r="F23" s="215"/>
    </row>
    <row r="24" spans="1:6" ht="12.75">
      <c r="A24" s="203"/>
      <c r="B24" s="213"/>
      <c r="C24" s="231"/>
      <c r="D24" s="209"/>
      <c r="E24" s="217"/>
      <c r="F24" s="218"/>
    </row>
    <row r="25" spans="1:6" ht="12.75">
      <c r="A25" s="203"/>
      <c r="B25" s="213"/>
      <c r="C25" s="231"/>
      <c r="D25" s="209"/>
      <c r="E25" s="217"/>
      <c r="F25" s="218"/>
    </row>
    <row r="26" spans="1:6" ht="13.5" thickBot="1">
      <c r="A26" s="219">
        <v>750</v>
      </c>
      <c r="B26" s="220"/>
      <c r="C26" s="232"/>
      <c r="D26" s="221" t="s">
        <v>310</v>
      </c>
      <c r="E26" s="233"/>
      <c r="F26" s="223">
        <f>F27</f>
        <v>2177</v>
      </c>
    </row>
    <row r="27" spans="1:6" ht="12.75">
      <c r="A27" s="203"/>
      <c r="B27" s="204">
        <v>75020</v>
      </c>
      <c r="C27" s="234"/>
      <c r="D27" s="235" t="s">
        <v>370</v>
      </c>
      <c r="E27" s="236"/>
      <c r="F27" s="237">
        <f>F28</f>
        <v>2177</v>
      </c>
    </row>
    <row r="28" spans="1:6" ht="12.75">
      <c r="A28" s="203"/>
      <c r="B28" s="213"/>
      <c r="C28" s="213">
        <v>2339</v>
      </c>
      <c r="D28" s="229" t="s">
        <v>368</v>
      </c>
      <c r="E28" s="217"/>
      <c r="F28" s="215">
        <v>2177</v>
      </c>
    </row>
    <row r="29" spans="1:6" ht="12.75">
      <c r="A29" s="203"/>
      <c r="B29" s="213"/>
      <c r="C29" s="213"/>
      <c r="D29" s="209" t="s">
        <v>369</v>
      </c>
      <c r="E29" s="217"/>
      <c r="F29" s="218"/>
    </row>
    <row r="30" spans="1:6" ht="12.75">
      <c r="A30" s="203"/>
      <c r="B30" s="213"/>
      <c r="C30" s="213"/>
      <c r="D30" s="209"/>
      <c r="E30" s="217"/>
      <c r="F30" s="218"/>
    </row>
    <row r="31" spans="1:6" ht="13.5" thickBot="1">
      <c r="A31" s="203"/>
      <c r="B31" s="213"/>
      <c r="C31" s="213"/>
      <c r="D31" s="209"/>
      <c r="E31" s="216"/>
      <c r="F31" s="215"/>
    </row>
    <row r="32" spans="1:6" ht="13.5" thickBot="1">
      <c r="A32" s="238">
        <v>852</v>
      </c>
      <c r="B32" s="239"/>
      <c r="C32" s="240"/>
      <c r="D32" s="241" t="s">
        <v>335</v>
      </c>
      <c r="E32" s="242">
        <f>E33+E39</f>
        <v>250574</v>
      </c>
      <c r="F32" s="243">
        <f>F33+F39+F46</f>
        <v>782662</v>
      </c>
    </row>
    <row r="33" spans="1:6" ht="12.75">
      <c r="A33" s="244"/>
      <c r="B33" s="245">
        <v>85201</v>
      </c>
      <c r="C33" s="246"/>
      <c r="D33" s="247" t="s">
        <v>371</v>
      </c>
      <c r="E33" s="248">
        <f>E34</f>
        <v>161352</v>
      </c>
      <c r="F33" s="249">
        <f>SUM(F37:F37)</f>
        <v>266360</v>
      </c>
    </row>
    <row r="34" spans="1:6" ht="12.75">
      <c r="A34" s="244"/>
      <c r="B34" s="250"/>
      <c r="C34" s="251">
        <v>2310</v>
      </c>
      <c r="D34" s="229" t="s">
        <v>372</v>
      </c>
      <c r="E34" s="252">
        <v>161352</v>
      </c>
      <c r="F34" s="253"/>
    </row>
    <row r="35" spans="1:6" ht="12.75">
      <c r="A35" s="244"/>
      <c r="B35" s="250"/>
      <c r="C35" s="251"/>
      <c r="D35" s="209" t="s">
        <v>373</v>
      </c>
      <c r="E35" s="252"/>
      <c r="F35" s="254"/>
    </row>
    <row r="36" spans="1:6" ht="12.75">
      <c r="A36" s="244"/>
      <c r="B36" s="250"/>
      <c r="C36" s="251">
        <v>2310</v>
      </c>
      <c r="D36" s="229" t="s">
        <v>374</v>
      </c>
      <c r="E36" s="252"/>
      <c r="F36" s="254"/>
    </row>
    <row r="37" spans="1:6" ht="12.75">
      <c r="A37" s="244"/>
      <c r="B37" s="250"/>
      <c r="C37" s="251"/>
      <c r="D37" s="229" t="s">
        <v>365</v>
      </c>
      <c r="E37" s="252"/>
      <c r="F37" s="254">
        <v>266360</v>
      </c>
    </row>
    <row r="38" spans="1:6" ht="12.75">
      <c r="A38" s="244"/>
      <c r="B38" s="250"/>
      <c r="C38" s="251"/>
      <c r="D38" s="229"/>
      <c r="E38" s="252"/>
      <c r="F38" s="254"/>
    </row>
    <row r="39" spans="1:6" ht="12.75">
      <c r="A39" s="255"/>
      <c r="B39" s="256">
        <v>85204</v>
      </c>
      <c r="C39" s="257"/>
      <c r="D39" s="258" t="s">
        <v>375</v>
      </c>
      <c r="E39" s="259">
        <f>E40</f>
        <v>89222</v>
      </c>
      <c r="F39" s="260">
        <f>F44+F42</f>
        <v>496302</v>
      </c>
    </row>
    <row r="40" spans="1:6" ht="12.75">
      <c r="A40" s="261"/>
      <c r="B40" s="262"/>
      <c r="C40" s="251">
        <v>2310</v>
      </c>
      <c r="D40" s="229" t="s">
        <v>372</v>
      </c>
      <c r="E40" s="252">
        <v>89222</v>
      </c>
      <c r="F40" s="254"/>
    </row>
    <row r="41" spans="1:6" ht="12.75">
      <c r="A41" s="261"/>
      <c r="B41" s="262"/>
      <c r="C41" s="251"/>
      <c r="D41" s="209" t="s">
        <v>373</v>
      </c>
      <c r="E41" s="252"/>
      <c r="F41" s="254"/>
    </row>
    <row r="42" spans="1:6" ht="12.75">
      <c r="A42" s="261"/>
      <c r="B42" s="262"/>
      <c r="C42" s="251">
        <v>2310</v>
      </c>
      <c r="D42" s="229" t="s">
        <v>374</v>
      </c>
      <c r="E42" s="252"/>
      <c r="F42" s="254">
        <v>407080</v>
      </c>
    </row>
    <row r="43" spans="1:6" ht="12.75">
      <c r="A43" s="261"/>
      <c r="B43" s="262"/>
      <c r="C43" s="251"/>
      <c r="D43" s="229" t="s">
        <v>365</v>
      </c>
      <c r="E43" s="252"/>
      <c r="F43" s="254"/>
    </row>
    <row r="44" spans="1:6" ht="12.75">
      <c r="A44" s="261"/>
      <c r="B44" s="262"/>
      <c r="C44" s="251">
        <v>3110</v>
      </c>
      <c r="D44" s="209" t="s">
        <v>376</v>
      </c>
      <c r="E44" s="252"/>
      <c r="F44" s="254">
        <v>89222</v>
      </c>
    </row>
    <row r="45" spans="1:6" ht="12.75">
      <c r="A45" s="261"/>
      <c r="B45" s="262"/>
      <c r="C45" s="251"/>
      <c r="D45" s="229"/>
      <c r="E45" s="252"/>
      <c r="F45" s="254"/>
    </row>
    <row r="46" spans="1:6" ht="12.75">
      <c r="A46" s="261"/>
      <c r="B46" s="272">
        <v>85295</v>
      </c>
      <c r="C46" s="273"/>
      <c r="D46" s="419" t="s">
        <v>469</v>
      </c>
      <c r="E46" s="259"/>
      <c r="F46" s="260">
        <f>F48</f>
        <v>20000</v>
      </c>
    </row>
    <row r="47" spans="1:6" ht="12.75">
      <c r="A47" s="261"/>
      <c r="B47" s="262"/>
      <c r="C47" s="251">
        <v>2310</v>
      </c>
      <c r="D47" s="229" t="s">
        <v>374</v>
      </c>
      <c r="E47" s="252"/>
      <c r="F47" s="254"/>
    </row>
    <row r="48" spans="1:6" ht="12.75">
      <c r="A48" s="261"/>
      <c r="B48" s="262"/>
      <c r="C48" s="251"/>
      <c r="D48" s="229" t="s">
        <v>365</v>
      </c>
      <c r="E48" s="252"/>
      <c r="F48" s="254">
        <v>20000</v>
      </c>
    </row>
    <row r="49" spans="1:6" ht="12.75">
      <c r="A49" s="261"/>
      <c r="B49" s="262"/>
      <c r="C49" s="251"/>
      <c r="D49" s="160"/>
      <c r="E49" s="252"/>
      <c r="F49" s="254"/>
    </row>
    <row r="50" spans="1:6" ht="13.5" thickBot="1">
      <c r="A50" s="261"/>
      <c r="B50" s="262"/>
      <c r="C50" s="251"/>
      <c r="D50" s="160"/>
      <c r="E50" s="252"/>
      <c r="F50" s="254"/>
    </row>
    <row r="51" spans="1:6" ht="13.5" thickBot="1">
      <c r="A51" s="263">
        <v>853</v>
      </c>
      <c r="B51" s="264"/>
      <c r="C51" s="239"/>
      <c r="D51" s="265" t="s">
        <v>344</v>
      </c>
      <c r="E51" s="266">
        <f>E52</f>
        <v>0</v>
      </c>
      <c r="F51" s="243">
        <f>F52</f>
        <v>637539</v>
      </c>
    </row>
    <row r="52" spans="1:6" ht="12.75">
      <c r="A52" s="261"/>
      <c r="B52" s="267">
        <v>85333</v>
      </c>
      <c r="C52" s="268"/>
      <c r="D52" s="269" t="s">
        <v>377</v>
      </c>
      <c r="E52" s="248"/>
      <c r="F52" s="249">
        <f>F53</f>
        <v>637539</v>
      </c>
    </row>
    <row r="53" spans="1:6" ht="12.75">
      <c r="A53" s="261"/>
      <c r="B53" s="262"/>
      <c r="C53" s="251">
        <v>2310</v>
      </c>
      <c r="D53" s="229" t="s">
        <v>374</v>
      </c>
      <c r="E53" s="252"/>
      <c r="F53" s="254">
        <v>637539</v>
      </c>
    </row>
    <row r="54" spans="1:6" ht="12.75">
      <c r="A54" s="261"/>
      <c r="B54" s="262"/>
      <c r="C54" s="251"/>
      <c r="D54" s="229" t="s">
        <v>365</v>
      </c>
      <c r="E54" s="252"/>
      <c r="F54" s="254"/>
    </row>
    <row r="55" spans="1:6" ht="13.5" thickBot="1">
      <c r="A55" s="261"/>
      <c r="B55" s="262"/>
      <c r="C55" s="251"/>
      <c r="D55" s="160"/>
      <c r="E55" s="252"/>
      <c r="F55" s="254"/>
    </row>
    <row r="56" spans="1:6" ht="13.5" thickBot="1">
      <c r="A56" s="263">
        <v>854</v>
      </c>
      <c r="B56" s="264"/>
      <c r="C56" s="239"/>
      <c r="D56" s="265" t="s">
        <v>378</v>
      </c>
      <c r="E56" s="266"/>
      <c r="F56" s="243">
        <f>F57</f>
        <v>140000</v>
      </c>
    </row>
    <row r="57" spans="1:6" ht="12.75">
      <c r="A57" s="261"/>
      <c r="B57" s="267">
        <v>85406</v>
      </c>
      <c r="C57" s="268"/>
      <c r="D57" s="270" t="s">
        <v>379</v>
      </c>
      <c r="E57" s="248"/>
      <c r="F57" s="249">
        <f>F58</f>
        <v>140000</v>
      </c>
    </row>
    <row r="58" spans="1:6" ht="12.75">
      <c r="A58" s="261"/>
      <c r="B58" s="262"/>
      <c r="C58" s="251">
        <v>2310</v>
      </c>
      <c r="D58" s="229" t="s">
        <v>374</v>
      </c>
      <c r="E58" s="252"/>
      <c r="F58" s="254">
        <v>140000</v>
      </c>
    </row>
    <row r="59" spans="1:6" ht="12.75">
      <c r="A59" s="261"/>
      <c r="B59" s="262"/>
      <c r="C59" s="251"/>
      <c r="D59" s="229" t="s">
        <v>365</v>
      </c>
      <c r="E59" s="252"/>
      <c r="F59" s="254"/>
    </row>
    <row r="60" spans="1:6" ht="12.75">
      <c r="A60" s="261"/>
      <c r="B60" s="262"/>
      <c r="C60" s="251"/>
      <c r="D60" s="229"/>
      <c r="E60" s="252"/>
      <c r="F60" s="254"/>
    </row>
    <row r="61" spans="1:6" ht="13.5" thickBot="1">
      <c r="A61" s="380">
        <v>900</v>
      </c>
      <c r="B61" s="381"/>
      <c r="C61" s="382"/>
      <c r="D61" s="383" t="s">
        <v>470</v>
      </c>
      <c r="E61" s="384"/>
      <c r="F61" s="385">
        <f>F62</f>
        <v>60000</v>
      </c>
    </row>
    <row r="62" spans="1:6" ht="12.75">
      <c r="A62" s="261"/>
      <c r="B62" s="267">
        <v>90095</v>
      </c>
      <c r="C62" s="268"/>
      <c r="D62" s="247" t="s">
        <v>469</v>
      </c>
      <c r="E62" s="248"/>
      <c r="F62" s="249">
        <f>F64</f>
        <v>60000</v>
      </c>
    </row>
    <row r="63" spans="1:6" ht="12.75">
      <c r="A63" s="261"/>
      <c r="B63" s="262"/>
      <c r="C63" s="251">
        <v>6610</v>
      </c>
      <c r="D63" s="229" t="s">
        <v>473</v>
      </c>
      <c r="E63" s="252"/>
      <c r="F63" s="254"/>
    </row>
    <row r="64" spans="1:6" ht="12.75">
      <c r="A64" s="261"/>
      <c r="B64" s="262"/>
      <c r="C64" s="251"/>
      <c r="D64" s="229" t="s">
        <v>365</v>
      </c>
      <c r="E64" s="252"/>
      <c r="F64" s="254">
        <v>60000</v>
      </c>
    </row>
    <row r="65" spans="1:6" ht="13.5" thickBot="1">
      <c r="A65" s="261"/>
      <c r="B65" s="262"/>
      <c r="C65" s="251"/>
      <c r="D65" s="229"/>
      <c r="E65" s="252"/>
      <c r="F65" s="254"/>
    </row>
    <row r="66" spans="1:6" ht="13.5" thickBot="1">
      <c r="A66" s="263">
        <v>921</v>
      </c>
      <c r="B66" s="264"/>
      <c r="C66" s="239"/>
      <c r="D66" s="271" t="s">
        <v>380</v>
      </c>
      <c r="E66" s="266">
        <f>E67</f>
        <v>0</v>
      </c>
      <c r="F66" s="243">
        <f>F67</f>
        <v>35000</v>
      </c>
    </row>
    <row r="67" spans="1:6" ht="12.75">
      <c r="A67" s="261"/>
      <c r="B67" s="272">
        <v>92116</v>
      </c>
      <c r="C67" s="273"/>
      <c r="D67" s="274" t="s">
        <v>381</v>
      </c>
      <c r="E67" s="259"/>
      <c r="F67" s="260">
        <f>F68</f>
        <v>35000</v>
      </c>
    </row>
    <row r="68" spans="1:6" ht="12.75">
      <c r="A68" s="261"/>
      <c r="B68" s="262"/>
      <c r="C68" s="251">
        <v>2310</v>
      </c>
      <c r="D68" s="229" t="s">
        <v>374</v>
      </c>
      <c r="E68" s="252"/>
      <c r="F68" s="254">
        <f>'[1]WYDATKI ukł.wyk.'!F653</f>
        <v>35000</v>
      </c>
    </row>
    <row r="69" spans="1:6" ht="12.75">
      <c r="A69" s="275"/>
      <c r="B69" s="272"/>
      <c r="C69" s="273"/>
      <c r="D69" s="226" t="s">
        <v>365</v>
      </c>
      <c r="E69" s="259"/>
      <c r="F69" s="260"/>
    </row>
    <row r="70" spans="1:6" ht="13.5" thickBot="1">
      <c r="A70" s="189"/>
      <c r="B70" s="189"/>
      <c r="C70" s="189"/>
      <c r="D70" s="276" t="s">
        <v>349</v>
      </c>
      <c r="E70" s="277">
        <f>E66+E56+E51+E32+E14+E20+E26</f>
        <v>1905186</v>
      </c>
      <c r="F70" s="277">
        <f>F66+F56+F51+F32+F14+F20+F26+F61</f>
        <v>3434453</v>
      </c>
    </row>
    <row r="71" spans="1:6" ht="12.75">
      <c r="A71" s="189"/>
      <c r="B71" s="189"/>
      <c r="C71" s="189"/>
      <c r="D71" s="278" t="s">
        <v>350</v>
      </c>
      <c r="E71" s="279"/>
      <c r="F71" s="280">
        <f>F70-F74</f>
        <v>3374453</v>
      </c>
    </row>
    <row r="72" spans="1:6" ht="12.75">
      <c r="A72" s="189"/>
      <c r="B72" s="189"/>
      <c r="C72" s="189"/>
      <c r="D72" s="281" t="s">
        <v>351</v>
      </c>
      <c r="E72" s="282"/>
      <c r="F72" s="283">
        <f>0</f>
        <v>0</v>
      </c>
    </row>
    <row r="73" spans="1:6" ht="12.75">
      <c r="A73" s="189"/>
      <c r="B73" s="189"/>
      <c r="C73" s="189"/>
      <c r="D73" s="284" t="s">
        <v>382</v>
      </c>
      <c r="E73" s="285"/>
      <c r="F73" s="286">
        <f>F68+F53+F42+F37+F28+F22+F48+F58</f>
        <v>1630619</v>
      </c>
    </row>
    <row r="74" spans="1:6" ht="13.5" thickBot="1">
      <c r="A74" s="189"/>
      <c r="B74" s="189"/>
      <c r="C74" s="189"/>
      <c r="D74" s="287" t="s">
        <v>353</v>
      </c>
      <c r="E74" s="288"/>
      <c r="F74" s="289">
        <f>+F64</f>
        <v>60000</v>
      </c>
    </row>
    <row r="75" spans="1:6" ht="12.75">
      <c r="A75" s="189"/>
      <c r="B75" s="189"/>
      <c r="C75" s="189"/>
      <c r="D75" s="189"/>
      <c r="E75" s="189"/>
      <c r="F75" s="189"/>
    </row>
    <row r="76" spans="1:6" ht="12.75">
      <c r="A76" s="189"/>
      <c r="B76" s="189"/>
      <c r="C76" s="189"/>
      <c r="D76" s="189"/>
      <c r="E76" s="189"/>
      <c r="F76" s="189"/>
    </row>
    <row r="77" spans="1:6" ht="12.75">
      <c r="A77" s="189"/>
      <c r="B77" s="189"/>
      <c r="C77" s="189"/>
      <c r="D77" s="189"/>
      <c r="E77" s="189"/>
      <c r="F77" s="189"/>
    </row>
    <row r="78" spans="1:6" ht="12.75">
      <c r="A78" s="189"/>
      <c r="B78" s="189"/>
      <c r="C78" s="189"/>
      <c r="D78" s="189"/>
      <c r="E78" s="189"/>
      <c r="F78" s="189"/>
    </row>
    <row r="79" spans="1:6" ht="12.75">
      <c r="A79" s="189"/>
      <c r="B79" s="189"/>
      <c r="C79" s="189"/>
      <c r="D79" s="189"/>
      <c r="E79" s="189"/>
      <c r="F79" s="189"/>
    </row>
    <row r="80" spans="1:6" ht="12.75">
      <c r="A80" s="189"/>
      <c r="B80" s="189"/>
      <c r="C80" s="189"/>
      <c r="D80" s="189"/>
      <c r="E80" s="189"/>
      <c r="F80" s="189"/>
    </row>
  </sheetData>
  <sheetProtection/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7">
      <selection activeCell="F10" sqref="F10"/>
    </sheetView>
  </sheetViews>
  <sheetFormatPr defaultColWidth="9.00390625" defaultRowHeight="12.75"/>
  <cols>
    <col min="1" max="1" width="4.875" style="0" customWidth="1"/>
    <col min="2" max="3" width="7.375" style="0" customWidth="1"/>
    <col min="4" max="4" width="46.875" style="0" customWidth="1"/>
    <col min="5" max="5" width="10.625" style="0" customWidth="1"/>
    <col min="6" max="6" width="14.00390625" style="0" customWidth="1"/>
  </cols>
  <sheetData>
    <row r="1" spans="1:6" ht="12.75">
      <c r="A1" s="187"/>
      <c r="B1" s="187"/>
      <c r="C1" s="187"/>
      <c r="D1" s="187"/>
      <c r="F1" s="404" t="s">
        <v>530</v>
      </c>
    </row>
    <row r="2" spans="1:6" ht="12.75">
      <c r="A2" s="187"/>
      <c r="B2" s="187"/>
      <c r="C2" s="187"/>
      <c r="D2" s="187"/>
      <c r="F2" s="404" t="s">
        <v>355</v>
      </c>
    </row>
    <row r="3" spans="1:6" ht="12.75">
      <c r="A3" s="187"/>
      <c r="B3" s="187"/>
      <c r="C3" s="187"/>
      <c r="D3" s="190"/>
      <c r="F3" s="404" t="s">
        <v>537</v>
      </c>
    </row>
    <row r="4" spans="1:6" ht="12.75">
      <c r="A4" s="187"/>
      <c r="B4" s="187"/>
      <c r="C4" s="187"/>
      <c r="D4" s="190"/>
      <c r="F4" s="404" t="s">
        <v>513</v>
      </c>
    </row>
    <row r="5" spans="1:6" ht="12.75">
      <c r="A5" s="187"/>
      <c r="B5" s="187"/>
      <c r="C5" s="187"/>
      <c r="D5" s="190"/>
      <c r="E5" s="188"/>
      <c r="F5" s="188"/>
    </row>
    <row r="6" spans="1:6" ht="15.75">
      <c r="A6" s="590" t="s">
        <v>357</v>
      </c>
      <c r="B6" s="590"/>
      <c r="C6" s="590"/>
      <c r="D6" s="590"/>
      <c r="E6" s="590"/>
      <c r="F6" s="590"/>
    </row>
    <row r="7" spans="1:6" ht="15.75">
      <c r="A7" s="590" t="s">
        <v>507</v>
      </c>
      <c r="B7" s="590"/>
      <c r="C7" s="590"/>
      <c r="D7" s="590"/>
      <c r="E7" s="590"/>
      <c r="F7" s="590"/>
    </row>
    <row r="8" spans="1:6" ht="15.75">
      <c r="A8" s="590" t="s">
        <v>514</v>
      </c>
      <c r="B8" s="590"/>
      <c r="C8" s="590"/>
      <c r="D8" s="590"/>
      <c r="E8" s="590"/>
      <c r="F8" s="590"/>
    </row>
    <row r="10" spans="1:6" ht="13.5" thickBot="1">
      <c r="A10" s="190"/>
      <c r="B10" s="190"/>
      <c r="C10" s="190"/>
      <c r="D10" s="190"/>
      <c r="E10" s="190"/>
      <c r="F10" s="191" t="s">
        <v>360</v>
      </c>
    </row>
    <row r="11" spans="1:6" ht="12.75">
      <c r="A11" s="591" t="s">
        <v>113</v>
      </c>
      <c r="B11" s="592"/>
      <c r="C11" s="593"/>
      <c r="D11" s="594" t="s">
        <v>361</v>
      </c>
      <c r="E11" s="594" t="s">
        <v>263</v>
      </c>
      <c r="F11" s="597" t="s">
        <v>9</v>
      </c>
    </row>
    <row r="12" spans="1:6" ht="12.75">
      <c r="A12" s="600" t="s">
        <v>261</v>
      </c>
      <c r="B12" s="602" t="s">
        <v>43</v>
      </c>
      <c r="C12" s="602" t="s">
        <v>4</v>
      </c>
      <c r="D12" s="595"/>
      <c r="E12" s="595"/>
      <c r="F12" s="598"/>
    </row>
    <row r="13" spans="1:6" ht="13.5" thickBot="1">
      <c r="A13" s="601"/>
      <c r="B13" s="596"/>
      <c r="C13" s="596"/>
      <c r="D13" s="596"/>
      <c r="E13" s="596"/>
      <c r="F13" s="599"/>
    </row>
    <row r="14" spans="1:6" ht="13.5" thickBot="1">
      <c r="A14" s="194">
        <v>1</v>
      </c>
      <c r="B14" s="195">
        <v>2</v>
      </c>
      <c r="C14" s="196">
        <v>3</v>
      </c>
      <c r="D14" s="196">
        <v>4</v>
      </c>
      <c r="E14" s="196">
        <v>5</v>
      </c>
      <c r="F14" s="197">
        <v>6</v>
      </c>
    </row>
    <row r="15" spans="1:6" ht="13.5" thickBot="1">
      <c r="A15" s="405">
        <v>852</v>
      </c>
      <c r="B15" s="406"/>
      <c r="C15" s="406"/>
      <c r="D15" s="406" t="s">
        <v>335</v>
      </c>
      <c r="E15" s="407">
        <f>E16</f>
        <v>50000</v>
      </c>
      <c r="F15" s="408">
        <f>F16</f>
        <v>50000</v>
      </c>
    </row>
    <row r="16" spans="1:6" ht="12.75">
      <c r="A16" s="409"/>
      <c r="B16" s="410">
        <v>85295</v>
      </c>
      <c r="C16" s="410"/>
      <c r="D16" s="410" t="s">
        <v>469</v>
      </c>
      <c r="E16" s="411">
        <f>SUM(E17)</f>
        <v>50000</v>
      </c>
      <c r="F16" s="412">
        <f>SUM(F20:F25)</f>
        <v>50000</v>
      </c>
    </row>
    <row r="17" spans="1:6" ht="12.75">
      <c r="A17" s="409"/>
      <c r="B17" s="413"/>
      <c r="C17" s="413">
        <v>2120</v>
      </c>
      <c r="D17" s="413" t="s">
        <v>508</v>
      </c>
      <c r="E17" s="414">
        <v>50000</v>
      </c>
      <c r="F17" s="415"/>
    </row>
    <row r="18" spans="1:6" ht="12.75">
      <c r="A18" s="409"/>
      <c r="B18" s="413"/>
      <c r="C18" s="413"/>
      <c r="D18" s="413" t="s">
        <v>509</v>
      </c>
      <c r="E18" s="414"/>
      <c r="F18" s="415"/>
    </row>
    <row r="19" spans="1:6" ht="12.75">
      <c r="A19" s="409"/>
      <c r="B19" s="413"/>
      <c r="C19" s="413"/>
      <c r="D19" s="413" t="s">
        <v>510</v>
      </c>
      <c r="E19" s="414"/>
      <c r="F19" s="415"/>
    </row>
    <row r="20" spans="1:6" ht="12.75">
      <c r="A20" s="409"/>
      <c r="B20" s="413"/>
      <c r="C20" s="413">
        <v>4110</v>
      </c>
      <c r="D20" s="209" t="s">
        <v>511</v>
      </c>
      <c r="E20" s="414"/>
      <c r="F20" s="415">
        <v>677</v>
      </c>
    </row>
    <row r="21" spans="1:6" ht="12.75">
      <c r="A21" s="409"/>
      <c r="B21" s="413"/>
      <c r="C21" s="413">
        <v>4120</v>
      </c>
      <c r="D21" s="209" t="s">
        <v>313</v>
      </c>
      <c r="E21" s="414"/>
      <c r="F21" s="415">
        <v>96</v>
      </c>
    </row>
    <row r="22" spans="1:6" ht="12.75">
      <c r="A22" s="409"/>
      <c r="B22" s="413"/>
      <c r="C22" s="413">
        <v>4170</v>
      </c>
      <c r="D22" s="413" t="s">
        <v>314</v>
      </c>
      <c r="E22" s="414"/>
      <c r="F22" s="415">
        <v>4427</v>
      </c>
    </row>
    <row r="23" spans="1:6" ht="12.75">
      <c r="A23" s="409"/>
      <c r="B23" s="413"/>
      <c r="C23" s="413">
        <v>4210</v>
      </c>
      <c r="D23" s="209" t="s">
        <v>297</v>
      </c>
      <c r="E23" s="414"/>
      <c r="F23" s="415">
        <f>2346+1985</f>
        <v>4331</v>
      </c>
    </row>
    <row r="24" spans="1:6" ht="12.75">
      <c r="A24" s="409"/>
      <c r="B24" s="413"/>
      <c r="C24" s="413">
        <v>4300</v>
      </c>
      <c r="D24" s="209" t="s">
        <v>274</v>
      </c>
      <c r="E24" s="414"/>
      <c r="F24" s="415">
        <f>41926-1985</f>
        <v>39941</v>
      </c>
    </row>
    <row r="25" spans="1:6" ht="12.75">
      <c r="A25" s="409"/>
      <c r="B25" s="413"/>
      <c r="C25" s="413">
        <v>4430</v>
      </c>
      <c r="D25" s="209" t="s">
        <v>303</v>
      </c>
      <c r="E25" s="414" t="s">
        <v>515</v>
      </c>
      <c r="F25" s="415">
        <v>528</v>
      </c>
    </row>
    <row r="26" spans="1:6" ht="12.75">
      <c r="A26" s="409"/>
      <c r="B26" s="413"/>
      <c r="C26" s="413"/>
      <c r="D26" s="209"/>
      <c r="E26" s="414"/>
      <c r="F26" s="415"/>
    </row>
    <row r="27" spans="1:6" ht="13.5" thickBot="1">
      <c r="A27" s="416"/>
      <c r="B27" s="417"/>
      <c r="C27" s="417"/>
      <c r="D27" s="418" t="s">
        <v>512</v>
      </c>
      <c r="E27" s="277">
        <f>E15</f>
        <v>50000</v>
      </c>
      <c r="F27" s="277">
        <f>F15</f>
        <v>50000</v>
      </c>
    </row>
  </sheetData>
  <sheetProtection/>
  <mergeCells count="10">
    <mergeCell ref="A6:F6"/>
    <mergeCell ref="A7:F7"/>
    <mergeCell ref="A8:F8"/>
    <mergeCell ref="A11:C11"/>
    <mergeCell ref="D11:D13"/>
    <mergeCell ref="E11:E13"/>
    <mergeCell ref="F11:F13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6">
      <selection activeCell="B26" sqref="B2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75"/>
      <c r="B1" s="75"/>
      <c r="C1" s="75"/>
      <c r="D1" s="156" t="s">
        <v>250</v>
      </c>
      <c r="E1" s="2" t="s">
        <v>476</v>
      </c>
    </row>
    <row r="2" spans="1:5" ht="15" customHeight="1">
      <c r="A2" s="75"/>
      <c r="B2" s="75"/>
      <c r="C2" s="75"/>
      <c r="D2" s="156" t="s">
        <v>251</v>
      </c>
      <c r="E2" s="75"/>
    </row>
    <row r="3" spans="1:5" ht="15" customHeight="1">
      <c r="A3" s="75"/>
      <c r="B3" s="75"/>
      <c r="C3" s="75"/>
      <c r="D3" s="156" t="s">
        <v>165</v>
      </c>
      <c r="E3" s="75"/>
    </row>
    <row r="4" spans="1:5" ht="15" customHeight="1">
      <c r="A4" s="75"/>
      <c r="B4" s="75"/>
      <c r="C4" s="75"/>
      <c r="D4" s="156" t="s">
        <v>252</v>
      </c>
      <c r="E4" s="75"/>
    </row>
    <row r="5" spans="1:5" ht="15" customHeight="1">
      <c r="A5" s="75"/>
      <c r="B5" s="75"/>
      <c r="C5" s="75"/>
      <c r="D5" s="157"/>
      <c r="E5" s="75"/>
    </row>
    <row r="6" spans="1:5" ht="15" customHeight="1">
      <c r="A6" s="607" t="s">
        <v>151</v>
      </c>
      <c r="B6" s="607"/>
      <c r="C6" s="607"/>
      <c r="D6" s="607"/>
      <c r="E6" s="607"/>
    </row>
    <row r="8" ht="13.5" thickBot="1">
      <c r="E8" s="61" t="s">
        <v>44</v>
      </c>
    </row>
    <row r="9" spans="1:5" ht="13.5" thickBot="1">
      <c r="A9" s="39" t="s">
        <v>112</v>
      </c>
      <c r="B9" s="39" t="s">
        <v>5</v>
      </c>
      <c r="C9" s="39" t="s">
        <v>113</v>
      </c>
      <c r="D9" s="603" t="s">
        <v>8</v>
      </c>
      <c r="E9" s="604"/>
    </row>
    <row r="10" spans="1:5" ht="12.75">
      <c r="A10" s="40"/>
      <c r="B10" s="40"/>
      <c r="C10" s="40" t="s">
        <v>4</v>
      </c>
      <c r="D10" s="41" t="s">
        <v>114</v>
      </c>
      <c r="E10" s="39" t="s">
        <v>115</v>
      </c>
    </row>
    <row r="11" spans="1:5" ht="13.5" thickBot="1">
      <c r="A11" s="40"/>
      <c r="B11" s="40"/>
      <c r="C11" s="40"/>
      <c r="D11" s="42" t="s">
        <v>141</v>
      </c>
      <c r="E11" s="42" t="s">
        <v>137</v>
      </c>
    </row>
    <row r="12" spans="1:5" ht="9" customHeight="1" thickBot="1">
      <c r="A12" s="43">
        <v>1</v>
      </c>
      <c r="B12" s="43">
        <v>2</v>
      </c>
      <c r="C12" s="43">
        <v>3</v>
      </c>
      <c r="D12" s="43">
        <v>4</v>
      </c>
      <c r="E12" s="43">
        <v>5</v>
      </c>
    </row>
    <row r="13" spans="1:5" ht="19.5" customHeight="1">
      <c r="A13" s="44" t="s">
        <v>12</v>
      </c>
      <c r="B13" s="45" t="s">
        <v>116</v>
      </c>
      <c r="C13" s="44"/>
      <c r="D13" s="66">
        <v>48874566</v>
      </c>
      <c r="E13" s="66">
        <v>57107065</v>
      </c>
    </row>
    <row r="14" spans="1:5" ht="19.5" customHeight="1">
      <c r="A14" s="46" t="s">
        <v>13</v>
      </c>
      <c r="B14" s="47" t="s">
        <v>69</v>
      </c>
      <c r="C14" s="46"/>
      <c r="D14" s="67">
        <v>52140783</v>
      </c>
      <c r="E14" s="67">
        <v>57621478</v>
      </c>
    </row>
    <row r="15" spans="1:5" ht="19.5" customHeight="1">
      <c r="A15" s="46"/>
      <c r="B15" s="47" t="s">
        <v>117</v>
      </c>
      <c r="C15" s="46"/>
      <c r="D15" s="67"/>
      <c r="E15" s="67"/>
    </row>
    <row r="16" spans="1:5" ht="19.5" customHeight="1" thickBot="1">
      <c r="A16" s="48"/>
      <c r="B16" s="49" t="s">
        <v>118</v>
      </c>
      <c r="C16" s="48"/>
      <c r="D16" s="68">
        <f>D13-D14</f>
        <v>-3266217</v>
      </c>
      <c r="E16" s="68">
        <f>E13-E14</f>
        <v>-514413</v>
      </c>
    </row>
    <row r="17" spans="1:5" ht="19.5" customHeight="1" thickBot="1">
      <c r="A17" s="39" t="s">
        <v>11</v>
      </c>
      <c r="B17" s="50" t="s">
        <v>119</v>
      </c>
      <c r="C17" s="51"/>
      <c r="D17" s="74">
        <f>D18-D28</f>
        <v>6047592</v>
      </c>
      <c r="E17" s="74">
        <f>E18-E28</f>
        <v>514413</v>
      </c>
    </row>
    <row r="18" spans="1:5" ht="19.5" customHeight="1" thickBot="1">
      <c r="A18" s="605" t="s">
        <v>26</v>
      </c>
      <c r="B18" s="606"/>
      <c r="C18" s="43"/>
      <c r="D18" s="69">
        <f>SUM(D19:D27)</f>
        <v>6588930</v>
      </c>
      <c r="E18" s="69">
        <f>SUM(E19:E27)</f>
        <v>4104279</v>
      </c>
    </row>
    <row r="19" spans="1:5" ht="19.5" customHeight="1">
      <c r="A19" s="52" t="s">
        <v>12</v>
      </c>
      <c r="B19" s="53" t="s">
        <v>20</v>
      </c>
      <c r="C19" s="52" t="s">
        <v>27</v>
      </c>
      <c r="D19" s="70">
        <v>2295049</v>
      </c>
      <c r="E19" s="70">
        <v>986232</v>
      </c>
    </row>
    <row r="20" spans="1:5" ht="19.5" customHeight="1">
      <c r="A20" s="46" t="s">
        <v>13</v>
      </c>
      <c r="B20" s="47" t="s">
        <v>21</v>
      </c>
      <c r="C20" s="46" t="s">
        <v>27</v>
      </c>
      <c r="D20" s="67"/>
      <c r="E20" s="67"/>
    </row>
    <row r="21" spans="1:5" ht="49.5" customHeight="1">
      <c r="A21" s="46" t="s">
        <v>14</v>
      </c>
      <c r="B21" s="54" t="s">
        <v>120</v>
      </c>
      <c r="C21" s="46" t="s">
        <v>50</v>
      </c>
      <c r="D21" s="67"/>
      <c r="E21" s="67">
        <v>0</v>
      </c>
    </row>
    <row r="22" spans="1:5" ht="19.5" customHeight="1">
      <c r="A22" s="46" t="s">
        <v>1</v>
      </c>
      <c r="B22" s="47" t="s">
        <v>29</v>
      </c>
      <c r="C22" s="46" t="s">
        <v>51</v>
      </c>
      <c r="D22" s="67"/>
      <c r="E22" s="67">
        <v>296672</v>
      </c>
    </row>
    <row r="23" spans="1:5" ht="19.5" customHeight="1">
      <c r="A23" s="46" t="s">
        <v>19</v>
      </c>
      <c r="B23" s="47" t="s">
        <v>121</v>
      </c>
      <c r="C23" s="46" t="s">
        <v>52</v>
      </c>
      <c r="D23" s="67"/>
      <c r="E23" s="67"/>
    </row>
    <row r="24" spans="1:5" ht="19.5" customHeight="1">
      <c r="A24" s="46" t="s">
        <v>22</v>
      </c>
      <c r="B24" s="47" t="s">
        <v>23</v>
      </c>
      <c r="C24" s="46" t="s">
        <v>28</v>
      </c>
      <c r="D24" s="67">
        <v>2193881</v>
      </c>
      <c r="E24" s="67">
        <v>2193881</v>
      </c>
    </row>
    <row r="25" spans="1:5" ht="19.5" customHeight="1">
      <c r="A25" s="46" t="s">
        <v>25</v>
      </c>
      <c r="B25" s="47" t="s">
        <v>122</v>
      </c>
      <c r="C25" s="46" t="s">
        <v>32</v>
      </c>
      <c r="D25" s="67">
        <v>2100000</v>
      </c>
      <c r="E25" s="67">
        <v>0</v>
      </c>
    </row>
    <row r="26" spans="1:5" ht="19.5" customHeight="1">
      <c r="A26" s="46" t="s">
        <v>31</v>
      </c>
      <c r="B26" s="47" t="s">
        <v>49</v>
      </c>
      <c r="C26" s="46" t="s">
        <v>123</v>
      </c>
      <c r="D26" s="67"/>
      <c r="E26" s="67"/>
    </row>
    <row r="27" spans="1:5" ht="19.5" customHeight="1" thickBot="1">
      <c r="A27" s="44" t="s">
        <v>47</v>
      </c>
      <c r="B27" s="45" t="s">
        <v>48</v>
      </c>
      <c r="C27" s="44" t="s">
        <v>30</v>
      </c>
      <c r="D27" s="66"/>
      <c r="E27" s="66">
        <v>627494</v>
      </c>
    </row>
    <row r="28" spans="1:5" ht="19.5" customHeight="1" thickBot="1">
      <c r="A28" s="605" t="s">
        <v>124</v>
      </c>
      <c r="B28" s="606"/>
      <c r="C28" s="43"/>
      <c r="D28" s="69">
        <f>SUM(D29:D36)</f>
        <v>541338</v>
      </c>
      <c r="E28" s="69">
        <f>SUM(E29:E36)</f>
        <v>3589866</v>
      </c>
    </row>
    <row r="29" spans="1:5" ht="19.5" customHeight="1">
      <c r="A29" s="55" t="s">
        <v>12</v>
      </c>
      <c r="B29" s="56" t="s">
        <v>53</v>
      </c>
      <c r="C29" s="55" t="s">
        <v>34</v>
      </c>
      <c r="D29" s="71">
        <v>511338</v>
      </c>
      <c r="E29" s="71">
        <v>689499</v>
      </c>
    </row>
    <row r="30" spans="1:5" ht="19.5" customHeight="1">
      <c r="A30" s="46" t="s">
        <v>13</v>
      </c>
      <c r="B30" s="47" t="s">
        <v>33</v>
      </c>
      <c r="C30" s="46" t="s">
        <v>34</v>
      </c>
      <c r="D30" s="67"/>
      <c r="E30" s="67"/>
    </row>
    <row r="31" spans="1:5" ht="49.5" customHeight="1">
      <c r="A31" s="46" t="s">
        <v>14</v>
      </c>
      <c r="B31" s="54" t="s">
        <v>127</v>
      </c>
      <c r="C31" s="46" t="s">
        <v>57</v>
      </c>
      <c r="D31" s="67"/>
      <c r="E31" s="67"/>
    </row>
    <row r="32" spans="1:5" ht="19.5" customHeight="1">
      <c r="A32" s="46" t="s">
        <v>1</v>
      </c>
      <c r="B32" s="47" t="s">
        <v>54</v>
      </c>
      <c r="C32" s="46" t="s">
        <v>45</v>
      </c>
      <c r="D32" s="67">
        <v>30000</v>
      </c>
      <c r="E32" s="67">
        <v>296672</v>
      </c>
    </row>
    <row r="33" spans="1:5" ht="19.5" customHeight="1">
      <c r="A33" s="46" t="s">
        <v>19</v>
      </c>
      <c r="B33" s="47" t="s">
        <v>55</v>
      </c>
      <c r="C33" s="46" t="s">
        <v>36</v>
      </c>
      <c r="D33" s="67"/>
      <c r="E33" s="67"/>
    </row>
    <row r="34" spans="1:5" ht="19.5" customHeight="1">
      <c r="A34" s="46" t="s">
        <v>22</v>
      </c>
      <c r="B34" s="47" t="s">
        <v>24</v>
      </c>
      <c r="C34" s="46" t="s">
        <v>37</v>
      </c>
      <c r="D34" s="67"/>
      <c r="E34" s="67"/>
    </row>
    <row r="35" spans="1:5" ht="19.5" customHeight="1">
      <c r="A35" s="46" t="s">
        <v>25</v>
      </c>
      <c r="B35" s="57" t="s">
        <v>56</v>
      </c>
      <c r="C35" s="58" t="s">
        <v>38</v>
      </c>
      <c r="D35" s="72"/>
      <c r="E35" s="72"/>
    </row>
    <row r="36" spans="1:5" ht="19.5" customHeight="1" thickBot="1">
      <c r="A36" s="59" t="s">
        <v>31</v>
      </c>
      <c r="B36" s="60" t="s">
        <v>39</v>
      </c>
      <c r="C36" s="59" t="s">
        <v>35</v>
      </c>
      <c r="D36" s="73">
        <v>0</v>
      </c>
      <c r="E36" s="73">
        <f>2307023+296672</f>
        <v>2603695</v>
      </c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126</v>
      </c>
      <c r="B39" s="1" t="s">
        <v>125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4">
    <mergeCell ref="D9:E9"/>
    <mergeCell ref="A18:B18"/>
    <mergeCell ref="A28:B28"/>
    <mergeCell ref="A6:E6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6.125" style="0" customWidth="1"/>
    <col min="6" max="6" width="15.125" style="0" customWidth="1"/>
    <col min="7" max="7" width="15.375" style="0" customWidth="1"/>
  </cols>
  <sheetData>
    <row r="1" ht="12.75">
      <c r="F1" t="s">
        <v>253</v>
      </c>
    </row>
    <row r="2" ht="12.75">
      <c r="F2" t="s">
        <v>169</v>
      </c>
    </row>
    <row r="3" ht="12.75">
      <c r="F3" t="s">
        <v>165</v>
      </c>
    </row>
    <row r="4" ht="12.75">
      <c r="F4" t="s">
        <v>166</v>
      </c>
    </row>
    <row r="7" spans="1:5" ht="60" customHeight="1">
      <c r="A7" s="533" t="s">
        <v>153</v>
      </c>
      <c r="B7" s="533"/>
      <c r="C7" s="533"/>
      <c r="D7" s="533"/>
      <c r="E7" s="533"/>
    </row>
    <row r="8" spans="4:5" ht="19.5" customHeight="1">
      <c r="D8" s="5"/>
      <c r="E8" s="5"/>
    </row>
    <row r="9" spans="4:7" ht="19.5" customHeight="1" thickBot="1">
      <c r="D9" s="1"/>
      <c r="G9" s="38" t="s">
        <v>44</v>
      </c>
    </row>
    <row r="10" spans="1:7" ht="18.75" customHeight="1">
      <c r="A10" s="617" t="s">
        <v>59</v>
      </c>
      <c r="B10" s="619" t="s">
        <v>2</v>
      </c>
      <c r="C10" s="619" t="s">
        <v>3</v>
      </c>
      <c r="D10" s="619" t="s">
        <v>159</v>
      </c>
      <c r="E10" s="622" t="s">
        <v>147</v>
      </c>
      <c r="F10" s="623"/>
      <c r="G10" s="624"/>
    </row>
    <row r="11" spans="1:7" ht="18.75" customHeight="1">
      <c r="A11" s="618"/>
      <c r="B11" s="620"/>
      <c r="C11" s="620"/>
      <c r="D11" s="621"/>
      <c r="E11" s="10" t="s">
        <v>148</v>
      </c>
      <c r="F11" s="10" t="s">
        <v>149</v>
      </c>
      <c r="G11" s="81" t="s">
        <v>150</v>
      </c>
    </row>
    <row r="12" spans="1:7" s="29" customFormat="1" ht="7.5" customHeight="1">
      <c r="A12" s="82">
        <v>1</v>
      </c>
      <c r="B12" s="12">
        <v>2</v>
      </c>
      <c r="C12" s="12">
        <v>3</v>
      </c>
      <c r="D12" s="12">
        <v>5</v>
      </c>
      <c r="E12" s="12">
        <v>6</v>
      </c>
      <c r="F12" s="12">
        <v>7</v>
      </c>
      <c r="G12" s="83">
        <v>8</v>
      </c>
    </row>
    <row r="13" spans="1:7" ht="21" customHeight="1" thickBot="1">
      <c r="A13" s="608" t="s">
        <v>146</v>
      </c>
      <c r="B13" s="609"/>
      <c r="C13" s="609"/>
      <c r="D13" s="609"/>
      <c r="E13" s="609"/>
      <c r="F13" s="609"/>
      <c r="G13" s="610"/>
    </row>
    <row r="14" spans="1:7" ht="19.5" customHeight="1">
      <c r="A14" s="423" t="s">
        <v>12</v>
      </c>
      <c r="B14" s="186">
        <v>853</v>
      </c>
      <c r="C14" s="186">
        <v>85311</v>
      </c>
      <c r="D14" s="186" t="s">
        <v>170</v>
      </c>
      <c r="E14" s="424"/>
      <c r="F14" s="424">
        <v>49320</v>
      </c>
      <c r="G14" s="185"/>
    </row>
    <row r="15" spans="1:7" ht="19.5" customHeight="1">
      <c r="A15" s="425"/>
      <c r="B15" s="426"/>
      <c r="C15" s="426"/>
      <c r="D15" s="426" t="s">
        <v>171</v>
      </c>
      <c r="E15" s="427"/>
      <c r="F15" s="427">
        <v>319598</v>
      </c>
      <c r="G15" s="428"/>
    </row>
    <row r="16" spans="1:7" ht="19.5" customHeight="1">
      <c r="A16" s="425"/>
      <c r="B16" s="426"/>
      <c r="C16" s="426"/>
      <c r="D16" s="426" t="s">
        <v>172</v>
      </c>
      <c r="E16" s="427"/>
      <c r="F16" s="427">
        <v>49320</v>
      </c>
      <c r="G16" s="428"/>
    </row>
    <row r="17" spans="1:7" ht="19.5" customHeight="1">
      <c r="A17" s="425"/>
      <c r="B17" s="426"/>
      <c r="C17" s="426"/>
      <c r="D17" s="426" t="s">
        <v>173</v>
      </c>
      <c r="E17" s="427"/>
      <c r="F17" s="427">
        <v>81378</v>
      </c>
      <c r="G17" s="428"/>
    </row>
    <row r="18" spans="1:7" ht="21" customHeight="1" thickBot="1">
      <c r="A18" s="611" t="s">
        <v>152</v>
      </c>
      <c r="B18" s="612"/>
      <c r="C18" s="612"/>
      <c r="D18" s="612"/>
      <c r="E18" s="612"/>
      <c r="F18" s="612"/>
      <c r="G18" s="613"/>
    </row>
    <row r="19" spans="1:7" ht="21" customHeight="1">
      <c r="A19" s="429" t="s">
        <v>12</v>
      </c>
      <c r="B19" s="430">
        <v>630</v>
      </c>
      <c r="C19" s="430">
        <v>63003</v>
      </c>
      <c r="D19" s="431" t="s">
        <v>489</v>
      </c>
      <c r="E19" s="432"/>
      <c r="F19" s="432"/>
      <c r="G19" s="433">
        <v>3600</v>
      </c>
    </row>
    <row r="20" spans="1:7" ht="42.75" customHeight="1">
      <c r="A20" s="434" t="s">
        <v>13</v>
      </c>
      <c r="B20" s="435">
        <v>801</v>
      </c>
      <c r="C20" s="435">
        <v>80195</v>
      </c>
      <c r="D20" s="436" t="s">
        <v>490</v>
      </c>
      <c r="E20" s="437"/>
      <c r="F20" s="437"/>
      <c r="G20" s="438">
        <v>8420</v>
      </c>
    </row>
    <row r="21" spans="1:7" ht="42.75" customHeight="1">
      <c r="A21" s="434" t="s">
        <v>14</v>
      </c>
      <c r="B21" s="435">
        <v>801</v>
      </c>
      <c r="C21" s="435">
        <v>80195</v>
      </c>
      <c r="D21" s="439" t="s">
        <v>489</v>
      </c>
      <c r="E21" s="437"/>
      <c r="F21" s="437"/>
      <c r="G21" s="438">
        <v>2600</v>
      </c>
    </row>
    <row r="22" spans="1:7" ht="27" customHeight="1">
      <c r="A22" s="440" t="s">
        <v>1</v>
      </c>
      <c r="B22" s="435">
        <v>852</v>
      </c>
      <c r="C22" s="435">
        <v>85220</v>
      </c>
      <c r="D22" s="436" t="s">
        <v>174</v>
      </c>
      <c r="E22" s="437"/>
      <c r="F22" s="437"/>
      <c r="G22" s="438">
        <v>12000</v>
      </c>
    </row>
    <row r="23" spans="1:7" ht="29.25" customHeight="1">
      <c r="A23" s="434" t="s">
        <v>19</v>
      </c>
      <c r="B23" s="435">
        <v>921</v>
      </c>
      <c r="C23" s="435">
        <v>92105</v>
      </c>
      <c r="D23" s="441" t="s">
        <v>175</v>
      </c>
      <c r="E23" s="437"/>
      <c r="F23" s="437"/>
      <c r="G23" s="438">
        <v>14000</v>
      </c>
    </row>
    <row r="24" spans="1:7" ht="54.75" customHeight="1">
      <c r="A24" s="434" t="s">
        <v>22</v>
      </c>
      <c r="B24" s="435">
        <v>921</v>
      </c>
      <c r="C24" s="435">
        <v>92105</v>
      </c>
      <c r="D24" s="441" t="s">
        <v>176</v>
      </c>
      <c r="E24" s="437"/>
      <c r="F24" s="437"/>
      <c r="G24" s="438">
        <v>29680</v>
      </c>
    </row>
    <row r="25" spans="1:7" ht="40.5" customHeight="1">
      <c r="A25" s="440" t="s">
        <v>25</v>
      </c>
      <c r="B25" s="435">
        <v>921</v>
      </c>
      <c r="C25" s="435">
        <v>92105</v>
      </c>
      <c r="D25" s="441" t="s">
        <v>177</v>
      </c>
      <c r="E25" s="437"/>
      <c r="F25" s="437"/>
      <c r="G25" s="438">
        <v>15000</v>
      </c>
    </row>
    <row r="26" spans="1:7" ht="29.25" customHeight="1">
      <c r="A26" s="434" t="s">
        <v>31</v>
      </c>
      <c r="B26" s="435">
        <v>921</v>
      </c>
      <c r="C26" s="435">
        <v>92105</v>
      </c>
      <c r="D26" s="441" t="s">
        <v>178</v>
      </c>
      <c r="E26" s="437"/>
      <c r="F26" s="437"/>
      <c r="G26" s="438">
        <v>12200</v>
      </c>
    </row>
    <row r="27" spans="1:7" ht="45" customHeight="1">
      <c r="A27" s="434" t="s">
        <v>47</v>
      </c>
      <c r="B27" s="435">
        <v>921</v>
      </c>
      <c r="C27" s="435">
        <v>92105</v>
      </c>
      <c r="D27" s="441" t="s">
        <v>179</v>
      </c>
      <c r="E27" s="437"/>
      <c r="F27" s="437"/>
      <c r="G27" s="438">
        <v>4000</v>
      </c>
    </row>
    <row r="28" spans="1:7" s="1" customFormat="1" ht="82.5" customHeight="1">
      <c r="A28" s="440" t="s">
        <v>180</v>
      </c>
      <c r="B28" s="442">
        <v>926</v>
      </c>
      <c r="C28" s="442">
        <v>92605</v>
      </c>
      <c r="D28" s="441" t="s">
        <v>181</v>
      </c>
      <c r="E28" s="443"/>
      <c r="F28" s="443"/>
      <c r="G28" s="444">
        <v>34000</v>
      </c>
    </row>
    <row r="29" spans="1:7" ht="43.5" customHeight="1">
      <c r="A29" s="434" t="s">
        <v>182</v>
      </c>
      <c r="B29" s="442">
        <v>926</v>
      </c>
      <c r="C29" s="442">
        <v>92605</v>
      </c>
      <c r="D29" s="445" t="s">
        <v>183</v>
      </c>
      <c r="E29" s="437"/>
      <c r="F29" s="437"/>
      <c r="G29" s="438">
        <v>3000</v>
      </c>
    </row>
    <row r="30" spans="1:7" ht="33.75" customHeight="1">
      <c r="A30" s="434" t="s">
        <v>184</v>
      </c>
      <c r="B30" s="442">
        <v>926</v>
      </c>
      <c r="C30" s="442">
        <v>92605</v>
      </c>
      <c r="D30" s="441" t="s">
        <v>185</v>
      </c>
      <c r="E30" s="437"/>
      <c r="F30" s="437"/>
      <c r="G30" s="438">
        <v>10000</v>
      </c>
    </row>
    <row r="31" spans="1:7" ht="29.25" customHeight="1">
      <c r="A31" s="440" t="s">
        <v>186</v>
      </c>
      <c r="B31" s="442">
        <v>926</v>
      </c>
      <c r="C31" s="442">
        <v>92605</v>
      </c>
      <c r="D31" s="441" t="s">
        <v>187</v>
      </c>
      <c r="E31" s="437"/>
      <c r="F31" s="437"/>
      <c r="G31" s="438">
        <v>2000</v>
      </c>
    </row>
    <row r="32" spans="1:7" ht="39" customHeight="1">
      <c r="A32" s="434" t="s">
        <v>188</v>
      </c>
      <c r="B32" s="442">
        <v>926</v>
      </c>
      <c r="C32" s="442">
        <v>92605</v>
      </c>
      <c r="D32" s="441" t="s">
        <v>189</v>
      </c>
      <c r="E32" s="437"/>
      <c r="F32" s="437"/>
      <c r="G32" s="438">
        <v>18000</v>
      </c>
    </row>
    <row r="33" spans="1:7" ht="47.25" customHeight="1">
      <c r="A33" s="434" t="s">
        <v>491</v>
      </c>
      <c r="B33" s="442">
        <v>926</v>
      </c>
      <c r="C33" s="442">
        <v>92605</v>
      </c>
      <c r="D33" s="441" t="s">
        <v>190</v>
      </c>
      <c r="E33" s="437"/>
      <c r="F33" s="437"/>
      <c r="G33" s="438">
        <v>3000</v>
      </c>
    </row>
    <row r="34" spans="1:7" ht="19.5" customHeight="1" thickBot="1">
      <c r="A34" s="614" t="s">
        <v>102</v>
      </c>
      <c r="B34" s="615"/>
      <c r="C34" s="615"/>
      <c r="D34" s="616"/>
      <c r="E34" s="446">
        <f>SUM(E20:E33,E14:E17)</f>
        <v>0</v>
      </c>
      <c r="F34" s="446">
        <f>SUM(F20:F33,F14:F17)</f>
        <v>499616</v>
      </c>
      <c r="G34" s="447">
        <f>SUM(G19:G33,G14:G17)</f>
        <v>171500</v>
      </c>
    </row>
    <row r="37" ht="14.25">
      <c r="A37" s="31" t="s">
        <v>103</v>
      </c>
    </row>
  </sheetData>
  <sheetProtection/>
  <mergeCells count="9">
    <mergeCell ref="A13:G13"/>
    <mergeCell ref="A18:G18"/>
    <mergeCell ref="A34:D34"/>
    <mergeCell ref="A7:E7"/>
    <mergeCell ref="A10:A11"/>
    <mergeCell ref="B10:B11"/>
    <mergeCell ref="C10:C11"/>
    <mergeCell ref="D10:D11"/>
    <mergeCell ref="E10:G10"/>
  </mergeCells>
  <printOptions horizontalCentered="1"/>
  <pageMargins left="0.3937007874015748" right="0.3937007874015748" top="0.5118110236220472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E20" sqref="E2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ht="12.75">
      <c r="J1" t="s">
        <v>168</v>
      </c>
    </row>
    <row r="2" ht="12.75">
      <c r="J2" t="s">
        <v>191</v>
      </c>
    </row>
    <row r="3" ht="12.75">
      <c r="J3" t="s">
        <v>165</v>
      </c>
    </row>
    <row r="4" ht="12.75">
      <c r="J4" t="s">
        <v>192</v>
      </c>
    </row>
    <row r="8" spans="1:11" ht="16.5">
      <c r="A8" s="626" t="s">
        <v>58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</row>
    <row r="9" spans="1:11" ht="16.5">
      <c r="A9" s="626" t="s">
        <v>139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4.5" customHeight="1">
      <c r="A11" s="1"/>
      <c r="B11" s="1"/>
      <c r="C11" s="1"/>
      <c r="D11" s="1"/>
      <c r="E11" s="1"/>
      <c r="F11" s="1"/>
      <c r="G11" s="1"/>
      <c r="H11" s="1"/>
      <c r="I11" s="1"/>
      <c r="J11" s="8"/>
      <c r="K11" s="32" t="s">
        <v>44</v>
      </c>
    </row>
    <row r="12" spans="1:11" ht="15" customHeight="1">
      <c r="A12" s="627" t="s">
        <v>59</v>
      </c>
      <c r="B12" s="627" t="s">
        <v>0</v>
      </c>
      <c r="C12" s="628" t="s">
        <v>129</v>
      </c>
      <c r="D12" s="629" t="s">
        <v>68</v>
      </c>
      <c r="E12" s="630"/>
      <c r="F12" s="630"/>
      <c r="G12" s="631"/>
      <c r="H12" s="628" t="s">
        <v>9</v>
      </c>
      <c r="I12" s="628"/>
      <c r="J12" s="628" t="s">
        <v>133</v>
      </c>
      <c r="K12" s="628" t="s">
        <v>140</v>
      </c>
    </row>
    <row r="13" spans="1:11" ht="15" customHeight="1">
      <c r="A13" s="627"/>
      <c r="B13" s="627"/>
      <c r="C13" s="628"/>
      <c r="D13" s="628" t="s">
        <v>7</v>
      </c>
      <c r="E13" s="629" t="s">
        <v>6</v>
      </c>
      <c r="F13" s="630"/>
      <c r="G13" s="631"/>
      <c r="H13" s="628" t="s">
        <v>7</v>
      </c>
      <c r="I13" s="628" t="s">
        <v>61</v>
      </c>
      <c r="J13" s="628"/>
      <c r="K13" s="628"/>
    </row>
    <row r="14" spans="1:11" ht="15" customHeight="1">
      <c r="A14" s="627"/>
      <c r="B14" s="627"/>
      <c r="C14" s="628"/>
      <c r="D14" s="628"/>
      <c r="E14" s="632" t="s">
        <v>132</v>
      </c>
      <c r="F14" s="629" t="s">
        <v>6</v>
      </c>
      <c r="G14" s="631"/>
      <c r="H14" s="628"/>
      <c r="I14" s="628"/>
      <c r="J14" s="628"/>
      <c r="K14" s="628"/>
    </row>
    <row r="15" spans="1:11" ht="20.25" customHeight="1">
      <c r="A15" s="627"/>
      <c r="B15" s="627"/>
      <c r="C15" s="628"/>
      <c r="D15" s="628"/>
      <c r="E15" s="633"/>
      <c r="F15" s="11" t="s">
        <v>131</v>
      </c>
      <c r="G15" s="11" t="s">
        <v>130</v>
      </c>
      <c r="H15" s="628"/>
      <c r="I15" s="628"/>
      <c r="J15" s="628"/>
      <c r="K15" s="628"/>
    </row>
    <row r="16" spans="1:11" ht="14.2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</row>
    <row r="17" spans="1:11" ht="21.75" customHeight="1">
      <c r="A17" s="84" t="s">
        <v>11</v>
      </c>
      <c r="B17" s="85" t="s">
        <v>15</v>
      </c>
      <c r="C17" s="85"/>
      <c r="D17" s="85"/>
      <c r="E17" s="84"/>
      <c r="F17" s="84"/>
      <c r="G17" s="85"/>
      <c r="H17" s="85"/>
      <c r="I17" s="85"/>
      <c r="J17" s="85"/>
      <c r="K17" s="84" t="s">
        <v>46</v>
      </c>
    </row>
    <row r="18" spans="1:11" ht="21.75" customHeight="1" thickBot="1">
      <c r="A18" s="86"/>
      <c r="B18" s="87" t="s">
        <v>74</v>
      </c>
      <c r="C18" s="88"/>
      <c r="D18" s="88"/>
      <c r="E18" s="86"/>
      <c r="F18" s="86"/>
      <c r="G18" s="88"/>
      <c r="H18" s="88"/>
      <c r="I18" s="88"/>
      <c r="J18" s="88"/>
      <c r="K18" s="86"/>
    </row>
    <row r="19" spans="1:11" ht="57" customHeight="1">
      <c r="A19" s="89"/>
      <c r="B19" s="90" t="s">
        <v>193</v>
      </c>
      <c r="C19" s="91">
        <v>0</v>
      </c>
      <c r="D19" s="91">
        <v>196522</v>
      </c>
      <c r="E19" s="91">
        <v>0</v>
      </c>
      <c r="F19" s="91">
        <v>0</v>
      </c>
      <c r="G19" s="91">
        <v>0</v>
      </c>
      <c r="H19" s="91">
        <v>196522</v>
      </c>
      <c r="I19" s="91">
        <v>0</v>
      </c>
      <c r="J19" s="91">
        <f>C19+D19-H19</f>
        <v>0</v>
      </c>
      <c r="K19" s="89" t="s">
        <v>46</v>
      </c>
    </row>
    <row r="20" spans="1:11" ht="72.75" customHeight="1">
      <c r="A20" s="92"/>
      <c r="B20" s="93" t="s">
        <v>194</v>
      </c>
      <c r="C20" s="448">
        <v>150832</v>
      </c>
      <c r="D20" s="448">
        <v>319660</v>
      </c>
      <c r="E20" s="448">
        <v>0</v>
      </c>
      <c r="F20" s="448">
        <v>0</v>
      </c>
      <c r="G20" s="448">
        <v>0</v>
      </c>
      <c r="H20" s="448">
        <v>242442</v>
      </c>
      <c r="I20" s="448">
        <v>77218</v>
      </c>
      <c r="J20" s="448">
        <f>C20+D20-H20</f>
        <v>228050</v>
      </c>
      <c r="K20" s="92" t="s">
        <v>46</v>
      </c>
    </row>
    <row r="21" spans="1:11" s="27" customFormat="1" ht="21.75" customHeight="1">
      <c r="A21" s="625" t="s">
        <v>102</v>
      </c>
      <c r="B21" s="625"/>
      <c r="C21" s="94">
        <f>C19+C20</f>
        <v>150832</v>
      </c>
      <c r="D21" s="94">
        <f aca="true" t="shared" si="0" ref="D21:J21">D19+D20</f>
        <v>516182</v>
      </c>
      <c r="E21" s="94">
        <f t="shared" si="0"/>
        <v>0</v>
      </c>
      <c r="F21" s="94">
        <f t="shared" si="0"/>
        <v>0</v>
      </c>
      <c r="G21" s="94">
        <f t="shared" si="0"/>
        <v>0</v>
      </c>
      <c r="H21" s="94">
        <f t="shared" si="0"/>
        <v>438964</v>
      </c>
      <c r="I21" s="94">
        <f t="shared" si="0"/>
        <v>77218</v>
      </c>
      <c r="J21" s="94">
        <f t="shared" si="0"/>
        <v>228050</v>
      </c>
      <c r="K21" s="28"/>
    </row>
    <row r="22" ht="14.25" customHeight="1"/>
    <row r="23" ht="12.75">
      <c r="A23" s="33" t="s">
        <v>128</v>
      </c>
    </row>
    <row r="24" ht="12.75">
      <c r="A24" s="33" t="s">
        <v>134</v>
      </c>
    </row>
    <row r="25" ht="12.75">
      <c r="A25" s="33" t="s">
        <v>135</v>
      </c>
    </row>
    <row r="26" ht="12.75">
      <c r="A26" s="33" t="s">
        <v>136</v>
      </c>
    </row>
  </sheetData>
  <sheetProtection/>
  <mergeCells count="16">
    <mergeCell ref="A21:B21"/>
    <mergeCell ref="A8:K8"/>
    <mergeCell ref="A9:K9"/>
    <mergeCell ref="A12:A15"/>
    <mergeCell ref="B12:B15"/>
    <mergeCell ref="C12:C15"/>
    <mergeCell ref="D12:G12"/>
    <mergeCell ref="H12:I12"/>
    <mergeCell ref="J12:J15"/>
    <mergeCell ref="K12:K15"/>
    <mergeCell ref="D13:D15"/>
    <mergeCell ref="E13:G13"/>
    <mergeCell ref="H13:H15"/>
    <mergeCell ref="I13:I15"/>
    <mergeCell ref="E14:E15"/>
    <mergeCell ref="F14:G1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Nazwa użytkownika</cp:lastModifiedBy>
  <cp:lastPrinted>2010-12-21T08:18:04Z</cp:lastPrinted>
  <dcterms:created xsi:type="dcterms:W3CDTF">1998-12-09T13:02:10Z</dcterms:created>
  <dcterms:modified xsi:type="dcterms:W3CDTF">2010-12-27T06:55:59Z</dcterms:modified>
  <cp:category/>
  <cp:version/>
  <cp:contentType/>
  <cp:contentStatus/>
</cp:coreProperties>
</file>