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2"/>
  </bookViews>
  <sheets>
    <sheet name="i.wieloletnie" sheetId="1" r:id="rId1"/>
    <sheet name="i.jednoroczne" sheetId="2" state="hidden" r:id="rId2"/>
    <sheet name="unijne" sheetId="3" r:id="rId3"/>
    <sheet name="d.zlecone" sheetId="4" state="hidden" r:id="rId4"/>
    <sheet name="d. porozumienia" sheetId="5" r:id="rId5"/>
    <sheet name="adm. rząd." sheetId="6" r:id="rId6"/>
    <sheet name="wynik finansowy" sheetId="7" r:id="rId7"/>
    <sheet name="dotacje udzielone" sheetId="8" state="hidden" r:id="rId8"/>
    <sheet name="gospodarstwa pom." sheetId="9" state="hidden" r:id="rId9"/>
    <sheet name="fudusz OŚ" sheetId="10" state="hidden" r:id="rId10"/>
    <sheet name="fundusz GZGiK" sheetId="11" state="hidden" r:id="rId11"/>
    <sheet name="prognoza długu" sheetId="12" r:id="rId12"/>
    <sheet name="syt. finans." sheetId="13" r:id="rId13"/>
  </sheets>
  <externalReferences>
    <externalReference r:id="rId16"/>
    <externalReference r:id="rId17"/>
    <externalReference r:id="rId18"/>
  </externalReferences>
  <definedNames>
    <definedName name="_xlnm.Print_Area" localSheetId="12">'syt. finans.'!$A$1:$Z$38</definedName>
    <definedName name="_xlnm.Print_Area_13">'syt. finans.'!$A$1:$Z$38</definedName>
  </definedNames>
  <calcPr fullCalcOnLoad="1"/>
</workbook>
</file>

<file path=xl/sharedStrings.xml><?xml version="1.0" encoding="utf-8"?>
<sst xmlns="http://schemas.openxmlformats.org/spreadsheetml/2006/main" count="1248" uniqueCount="571">
  <si>
    <t>Załącznik nr 3</t>
  </si>
  <si>
    <t>do uchwały Nr …………</t>
  </si>
  <si>
    <t>Rady Powiatu w Elblągu</t>
  </si>
  <si>
    <t>z dnia ……………….</t>
  </si>
  <si>
    <t>Limity wydatków na wieloletnie programy inwestycyjne w latach 2010 - 2012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</si>
  <si>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</si>
  <si>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</si>
  <si>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</si>
  <si>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</si>
  <si>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</si>
  <si>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</si>
  <si>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</si>
  <si>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</si>
  <si>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</si>
  <si>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2010 (8+9+10+11)</t>
  </si>
  <si>
    <t>w tym źródła finansowania</t>
  </si>
  <si>
    <t>2011 r.</t>
  </si>
  <si>
    <t>2012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</si>
  <si>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</si>
  <si>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</si>
  <si>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</si>
  <si>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</si>
  <si>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</si>
  <si>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6050,    6057,        6059</t>
  </si>
  <si>
    <t>Przebudowa drogi powiatowej Nr 1103N Kazimierzowo-Wikrowo od km 3+643 do km 5+543 i odnowa nawierzchni na odc. Gronowo Elbąskie-Stare Dolno od km 0+000 do km 11+418  (realizacja 2009-2011)</t>
  </si>
  <si>
    <t>Zarząd Dróg Powiatowych Elbląg</t>
  </si>
  <si>
    <t>3.</t>
  </si>
  <si>
    <t xml:space="preserve">Przebudowa mostu na kanale melioracyjnym w miejscowości Brudzędy, droga powiatowa nr 1103N (realizacja 2010-2011)                  </t>
  </si>
  <si>
    <t>4.</t>
  </si>
  <si>
    <t>Przebudowa drogi powiatowej nr 1145N Milejewo-Nowe Monastarzysko-Młynary, odcinek Milejewo-Majewo, od km. 0+000 do km. 2+656,80</t>
  </si>
  <si>
    <t xml:space="preserve">     
</t>
  </si>
  <si>
    <t>5.</t>
  </si>
  <si>
    <t xml:space="preserve">Przebudowa drogi powiatowej Nr 1103N Bielnik II-Jegłownik-Gronowo Elbląskie-Stare Dolno-Powodowo- Wysoka, na odcinku Stare Dolno-Powodowo-Wysoka od km 21+048 do km 23+248 o dł. 2,2 km   </t>
  </si>
  <si>
    <t>6.</t>
  </si>
  <si>
    <t>Zakup i montaż kolektorów słonecznych w całorocznych obiektach użyteczności publicznej powiatu elbląskiego</t>
  </si>
  <si>
    <t>Realizacja: Zespół Szkół Ekonomicznych i Technicznych Pasłęk, koordynacja: Starostwo Powiatowe</t>
  </si>
  <si>
    <t>7.</t>
  </si>
  <si>
    <t>Realizacja: Zakład Aktywności Zawodowej Koordynacja:        Starostwo Powiatowe</t>
  </si>
  <si>
    <t>8.</t>
  </si>
  <si>
    <t>Realizacja: Dom Pomocy Społecznej Tolkmicko, koordynacja: Starostwo Powiatowe</t>
  </si>
  <si>
    <t>9.</t>
  </si>
  <si>
    <t>Realizacja: Dom Pomocy Społecznej Władysławowo, koordynacja: Starostwo Powiatowe</t>
  </si>
  <si>
    <t>10.</t>
  </si>
  <si>
    <t>zakup i montaż kolektorów słonecznych w całorocznych obiektach użyteczności publicznej powiatu elbląskiego</t>
  </si>
  <si>
    <t>Realizacja: Dom Pomocy Społecznej Rangóry koordynacja: Starostwo Powiatowe</t>
  </si>
  <si>
    <t>11.</t>
  </si>
  <si>
    <t>Realizacja: Młodzieżowy Ośrodek Wychowawczy w Kamionku Wielkim, koordynacja Starostwo Powiatowe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</si>
  <si>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</si>
  <si>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</si>
  <si>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</si>
  <si>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</si>
  <si>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</si>
  <si>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</si>
  <si>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</si>
  <si>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Załącznik nr 3a</t>
  </si>
  <si>
    <t>Zadania inwestycyjne w 2010 r.</t>
  </si>
  <si>
    <t>Nazwa zadania inwestycyjnego</t>
  </si>
  <si>
    <t>środki pochodzące
z innych  źródeł*</t>
  </si>
  <si>
    <t>Zakup samochodu ciężarowego</t>
  </si>
  <si>
    <t>Zarząd Dróg Powiatowych Pasłęk</t>
  </si>
  <si>
    <t>2.</t>
  </si>
  <si>
    <t>Modernizacja drogi powiatowej nr 1149N (Młynary - Kurowo Braniewskie) w granicach administracyjnych miasta Młynary</t>
  </si>
  <si>
    <t>Zakup samochodu osobowego</t>
  </si>
  <si>
    <t>Zakup kosiarki samobieżnej wraz z oprzyrządowaniem, kosiarka, wykaszarka, walec, przyczeka do transportu kosiarki i walca</t>
  </si>
  <si>
    <t>Zakup zestawów komputerowych</t>
  </si>
  <si>
    <t>Starostwo Powiatowe</t>
  </si>
  <si>
    <t>Budowa garażu i pomieszczenia gospodarczego</t>
  </si>
  <si>
    <t>Zespół Szkół w Gronowie Górnym</t>
  </si>
  <si>
    <t>Załącznik nr 4</t>
  </si>
  <si>
    <t>do uchwały nr …………</t>
  </si>
  <si>
    <t>z dnia…………………..</t>
  </si>
  <si>
    <t>Wydatki* na programy i projekty realizowane ze środków pochodzących z funduszy strukturalnych i Funduszu Spójności  oraz pozostałe środki pochodzące ze źródeł zagranicznych nie podlegające zwrotowi.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</si>
  <si>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</si>
  <si>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</si>
  <si>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</si>
  <si>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</si>
  <si>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</si>
  <si>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</si>
  <si>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</si>
  <si>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</si>
  <si>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</si>
  <si>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</si>
  <si>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</si>
  <si>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</si>
  <si>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</si>
  <si>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</si>
  <si>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</si>
  <si>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</si>
  <si>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</si>
  <si>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</si>
  <si>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</si>
  <si>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</si>
  <si>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bieżące razem:</t>
  </si>
  <si>
    <t>1.1</t>
  </si>
  <si>
    <t>Program:</t>
  </si>
  <si>
    <t>Kapitał ludzki</t>
  </si>
  <si>
    <t>Priorytet:</t>
  </si>
  <si>
    <t>IX - Rozwój wykształcenia i kompetencji w regionach</t>
  </si>
  <si>
    <t>Działanie:</t>
  </si>
  <si>
    <t>Wyrównywanie szans edukacyjnych uczniów i zapewnienie wysokiej jakości usług edukacyjnych świadczonych w systemie oświaty.</t>
  </si>
  <si>
    <t>Nazwa projektu:</t>
  </si>
  <si>
    <t>Od gimnazjalisty do maturzysty</t>
  </si>
  <si>
    <t>Razem wydatki:</t>
  </si>
  <si>
    <t>z tego: 2010 r.</t>
  </si>
  <si>
    <t>1.2</t>
  </si>
  <si>
    <t>9.2. - Podniesienie atrakcyjności i jakości szkolnictwa zawodowego</t>
  </si>
  <si>
    <t>Do sukcesu na kółkach - podniesienie kwalifikacji zaw. Uczniów szkół zawodowych kończących się maturą w ZSEiT w Pasłęku</t>
  </si>
  <si>
    <t>1.3</t>
  </si>
  <si>
    <t>Dodatkowe umiejętności w wykształceniu zawodowym perspektywą  na lepszą przyszłość</t>
  </si>
  <si>
    <t>1.4</t>
  </si>
  <si>
    <t>Poddziałanie:</t>
  </si>
  <si>
    <t>Matematyka w szkole i w pracy</t>
  </si>
  <si>
    <t>2012 r.***</t>
  </si>
  <si>
    <t>1.5</t>
  </si>
  <si>
    <t>1.6</t>
  </si>
  <si>
    <t>z tego: 2009 r.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</si>
  <si>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</si>
  <si>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</si>
  <si>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</si>
  <si>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</si>
  <si>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</si>
  <si>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</si>
  <si>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</si>
  <si>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</si>
  <si>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</si>
  <si>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9.5. Oddolne inicjatywy edukacyjne na obszarach wiejskich</t>
  </si>
  <si>
    <t>Podniesienie poziomu jęzuka angielskiego zawodowego szansa na rozwój zawodowy uczniów</t>
  </si>
  <si>
    <t>Dobrze przygotowana prezentacja to do sukcesu droga realna</t>
  </si>
  <si>
    <t>9.1. Wyrównywanie szans edukacyjnych uczniów i zapewnienie wysokiej jakości usług edukacyjnych świadczonych w systemie oświaty</t>
  </si>
  <si>
    <t>Sukces maturalny młodzieży powiatu elbląskiego z przedmiotów matematyczno-przyrodniczych szansa zrealizowania planów życiowych</t>
  </si>
  <si>
    <t>Regionalny program operacyjny Warmia i Mazury na lata 2007-2013</t>
  </si>
  <si>
    <t>II. Turystyka</t>
  </si>
  <si>
    <t>2.2. Wzrosrt potencjału turystycznego</t>
  </si>
  <si>
    <t>Zintegrowany system promocji turystycznej obszaru Kanału Elbląskiego</t>
  </si>
  <si>
    <t>Zintegrowany Program Rozwoju Regionalnego</t>
  </si>
  <si>
    <t>1.5 Infrastruktura społeczeństwa informacyjnego</t>
  </si>
  <si>
    <t>Wrota Warmii i Mazur - elektroniczna platforma funkcjonowania administracji publicznej oraz świadczenia usług publicznych</t>
  </si>
  <si>
    <t>Program Operacyjny Kapitał Ludzki</t>
  </si>
  <si>
    <t>7. Promocja integracji społecznej</t>
  </si>
  <si>
    <t>7.3. Inicjatywy lokalne na rzecz aktywnej integracji</t>
  </si>
  <si>
    <t>Szansa</t>
  </si>
  <si>
    <t>Program operacyjny kapitał ludzki</t>
  </si>
  <si>
    <t>7.2.1. Aktywizacja zawodowa i społeczna osób zagrożonych wylkuczeniem społecznym</t>
  </si>
  <si>
    <t>Zadbaj o swoje kwalifikacje</t>
  </si>
  <si>
    <t>Polsko- Niemiecka Współpraca młodzieży</t>
  </si>
  <si>
    <t>Poznajemy Unię Europejską</t>
  </si>
  <si>
    <t>Fundacja Rozwoju Systemu Edukacji</t>
  </si>
  <si>
    <t>Comenius</t>
  </si>
  <si>
    <t>Regionalny Program Operacyjny Warmia i Mazury na lata 2007-2013</t>
  </si>
  <si>
    <t>3. Infrastruktura społeczna</t>
  </si>
  <si>
    <t>3.1 Inwestycje w infrastrukturę edukacyjną</t>
  </si>
  <si>
    <t>Modernizacja budynku Zespołu Szkół w Pasłęku z przeznaczeniem na uruchomienie kształcenia w zawodzie technik hotelarstwa.</t>
  </si>
  <si>
    <t xml:space="preserve">Wimi </t>
  </si>
  <si>
    <t>Comenius - uczenie się przez całe życie</t>
  </si>
  <si>
    <t>Comenius Cura</t>
  </si>
  <si>
    <t>1.16</t>
  </si>
  <si>
    <t>7.1 Rozwój i upowszechnianie aktywnej integracji</t>
  </si>
  <si>
    <t>7.1.2 Rozwój i upowszechnianie aktywnej integracji poprzez powiatowe centra pomocy rodzinie</t>
  </si>
  <si>
    <t>NIE - wylkuczeniu społecznemu</t>
  </si>
  <si>
    <t>V. Dobre zarządzanie</t>
  </si>
  <si>
    <t>5.2 Wzmocnienie ptencjału administracji samorzadowej</t>
  </si>
  <si>
    <t>Doskonalenie umiejętności pracowników JST w powiecie elbląsim szansą rozwoju regionu</t>
  </si>
  <si>
    <t>1.17</t>
  </si>
  <si>
    <t>Partnerski Projekt Comenius</t>
  </si>
  <si>
    <t>Uczenie się przez całe życie</t>
  </si>
  <si>
    <t>Wydatki majątkowe razem:</t>
  </si>
  <si>
    <t>2.1</t>
  </si>
  <si>
    <t>Regionalny Program Operacyjny Warmia i Mazury 2007-20013</t>
  </si>
  <si>
    <t>5 Infrastruktura transportowa regionalna i lokalna</t>
  </si>
  <si>
    <t>5.1. Rozbudowa i modernizacja infrastruktury transportowej warunkującej rozwój regionalny</t>
  </si>
  <si>
    <t>5.1.6. Infrastruktura drogowa warunkująca rozwój regionalny</t>
  </si>
  <si>
    <t>" Przebudowa drogi powiatowej nr 1103N na odcinku Kazimierzowo-Wikrowo od km 3+643 do km 5+543 i remont (odnowa nawierzchni) na odcinku Gronowo Elbląskie -Stare Dolno od km 17+000 do km 28+781</t>
  </si>
  <si>
    <t>2.2</t>
  </si>
  <si>
    <t>5.2 Infrastruktura transportowa służąca rozwojowi lokalnemu</t>
  </si>
  <si>
    <t>5.2.1 Infrastruktura drogowa warunkująca rozwój regionalny</t>
  </si>
  <si>
    <t>2.3</t>
  </si>
  <si>
    <t>Przebudowa drogi powiatowej nr 1103N Bielnik Ii - Jegłownik - Gronowo Elbląskie - Stare Dolno - Powodowa - Wysoka od km 21+048 do km 23+248 o dł 2,2 km, gmina Rychliki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</si>
  <si>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</si>
  <si>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</si>
  <si>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2012 do wykorzystania fakultatywnego</t>
  </si>
  <si>
    <t>do uchwały Nr ................</t>
  </si>
  <si>
    <t>Zarządu Powiatu w Elblągu</t>
  </si>
  <si>
    <t>z dnia ........................</t>
  </si>
  <si>
    <t xml:space="preserve">Dochody i wydatki związane z realizacją zadań z zakresu administracji </t>
  </si>
  <si>
    <t xml:space="preserve">rządowej i innych zadań zleconych odrębnymi ustawami </t>
  </si>
  <si>
    <t>w 2010 roku</t>
  </si>
  <si>
    <t>Dochody</t>
  </si>
  <si>
    <t>Dz.</t>
  </si>
  <si>
    <t>§</t>
  </si>
  <si>
    <t>W y s z c z e g ó l n i e n i e</t>
  </si>
  <si>
    <t>Dotacje</t>
  </si>
  <si>
    <t>Wydatki</t>
  </si>
  <si>
    <t>do przekaz.</t>
  </si>
  <si>
    <t>do budżetu</t>
  </si>
  <si>
    <t>państwa</t>
  </si>
  <si>
    <t>010</t>
  </si>
  <si>
    <t>Rolnictwo i łowiectwo</t>
  </si>
  <si>
    <t>01005</t>
  </si>
  <si>
    <t>Prace geodez.-urządzeniowe na potrzeby rolnictwa</t>
  </si>
  <si>
    <t>2110</t>
  </si>
  <si>
    <t>Dot.cel.otrz.z budż.pań.na zad.bież.z zakr.adm.rząd.</t>
  </si>
  <si>
    <t>4300</t>
  </si>
  <si>
    <t>Zakup usług pozostałych</t>
  </si>
  <si>
    <t>01008</t>
  </si>
  <si>
    <t>Melioracje wodne</t>
  </si>
  <si>
    <t>2350</t>
  </si>
  <si>
    <t>Doch. budżetu pańs. związ. z realiz. zadań zlec j.s.t.</t>
  </si>
  <si>
    <t>01095</t>
  </si>
  <si>
    <t>Pozostała działalność</t>
  </si>
  <si>
    <t>4580</t>
  </si>
  <si>
    <t>Pozostałe odsetki</t>
  </si>
  <si>
    <t>4590</t>
  </si>
  <si>
    <t>Kary i odszkod. wypłacane na rzecz osób fizycznych</t>
  </si>
  <si>
    <t>Gospodarka mieszkaniowa</t>
  </si>
  <si>
    <t>Gospodarka gruntami i nieruchomościami</t>
  </si>
  <si>
    <t>Zakup materiałów i wyposażenia</t>
  </si>
  <si>
    <t>4270</t>
  </si>
  <si>
    <t>Zakup usług remontowych</t>
  </si>
  <si>
    <t>4480</t>
  </si>
  <si>
    <t>Podatek od nieruchomości</t>
  </si>
  <si>
    <t>4700</t>
  </si>
  <si>
    <t>Szkolenia pracowników niebęd. człon. korp. sł. cyw.</t>
  </si>
  <si>
    <t>Działalność usługowa</t>
  </si>
  <si>
    <t>Prace geodezyjne i kartograficzne /nieinwestycyjne/</t>
  </si>
  <si>
    <t>Szkolenia pracowników niebęd. człon. korpusu sł. cyw.</t>
  </si>
  <si>
    <t>Opracowania geodezyjne i kartograficzne</t>
  </si>
  <si>
    <t>Nadzór budowlany</t>
  </si>
  <si>
    <t>Wynagrodzenia osobowe pracowników</t>
  </si>
  <si>
    <t>Wynagrodzenia osobowe członków korpusu służby cyw.</t>
  </si>
  <si>
    <t>Dodatkowe wynagrodzenia roczne</t>
  </si>
  <si>
    <t>Składki na ubezpieczenia społeczne</t>
  </si>
  <si>
    <t>Skladki na Fundusz Pracy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</si>
  <si>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</si>
  <si>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</si>
  <si>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</si>
  <si>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stacjonarn.</t>
  </si>
  <si>
    <t>Opłaty czynszowe za pomieszczenia biurowe</t>
  </si>
  <si>
    <t>4430</t>
  </si>
  <si>
    <t>Różne opłaty i składki</t>
  </si>
  <si>
    <t>4440</t>
  </si>
  <si>
    <t>Odpisy na zakładowy fund.świadczeń socjalnych</t>
  </si>
  <si>
    <t>4740</t>
  </si>
  <si>
    <t>Zakup mater. papier. do sprzętu druk. i urządz. kser.</t>
  </si>
  <si>
    <t>4750</t>
  </si>
  <si>
    <t>Zakup akcesoriów komputerowych, w tym programów i licencji</t>
  </si>
  <si>
    <t>Administracja publiczna</t>
  </si>
  <si>
    <t>Urzędy wojewódzkie</t>
  </si>
  <si>
    <t>Nagrody i wydatki osobowe nie zaliczone do wynagr.</t>
  </si>
  <si>
    <t>Składki na Fundusz Pracy</t>
  </si>
  <si>
    <t>Wynagrodzenia bezosobowe</t>
  </si>
  <si>
    <t>Zakup energii</t>
  </si>
  <si>
    <t>4350</t>
  </si>
  <si>
    <t>4370</t>
  </si>
  <si>
    <t>Opłaty z tytułu zakupu usług telekom. tel. stacjon.</t>
  </si>
  <si>
    <t>4410</t>
  </si>
  <si>
    <t>Podróże służbowe krajowe</t>
  </si>
  <si>
    <t>Szkolenia pracowników niebęd. człon. kor. sł. cyw.</t>
  </si>
  <si>
    <t>Zakup akcesoriów komput., w tym programów i licen.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</si>
  <si>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</si>
  <si>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</si>
  <si>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</si>
  <si>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</si>
  <si>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</si>
  <si>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Zakup materiałów pap. do sprz. drukar. i urządz kser.</t>
  </si>
  <si>
    <t>Urzędy naczelnych organów władzy państwowej, kontroli</t>
  </si>
  <si>
    <t>i ochrony prawa oraz sądownictwa</t>
  </si>
  <si>
    <t>Wybory do rad gmin, rad powiatów i sejmików województw,</t>
  </si>
  <si>
    <t xml:space="preserve"> wybory wótów, burmistrzów i prezydentów miast oraz referenda </t>
  </si>
  <si>
    <t>gminne, powiatowe i wojewódzkie</t>
  </si>
  <si>
    <t>Rózne wydatki na rzecz osób fizycznych</t>
  </si>
  <si>
    <t>4170</t>
  </si>
  <si>
    <t>4210</t>
  </si>
  <si>
    <t>4260</t>
  </si>
  <si>
    <t>Bezpieczeństwo publiczne i ochrona przeciwpożarowa</t>
  </si>
  <si>
    <t>Obrona cywilna</t>
  </si>
  <si>
    <t>Ochrona zdrowia</t>
  </si>
  <si>
    <t>Składki na ubezp.zdr.oraz świad.dla os.nie obj.ubezp.zdr.</t>
  </si>
  <si>
    <t>Składki na ubezpieczenia zdrowotne</t>
  </si>
  <si>
    <t>Pomoc społeczna</t>
  </si>
  <si>
    <t>Ośrodki wsparcia</t>
  </si>
  <si>
    <t>Dodatkowe wynagrodzenie roczne</t>
  </si>
  <si>
    <t>Zakup środków żywności</t>
  </si>
  <si>
    <t>Zakup leków</t>
  </si>
  <si>
    <t>Opłaty z tytułu zakupu usług telekom. tel. stacjonar.</t>
  </si>
  <si>
    <t>Odpisy na zakładowy fundusz świadczeń socjalnych</t>
  </si>
  <si>
    <t>Zakup materiałów pap. do sprz. drukar. i urządz. kser.</t>
  </si>
  <si>
    <t>Zadania w zakresie przeciwdziałania w rodzinie</t>
  </si>
  <si>
    <t>Pozostałe zadania w zakresie polityki społecznej</t>
  </si>
  <si>
    <t>Zespoły d/s orzekania o niepełnosprawności</t>
  </si>
  <si>
    <t>Zakup leków i materiałów medycznych</t>
  </si>
  <si>
    <t>4510</t>
  </si>
  <si>
    <t>Opłaty na rzecz budżetu państwa</t>
  </si>
  <si>
    <t>Dochody i wydatki ogółem, z tego:</t>
  </si>
  <si>
    <t>a) Wydatki bieżące, w tym:</t>
  </si>
  <si>
    <t>- wynagrodzenia i pochodne od wynagrodzeń</t>
  </si>
  <si>
    <t>- świadczenia społeczne § 3110</t>
  </si>
  <si>
    <t>b) Wydatki majątkowe § 6....</t>
  </si>
  <si>
    <t>Załącznik nr 6</t>
  </si>
  <si>
    <t>do uchwały Nr .............</t>
  </si>
  <si>
    <t>z dnia ...........................</t>
  </si>
  <si>
    <t>Dochody i wydatki związane z realizacją zadań</t>
  </si>
  <si>
    <t>realizowanych na podstawie porozumień (umów) między</t>
  </si>
  <si>
    <t>jednostkami samorządu terytorialnego  w 2010 r.</t>
  </si>
  <si>
    <t xml:space="preserve">  w złotych</t>
  </si>
  <si>
    <t>Klasyfikacja</t>
  </si>
  <si>
    <t>N a z w a</t>
  </si>
  <si>
    <t>Transport i łączność</t>
  </si>
  <si>
    <t>Drogi publiczne powiatowe</t>
  </si>
  <si>
    <t>Dotacje celowe otrzymane gminie na zadania bieżące real.</t>
  </si>
  <si>
    <t>na podst. porozumień między jednostkami samorządu ter.</t>
  </si>
  <si>
    <t>Dotacje celowe otrzymane z gminy na inwestycje i zakupy inwestycyjne</t>
  </si>
  <si>
    <t>Wydatki inwestycyjne jednostek budżetowych</t>
  </si>
  <si>
    <t>Turystyka</t>
  </si>
  <si>
    <t>Zadania w zakresie upowszechniania turystyki</t>
  </si>
  <si>
    <t>Dotacje celowe przekazane do samorządu województwa na</t>
  </si>
  <si>
    <t>zadania bieżące real. na pods. poroz. (umów) między j.s.t.</t>
  </si>
  <si>
    <t>Starostwa powiatowe</t>
  </si>
  <si>
    <t>Placówki opiekuńczo-wychowawcze</t>
  </si>
  <si>
    <t xml:space="preserve">Dotacje celowe otrzymane z gminy na zadania bieżące </t>
  </si>
  <si>
    <t>realizowane na podstawie porozumień między j.s.t.</t>
  </si>
  <si>
    <t>Dotacje celowe przekazane gminie na zadania bieżące real.</t>
  </si>
  <si>
    <t>Rodziny zastępcze</t>
  </si>
  <si>
    <t>Świadczenia społeczne</t>
  </si>
  <si>
    <t>Powiatowe urzędy pracy</t>
  </si>
  <si>
    <t>Edukacyjna opieka wychowawcza</t>
  </si>
  <si>
    <t>Poradnie psychol.-pedagog.oraz in.porad.spec.</t>
  </si>
  <si>
    <t>Gospodarka komunalna i ochrona środowiska</t>
  </si>
  <si>
    <t>Dotacje celowe przekazane gminie na inwestycje i zakupy inw.</t>
  </si>
  <si>
    <t>Kultura i ochrona dziedzictwa narodowego</t>
  </si>
  <si>
    <t>Biblioteki</t>
  </si>
  <si>
    <t xml:space="preserve"> - dotacje</t>
  </si>
  <si>
    <t>Załącznik nr 6a</t>
  </si>
  <si>
    <t>z dnia ..................... 2010 r.</t>
  </si>
  <si>
    <t>realizowanych na podstawie porozumień (umów)</t>
  </si>
  <si>
    <t>z organami administracji rządowej  w 2010 r.</t>
  </si>
  <si>
    <t>Dotacje celowe otrzymane z budżetu państwa</t>
  </si>
  <si>
    <t>na zadania bieżące na podst. porozumień z organami</t>
  </si>
  <si>
    <t xml:space="preserve"> administracji rządowej</t>
  </si>
  <si>
    <t>Składki na ubepieczenie społeczne</t>
  </si>
  <si>
    <t>`</t>
  </si>
  <si>
    <t>Dochody i wydatki ogółem:</t>
  </si>
  <si>
    <t xml:space="preserve">Załącznik nr 7 </t>
  </si>
  <si>
    <t>Załącznik nr 7</t>
  </si>
  <si>
    <t>do uchwały nr………</t>
  </si>
  <si>
    <t>z dnia…………………</t>
  </si>
  <si>
    <t xml:space="preserve"> Przychody i rozchody budżetu w 2010 r.</t>
  </si>
  <si>
    <t>L.p.</t>
  </si>
  <si>
    <t>Treść</t>
  </si>
  <si>
    <t>Kwota</t>
  </si>
  <si>
    <t>Przewidywane</t>
  </si>
  <si>
    <t>Plan</t>
  </si>
  <si>
    <t>wykonanie 2009*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</si>
  <si>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</si>
  <si>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</si>
  <si>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</si>
  <si>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</si>
  <si>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</si>
  <si>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</si>
  <si>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</si>
  <si>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</si>
  <si>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</si>
  <si>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</si>
  <si>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</si>
  <si>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</si>
  <si>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</si>
  <si>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</si>
  <si>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</si>
  <si>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</si>
  <si>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</si>
  <si>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</si>
  <si>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</si>
  <si>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</si>
  <si>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</si>
  <si>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</si>
  <si>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</si>
  <si>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</si>
  <si>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</si>
  <si>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</si>
  <si>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</si>
  <si>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</si>
  <si>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</si>
  <si>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</si>
  <si>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</si>
  <si>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</si>
  <si>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</si>
  <si>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</si>
  <si>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</si>
  <si>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</si>
  <si>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</si>
  <si>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</si>
  <si>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</si>
  <si>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</si>
  <si>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</si>
  <si>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Załącznik nr 8</t>
  </si>
  <si>
    <t>do uchwały Nr ………..</t>
  </si>
  <si>
    <t>Zestawienie planowanych kwot dotacji udzielanych z budżetu jst, realizowanych przez podmioty należące i nienależące do sektora finansów publicznych w 2010 r.</t>
  </si>
  <si>
    <t>Rozdział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</si>
  <si>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</si>
  <si>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</si>
  <si>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</si>
  <si>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</si>
  <si>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</si>
  <si>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</si>
  <si>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Warsztat Terapii Zajęciowej w Kamienniku Wielkim</t>
  </si>
  <si>
    <t>Zakład Aktywności Zawodowej w Kamionku Wielkim</t>
  </si>
  <si>
    <t>Warsztat Terapii Zajęciowej we Władysławowie</t>
  </si>
  <si>
    <t>Warsztat Terapii Zajęciowej w Tolkmicku</t>
  </si>
  <si>
    <t>Dotacje dla podmiotów niezaliczanych do sektora finansów publicznych</t>
  </si>
  <si>
    <t>Powiat Elbląski na polach Grunwaldu</t>
  </si>
  <si>
    <t>II Plener Malarski Uczniów Liceum Plastycznego - Perły Powiatu Elbląskiego - Kadyny , Tolkicko</t>
  </si>
  <si>
    <t>Realizacja zadań z zakresu interwencji kryzysowej</t>
  </si>
  <si>
    <t>Działania na rzecz propagowania kultury miejszości narodowych</t>
  </si>
  <si>
    <t>Organizacja przedsięwzięć kulturalnych festynów, imprez, plenerów artystycznych, wernisaży, przeglądów artystycznych na terenie powiatu</t>
  </si>
  <si>
    <t>Działania na rzecz edukacji kulturalnej oraz artystycznej wśród dzieci i młodzieży wiejskiej w powiecie elbląskim</t>
  </si>
  <si>
    <t>Działania na rzecz zachowaia lokalnego dziedzictwa kulturalnego</t>
  </si>
  <si>
    <t>Organizacja komkursów związanych z kulturą na terenie powiatu elbląskiego, organizacja przeglądów dziedzictwa kulturowego powiatu</t>
  </si>
  <si>
    <t>Organizacja zawodów sportowych dla szkół z terenu powiatu elbląskiego w ramach systemu sportowego współzawodnictwa dzieci i młodzieży szkolnej, w tym udział reprezentacji powiatu w zawodach na szczeblu regionalnym, wojewódzkim i ogólnopolskim</t>
  </si>
  <si>
    <t>Organizacja zajęć sportowo-rekreacyjnych dla dzieci i młodzieży szkolnej podczas ferii zimowych</t>
  </si>
  <si>
    <t>12.</t>
  </si>
  <si>
    <t>Organizacja zajęć sportowo-rekreacyjnych dla dzieci i młodzieży z UKS powiatu elbląskiego</t>
  </si>
  <si>
    <t>13.</t>
  </si>
  <si>
    <t>Edukacja młodzieży z zakresau ratownictwa wodnego i bezpieczeństwa nad akwenami</t>
  </si>
  <si>
    <t>14.</t>
  </si>
  <si>
    <t>Organizacja imprez sportowych i rekreacyjnych dla dzieci i młodzieży oraz dorosłych mieszkańców powiatu elbląskiego</t>
  </si>
  <si>
    <t>15.</t>
  </si>
  <si>
    <t>Przygotowanie i udział reprezentacji powiatu elbląskiego w zawodach sportowych osób niepełnosprawnych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</si>
  <si>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</si>
  <si>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Załącznik nr 9</t>
  </si>
  <si>
    <t>do uchwały Nr ………….</t>
  </si>
  <si>
    <t>z dnia …………………….</t>
  </si>
  <si>
    <t>Plan przychodów i wydatków zakładów budżetowych, gospodarstw pomocniczych</t>
  </si>
  <si>
    <t xml:space="preserve"> oraz dochodów i wydatków rachunków dochodów własnych na 2010 r.</t>
  </si>
  <si>
    <t>Wyszczególnienie</t>
  </si>
  <si>
    <t>Stan środków obrotowych** na początek roku</t>
  </si>
  <si>
    <t>Przychody*</t>
  </si>
  <si>
    <t>Stan środków obrotowych** na koniec roku</t>
  </si>
  <si>
    <t>Rozliczenie z budżetem z tytułu wpłat nadwyżek środków za 2009 r.</t>
  </si>
  <si>
    <t>ogółem</t>
  </si>
  <si>
    <t>w tym: wpłata do budżetu</t>
  </si>
  <si>
    <t>dotacje z budżetu***</t>
  </si>
  <si>
    <t>§265, §266</t>
  </si>
  <si>
    <t>inwestycje</t>
  </si>
  <si>
    <t>Gospodarstwa pomocnicze</t>
  </si>
  <si>
    <t>1.Zakład Obsługi Powiatowego Zasobu Geodezyjnego i Kartograficznego w Elblągu</t>
  </si>
  <si>
    <t>2. Gospodarstwo pomocnicze "Pólko" przy Zespole Szkół Ekonomicznych i Technicznych w Pasłęku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</si>
  <si>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</si>
  <si>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</si>
  <si>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</si>
  <si>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</si>
  <si>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Załącznik nr 10</t>
  </si>
  <si>
    <t>do uchwały Nr………</t>
  </si>
  <si>
    <t>z dnia …………………</t>
  </si>
  <si>
    <t>Plan przychodów i wydatków Powiatowego Funduszu</t>
  </si>
  <si>
    <t>Ochrony Środowiska i Gospodarki Wodnej</t>
  </si>
  <si>
    <t>Plan na 2010 r.</t>
  </si>
  <si>
    <t>Stan środków obrotowych na początek roku</t>
  </si>
  <si>
    <t>II.</t>
  </si>
  <si>
    <t>Przychody</t>
  </si>
  <si>
    <t>§ 2960  Przelewy redystrybucyjne</t>
  </si>
  <si>
    <t>III.</t>
  </si>
  <si>
    <t>Wydatki bieżące</t>
  </si>
  <si>
    <t>§ 4210 - Zakup materiałów i wyposażenia</t>
  </si>
  <si>
    <t>§ 4300 - Zakup usług pozostałych</t>
  </si>
  <si>
    <t>§ 4410 - Podróże służbowe krajowe</t>
  </si>
  <si>
    <t>§ 4700 - Szkolenia pracowników niebędących członkami korpusy służby cywilnej</t>
  </si>
  <si>
    <t>Wydatki majątkowe</t>
  </si>
  <si>
    <t>IV.</t>
  </si>
  <si>
    <t>Stan środków obrotowych na koniec roku</t>
  </si>
  <si>
    <t>Załącznik nr 10a</t>
  </si>
  <si>
    <t>Gospodarki Zasobem Geodezyjnym i Kartograficznym</t>
  </si>
  <si>
    <t>Plan na 2009 r.</t>
  </si>
  <si>
    <t>§ 0830 - Wpływy z usług</t>
  </si>
  <si>
    <t>§ 0920 - Pozostałe odsetki</t>
  </si>
  <si>
    <t>§ 2960 - Przelewy redystrybucyjne</t>
  </si>
  <si>
    <t>§ 4270 - Zakup usług remontowych</t>
  </si>
  <si>
    <t>§ 4300- Zakup usług pozostałych</t>
  </si>
  <si>
    <t>§ 4350 - Zakup usług do sieci Internet</t>
  </si>
  <si>
    <t>§ 4530 - Podatek od towarów i usług</t>
  </si>
  <si>
    <t>§ 4700 - Szkolenia pracowników niebędących członkami korpusu sł. cyw.</t>
  </si>
  <si>
    <t>§ 4740 - Zakup materiałów papierniczych do sprzętu drukarsk. i urządz. kser.</t>
  </si>
  <si>
    <t>§ 4750 - Zakup akcesoriów komputerowych, w tym programów i licencji</t>
  </si>
  <si>
    <t>§ 6120 - Wydatki na zakupy inwestycyjne</t>
  </si>
  <si>
    <t>Załącznik nr 11</t>
  </si>
  <si>
    <t>do Uchwały Nr ...............</t>
  </si>
  <si>
    <t>z dnia ............................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</si>
  <si>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</si>
  <si>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</si>
  <si>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</si>
  <si>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</si>
  <si>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</si>
  <si>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Wykonanie w 2007</t>
  </si>
  <si>
    <t>PW</t>
  </si>
  <si>
    <t>zadłużenia</t>
  </si>
  <si>
    <t>na koniec</t>
  </si>
  <si>
    <t>31.12.2005 r.</t>
  </si>
  <si>
    <t>w 2006 r.</t>
  </si>
  <si>
    <t>Wyemitowane papiery wartościowe</t>
  </si>
  <si>
    <t>Przejęte zobowiązanie (kredyt)</t>
  </si>
  <si>
    <t>Przyjęte depozyty</t>
  </si>
  <si>
    <t>Przejęte zobowiązanie (pożyczka)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</si>
  <si>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</si>
  <si>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</si>
  <si>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</si>
  <si>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</si>
  <si>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</si>
  <si>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</si>
  <si>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</si>
  <si>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</si>
  <si>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</si>
  <si>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</si>
  <si>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Załącznik nr 11a</t>
  </si>
  <si>
    <t>do uchwały Nr...........</t>
  </si>
  <si>
    <t>z dnia.......................</t>
  </si>
  <si>
    <t>z dnia........................</t>
  </si>
  <si>
    <t>Prognozowana sytuacja finansowa powiatu w latach spłaty długu</t>
  </si>
  <si>
    <t>Wykonanie w 2007 r.</t>
  </si>
  <si>
    <t>Wykonanie na 2008 r.</t>
  </si>
  <si>
    <t>Lata spłaty kredytu/pożyczki</t>
  </si>
  <si>
    <t>2008 r</t>
  </si>
  <si>
    <t>PW 2009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</si>
  <si>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</si>
  <si>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</si>
  <si>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</si>
  <si>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</si>
  <si>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</si>
  <si>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</si>
  <si>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</si>
  <si>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</si>
  <si>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</si>
  <si>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</si>
  <si>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</si>
  <si>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</si>
  <si>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</si>
  <si>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</si>
  <si>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</si>
  <si>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</si>
  <si>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</si>
  <si>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</si>
  <si>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</si>
  <si>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</si>
  <si>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</si>
  <si>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</si>
  <si>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</si>
  <si>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</si>
  <si>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</si>
  <si>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</si>
  <si>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</si>
  <si>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</si>
  <si>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</si>
  <si>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</si>
  <si>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</si>
  <si>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</si>
  <si>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</si>
  <si>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</si>
  <si>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</si>
  <si>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</si>
  <si>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</si>
  <si>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</si>
  <si>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</si>
  <si>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</si>
  <si>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</si>
  <si>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</si>
  <si>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</si>
  <si>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</si>
  <si>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</si>
  <si>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</si>
  <si>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</si>
  <si>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</si>
  <si>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</si>
  <si>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</si>
  <si>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W planowanej łącznej kwocie długu na koniec 2010 r. ujęto kwotę 1.363.642 zł, stanowiącą przejęte zobowiązanie po zlikwidowanym SP ZOZ w Pasłęku, z tytułu kredytu w wysokości 965.038 zł oraz pożyczek w wysokości 398.604 zł.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</si>
</sst>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0.00"/>
    <numFmt numFmtId="168" formatCode="@"/>
    <numFmt numFmtId="169" formatCode="0.0"/>
  </numFmts>
  <fonts count="27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i/>
      <sz val="8"/>
      <name val="Arial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75">
    <xf numFmtId="164" fontId="0" fillId="0" borderId="0" xfId="0" applyAlignment="1">
      <alignment/>
    </xf>
    <xf numFmtId="164" fontId="1" fillId="0" borderId="0" xfId="20" applyAlignment="1">
      <alignment vertical="center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 wrapText="1"/>
      <protection/>
    </xf>
    <xf numFmtId="164" fontId="4" fillId="0" borderId="0" xfId="20" applyFont="1" applyAlignment="1">
      <alignment horizontal="right" vertical="center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1" fillId="0" borderId="0" xfId="20" applyFont="1" applyAlignment="1">
      <alignment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0" fillId="0" borderId="2" xfId="20" applyFont="1" applyBorder="1" applyAlignment="1">
      <alignment vertical="center"/>
      <protection/>
    </xf>
    <xf numFmtId="164" fontId="0" fillId="0" borderId="2" xfId="20" applyFont="1" applyBorder="1" applyAlignment="1">
      <alignment vertical="center" wrapText="1"/>
      <protection/>
    </xf>
    <xf numFmtId="164" fontId="0" fillId="0" borderId="1" xfId="20" applyFont="1" applyBorder="1" applyAlignment="1">
      <alignment horizontal="center" vertical="center" wrapText="1"/>
      <protection/>
    </xf>
    <xf numFmtId="166" fontId="0" fillId="0" borderId="2" xfId="20" applyNumberFormat="1" applyFont="1" applyBorder="1" applyAlignment="1">
      <alignment vertical="center"/>
      <protection/>
    </xf>
    <xf numFmtId="166" fontId="0" fillId="0" borderId="1" xfId="20" applyNumberFormat="1" applyFont="1" applyBorder="1" applyAlignment="1">
      <alignment vertical="center" wrapText="1"/>
      <protection/>
    </xf>
    <xf numFmtId="164" fontId="0" fillId="0" borderId="1" xfId="20" applyFont="1" applyFill="1" applyBorder="1" applyAlignment="1">
      <alignment horizontal="center" vertical="center" wrapText="1"/>
      <protection/>
    </xf>
    <xf numFmtId="166" fontId="0" fillId="0" borderId="1" xfId="20" applyNumberFormat="1" applyFont="1" applyBorder="1" applyAlignment="1">
      <alignment vertical="center"/>
      <protection/>
    </xf>
    <xf numFmtId="164" fontId="0" fillId="0" borderId="1" xfId="20" applyFont="1" applyBorder="1" applyAlignment="1">
      <alignment vertical="center"/>
      <protection/>
    </xf>
    <xf numFmtId="164" fontId="0" fillId="0" borderId="3" xfId="20" applyFont="1" applyFill="1" applyBorder="1" applyAlignment="1">
      <alignment horizontal="center" vertical="center" wrapText="1"/>
      <protection/>
    </xf>
    <xf numFmtId="166" fontId="0" fillId="0" borderId="3" xfId="20" applyNumberFormat="1" applyFont="1" applyBorder="1" applyAlignment="1">
      <alignment vertical="center" wrapText="1"/>
      <protection/>
    </xf>
    <xf numFmtId="164" fontId="0" fillId="0" borderId="2" xfId="20" applyFont="1" applyBorder="1" applyAlignment="1">
      <alignment horizontal="center" vertical="center" wrapText="1"/>
      <protection/>
    </xf>
    <xf numFmtId="164" fontId="0" fillId="0" borderId="3" xfId="20" applyFont="1" applyBorder="1" applyAlignment="1">
      <alignment horizontal="center" vertical="center" wrapText="1"/>
      <protection/>
    </xf>
    <xf numFmtId="166" fontId="0" fillId="0" borderId="4" xfId="20" applyNumberFormat="1" applyFont="1" applyBorder="1" applyAlignment="1">
      <alignment vertical="center"/>
      <protection/>
    </xf>
    <xf numFmtId="166" fontId="0" fillId="0" borderId="5" xfId="20" applyNumberFormat="1" applyFont="1" applyBorder="1" applyAlignment="1">
      <alignment vertical="center" wrapText="1"/>
      <protection/>
    </xf>
    <xf numFmtId="164" fontId="0" fillId="0" borderId="4" xfId="20" applyFont="1" applyBorder="1" applyAlignment="1">
      <alignment vertical="center"/>
      <protection/>
    </xf>
    <xf numFmtId="164" fontId="0" fillId="0" borderId="4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left"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0" fillId="0" borderId="0" xfId="20" applyFont="1" applyAlignment="1">
      <alignment vertical="center"/>
      <protection/>
    </xf>
    <xf numFmtId="164" fontId="7" fillId="0" borderId="0" xfId="20" applyFont="1" applyAlignment="1">
      <alignment vertical="center"/>
      <protection/>
    </xf>
    <xf numFmtId="167" fontId="0" fillId="0" borderId="1" xfId="20" applyNumberFormat="1" applyFont="1" applyBorder="1" applyAlignment="1">
      <alignment horizontal="center" vertical="center" wrapText="1"/>
      <protection/>
    </xf>
    <xf numFmtId="164" fontId="0" fillId="0" borderId="1" xfId="20" applyFont="1" applyBorder="1" applyAlignment="1">
      <alignment vertical="center" wrapText="1"/>
      <protection/>
    </xf>
    <xf numFmtId="166" fontId="5" fillId="0" borderId="1" xfId="20" applyNumberFormat="1" applyFont="1" applyBorder="1" applyAlignment="1">
      <alignment vertical="center"/>
      <protection/>
    </xf>
    <xf numFmtId="164" fontId="1" fillId="0" borderId="0" xfId="20">
      <alignment/>
      <protection/>
    </xf>
    <xf numFmtId="164" fontId="9" fillId="0" borderId="0" xfId="22" applyFont="1">
      <alignment/>
      <protection/>
    </xf>
    <xf numFmtId="164" fontId="10" fillId="0" borderId="0" xfId="22" applyFont="1">
      <alignment/>
      <protection/>
    </xf>
    <xf numFmtId="164" fontId="11" fillId="0" borderId="0" xfId="22" applyFont="1" applyBorder="1" applyAlignment="1">
      <alignment horizontal="center" wrapText="1"/>
      <protection/>
    </xf>
    <xf numFmtId="164" fontId="12" fillId="2" borderId="6" xfId="22" applyFont="1" applyFill="1" applyBorder="1" applyAlignment="1">
      <alignment horizontal="center" vertical="center"/>
      <protection/>
    </xf>
    <xf numFmtId="164" fontId="12" fillId="2" borderId="7" xfId="22" applyFont="1" applyFill="1" applyBorder="1" applyAlignment="1">
      <alignment horizontal="center" vertical="center"/>
      <protection/>
    </xf>
    <xf numFmtId="164" fontId="12" fillId="2" borderId="7" xfId="22" applyFont="1" applyFill="1" applyBorder="1" applyAlignment="1">
      <alignment horizontal="center" vertical="center" wrapText="1"/>
      <protection/>
    </xf>
    <xf numFmtId="164" fontId="12" fillId="2" borderId="8" xfId="22" applyFont="1" applyFill="1" applyBorder="1" applyAlignment="1">
      <alignment horizontal="center" vertical="center"/>
      <protection/>
    </xf>
    <xf numFmtId="164" fontId="12" fillId="2" borderId="1" xfId="22" applyFont="1" applyFill="1" applyBorder="1" applyAlignment="1">
      <alignment horizontal="center" vertical="center" wrapText="1"/>
      <protection/>
    </xf>
    <xf numFmtId="164" fontId="12" fillId="2" borderId="9" xfId="22" applyFont="1" applyFill="1" applyBorder="1" applyAlignment="1">
      <alignment horizontal="center" vertical="center"/>
      <protection/>
    </xf>
    <xf numFmtId="164" fontId="12" fillId="2" borderId="1" xfId="22" applyFont="1" applyFill="1" applyBorder="1" applyAlignment="1">
      <alignment horizontal="center" vertical="center"/>
      <protection/>
    </xf>
    <xf numFmtId="164" fontId="12" fillId="2" borderId="9" xfId="22" applyFont="1" applyFill="1" applyBorder="1" applyAlignment="1">
      <alignment horizontal="center" vertical="center" wrapText="1"/>
      <protection/>
    </xf>
    <xf numFmtId="164" fontId="6" fillId="0" borderId="10" xfId="22" applyFont="1" applyBorder="1" applyAlignment="1">
      <alignment horizontal="center" vertical="center"/>
      <protection/>
    </xf>
    <xf numFmtId="164" fontId="6" fillId="0" borderId="1" xfId="22" applyFont="1" applyBorder="1" applyAlignment="1">
      <alignment horizontal="center" vertical="center"/>
      <protection/>
    </xf>
    <xf numFmtId="164" fontId="6" fillId="0" borderId="9" xfId="22" applyFont="1" applyBorder="1" applyAlignment="1">
      <alignment horizontal="center" vertical="center"/>
      <protection/>
    </xf>
    <xf numFmtId="164" fontId="9" fillId="0" borderId="11" xfId="22" applyFont="1" applyFill="1" applyBorder="1" applyAlignment="1">
      <alignment horizontal="center" vertical="center"/>
      <protection/>
    </xf>
    <xf numFmtId="164" fontId="12" fillId="0" borderId="12" xfId="22" applyFont="1" applyBorder="1" applyAlignment="1">
      <alignment horizontal="left" vertical="center"/>
      <protection/>
    </xf>
    <xf numFmtId="164" fontId="12" fillId="0" borderId="13" xfId="22" applyFont="1" applyBorder="1" applyAlignment="1">
      <alignment horizontal="center" vertical="center"/>
      <protection/>
    </xf>
    <xf numFmtId="166" fontId="12" fillId="0" borderId="14" xfId="22" applyNumberFormat="1" applyFont="1" applyBorder="1" applyAlignment="1">
      <alignment horizontal="right" vertical="center"/>
      <protection/>
    </xf>
    <xf numFmtId="166" fontId="12" fillId="0" borderId="15" xfId="22" applyNumberFormat="1" applyFont="1" applyBorder="1" applyAlignment="1">
      <alignment horizontal="right" vertical="center"/>
      <protection/>
    </xf>
    <xf numFmtId="164" fontId="9" fillId="0" borderId="16" xfId="22" applyFont="1" applyFill="1" applyBorder="1" applyAlignment="1">
      <alignment horizontal="center" vertical="center"/>
      <protection/>
    </xf>
    <xf numFmtId="164" fontId="9" fillId="0" borderId="17" xfId="22" applyFont="1" applyFill="1" applyBorder="1">
      <alignment/>
      <protection/>
    </xf>
    <xf numFmtId="164" fontId="9" fillId="0" borderId="18" xfId="22" applyFont="1" applyFill="1" applyBorder="1" applyAlignment="1">
      <alignment horizontal="left" vertical="center"/>
      <protection/>
    </xf>
    <xf numFmtId="164" fontId="6" fillId="0" borderId="19" xfId="22" applyFont="1" applyFill="1" applyBorder="1" applyAlignment="1">
      <alignment horizontal="center" vertical="center"/>
      <protection/>
    </xf>
    <xf numFmtId="164" fontId="6" fillId="0" borderId="20" xfId="22" applyFont="1" applyFill="1" applyBorder="1" applyAlignment="1">
      <alignment horizontal="center" vertical="center"/>
      <protection/>
    </xf>
    <xf numFmtId="164" fontId="9" fillId="0" borderId="21" xfId="22" applyFont="1" applyFill="1" applyBorder="1">
      <alignment/>
      <protection/>
    </xf>
    <xf numFmtId="164" fontId="9" fillId="0" borderId="22" xfId="22" applyFont="1" applyFill="1" applyBorder="1" applyAlignment="1">
      <alignment horizontal="left" vertical="center"/>
      <protection/>
    </xf>
    <xf numFmtId="164" fontId="4" fillId="0" borderId="0" xfId="20" applyFont="1" applyBorder="1">
      <alignment/>
      <protection/>
    </xf>
    <xf numFmtId="164" fontId="1" fillId="0" borderId="0" xfId="20" applyBorder="1">
      <alignment/>
      <protection/>
    </xf>
    <xf numFmtId="164" fontId="9" fillId="0" borderId="0" xfId="22" applyFont="1" applyFill="1" applyBorder="1" applyAlignment="1">
      <alignment horizontal="center" vertical="center"/>
      <protection/>
    </xf>
    <xf numFmtId="164" fontId="9" fillId="0" borderId="23" xfId="22" applyFont="1" applyFill="1" applyBorder="1" applyAlignment="1">
      <alignment horizontal="center" vertical="center"/>
      <protection/>
    </xf>
    <xf numFmtId="164" fontId="9" fillId="0" borderId="24" xfId="22" applyFont="1" applyFill="1" applyBorder="1">
      <alignment/>
      <protection/>
    </xf>
    <xf numFmtId="164" fontId="9" fillId="0" borderId="25" xfId="22" applyFont="1" applyFill="1" applyBorder="1" applyAlignment="1">
      <alignment horizontal="left" vertical="center"/>
      <protection/>
    </xf>
    <xf numFmtId="164" fontId="9" fillId="0" borderId="1" xfId="22" applyFont="1" applyFill="1" applyBorder="1">
      <alignment/>
      <protection/>
    </xf>
    <xf numFmtId="164" fontId="9" fillId="0" borderId="1" xfId="22" applyFont="1" applyFill="1" applyBorder="1" applyAlignment="1">
      <alignment horizontal="center"/>
      <protection/>
    </xf>
    <xf numFmtId="166" fontId="9" fillId="0" borderId="1" xfId="22" applyNumberFormat="1" applyFont="1" applyFill="1" applyBorder="1">
      <alignment/>
      <protection/>
    </xf>
    <xf numFmtId="166" fontId="9" fillId="0" borderId="9" xfId="22" applyNumberFormat="1" applyFont="1" applyFill="1" applyBorder="1">
      <alignment/>
      <protection/>
    </xf>
    <xf numFmtId="164" fontId="9" fillId="0" borderId="4" xfId="22" applyFont="1" applyFill="1" applyBorder="1" applyAlignment="1">
      <alignment horizontal="left" vertical="center"/>
      <protection/>
    </xf>
    <xf numFmtId="166" fontId="9" fillId="0" borderId="17" xfId="22" applyNumberFormat="1" applyFont="1" applyFill="1" applyBorder="1">
      <alignment/>
      <protection/>
    </xf>
    <xf numFmtId="166" fontId="9" fillId="0" borderId="17" xfId="22" applyNumberFormat="1" applyFont="1" applyFill="1" applyBorder="1" applyAlignment="1">
      <alignment/>
      <protection/>
    </xf>
    <xf numFmtId="166" fontId="9" fillId="0" borderId="26" xfId="22" applyNumberFormat="1" applyFont="1" applyFill="1" applyBorder="1" applyAlignment="1">
      <alignment/>
      <protection/>
    </xf>
    <xf numFmtId="166" fontId="9" fillId="0" borderId="21" xfId="22" applyNumberFormat="1" applyFont="1" applyFill="1" applyBorder="1">
      <alignment/>
      <protection/>
    </xf>
    <xf numFmtId="166" fontId="9" fillId="0" borderId="21" xfId="22" applyNumberFormat="1" applyFont="1" applyFill="1" applyBorder="1" applyAlignment="1">
      <alignment/>
      <protection/>
    </xf>
    <xf numFmtId="166" fontId="9" fillId="0" borderId="27" xfId="22" applyNumberFormat="1" applyFont="1" applyFill="1" applyBorder="1" applyAlignment="1">
      <alignment/>
      <protection/>
    </xf>
    <xf numFmtId="164" fontId="9" fillId="0" borderId="28" xfId="22" applyFont="1" applyFill="1" applyBorder="1">
      <alignment/>
      <protection/>
    </xf>
    <xf numFmtId="164" fontId="9" fillId="0" borderId="29" xfId="22" applyFont="1" applyFill="1" applyBorder="1" applyAlignment="1">
      <alignment horizontal="left" vertical="center"/>
      <protection/>
    </xf>
    <xf numFmtId="164" fontId="9" fillId="0" borderId="29" xfId="22" applyFont="1" applyFill="1" applyBorder="1" applyAlignment="1">
      <alignment vertical="center"/>
      <protection/>
    </xf>
    <xf numFmtId="164" fontId="9" fillId="0" borderId="30" xfId="22" applyFont="1" applyFill="1" applyBorder="1" applyAlignment="1">
      <alignment vertical="center"/>
      <protection/>
    </xf>
    <xf numFmtId="164" fontId="9" fillId="0" borderId="31" xfId="22" applyFont="1" applyFill="1" applyBorder="1" applyAlignment="1">
      <alignment horizontal="center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164" fontId="9" fillId="0" borderId="13" xfId="22" applyFont="1" applyFill="1" applyBorder="1" applyAlignment="1">
      <alignment horizontal="left" vertical="center"/>
      <protection/>
    </xf>
    <xf numFmtId="166" fontId="9" fillId="0" borderId="28" xfId="22" applyNumberFormat="1" applyFont="1" applyFill="1" applyBorder="1">
      <alignment/>
      <protection/>
    </xf>
    <xf numFmtId="166" fontId="9" fillId="0" borderId="28" xfId="22" applyNumberFormat="1" applyFont="1" applyFill="1" applyBorder="1" applyAlignment="1">
      <alignment/>
      <protection/>
    </xf>
    <xf numFmtId="166" fontId="9" fillId="0" borderId="32" xfId="22" applyNumberFormat="1" applyFont="1" applyFill="1" applyBorder="1" applyAlignment="1">
      <alignment/>
      <protection/>
    </xf>
    <xf numFmtId="164" fontId="9" fillId="0" borderId="33" xfId="22" applyFont="1" applyFill="1" applyBorder="1">
      <alignment/>
      <protection/>
    </xf>
    <xf numFmtId="164" fontId="9" fillId="0" borderId="23" xfId="22" applyFont="1" applyFill="1" applyBorder="1" applyAlignment="1">
      <alignment horizontal="left" vertical="center"/>
      <protection/>
    </xf>
    <xf numFmtId="164" fontId="9" fillId="0" borderId="34" xfId="22" applyFont="1" applyFill="1" applyBorder="1" applyAlignment="1">
      <alignment horizontal="center"/>
      <protection/>
    </xf>
    <xf numFmtId="164" fontId="9" fillId="0" borderId="2" xfId="22" applyFont="1" applyFill="1" applyBorder="1">
      <alignment/>
      <protection/>
    </xf>
    <xf numFmtId="166" fontId="9" fillId="0" borderId="2" xfId="22" applyNumberFormat="1" applyFont="1" applyFill="1" applyBorder="1">
      <alignment/>
      <protection/>
    </xf>
    <xf numFmtId="166" fontId="9" fillId="0" borderId="2" xfId="22" applyNumberFormat="1" applyFont="1" applyFill="1" applyBorder="1" applyAlignment="1">
      <alignment/>
      <protection/>
    </xf>
    <xf numFmtId="166" fontId="9" fillId="0" borderId="35" xfId="22" applyNumberFormat="1" applyFont="1" applyFill="1" applyBorder="1" applyAlignment="1">
      <alignment/>
      <protection/>
    </xf>
    <xf numFmtId="164" fontId="9" fillId="0" borderId="19" xfId="22" applyFont="1" applyFill="1" applyBorder="1" applyAlignment="1">
      <alignment horizontal="left" vertical="center"/>
      <protection/>
    </xf>
    <xf numFmtId="164" fontId="9" fillId="0" borderId="20" xfId="22" applyFont="1" applyFill="1" applyBorder="1" applyAlignment="1">
      <alignment horizontal="left" vertical="center"/>
      <protection/>
    </xf>
    <xf numFmtId="164" fontId="13" fillId="0" borderId="0" xfId="20" applyFont="1">
      <alignment/>
      <protection/>
    </xf>
    <xf numFmtId="164" fontId="12" fillId="0" borderId="36" xfId="22" applyFont="1" applyBorder="1" applyAlignment="1">
      <alignment horizontal="center"/>
      <protection/>
    </xf>
    <xf numFmtId="164" fontId="12" fillId="0" borderId="31" xfId="22" applyFont="1" applyFill="1" applyBorder="1">
      <alignment/>
      <protection/>
    </xf>
    <xf numFmtId="164" fontId="12" fillId="0" borderId="37" xfId="22" applyFont="1" applyFill="1" applyBorder="1" applyAlignment="1">
      <alignment horizontal="center"/>
      <protection/>
    </xf>
    <xf numFmtId="166" fontId="12" fillId="0" borderId="37" xfId="22" applyNumberFormat="1" applyFont="1" applyFill="1" applyBorder="1">
      <alignment/>
      <protection/>
    </xf>
    <xf numFmtId="164" fontId="9" fillId="0" borderId="6" xfId="22" applyFont="1" applyBorder="1" applyAlignment="1">
      <alignment horizontal="center" vertical="center"/>
      <protection/>
    </xf>
    <xf numFmtId="164" fontId="4" fillId="0" borderId="19" xfId="20" applyFont="1" applyBorder="1">
      <alignment/>
      <protection/>
    </xf>
    <xf numFmtId="164" fontId="4" fillId="0" borderId="23" xfId="20" applyFont="1" applyBorder="1">
      <alignment/>
      <protection/>
    </xf>
    <xf numFmtId="164" fontId="9" fillId="0" borderId="1" xfId="22" applyFont="1" applyFill="1" applyBorder="1" applyAlignment="1">
      <alignment horizontal="left" vertical="center"/>
      <protection/>
    </xf>
    <xf numFmtId="166" fontId="9" fillId="0" borderId="1" xfId="22" applyNumberFormat="1" applyFont="1" applyFill="1" applyBorder="1" applyAlignment="1">
      <alignment/>
      <protection/>
    </xf>
    <xf numFmtId="164" fontId="9" fillId="0" borderId="5" xfId="22" applyFont="1" applyFill="1" applyBorder="1">
      <alignment/>
      <protection/>
    </xf>
    <xf numFmtId="166" fontId="9" fillId="0" borderId="5" xfId="22" applyNumberFormat="1" applyFont="1" applyFill="1" applyBorder="1">
      <alignment/>
      <protection/>
    </xf>
    <xf numFmtId="166" fontId="9" fillId="0" borderId="5" xfId="22" applyNumberFormat="1" applyFont="1" applyFill="1" applyBorder="1" applyAlignment="1">
      <alignment/>
      <protection/>
    </xf>
    <xf numFmtId="166" fontId="9" fillId="0" borderId="38" xfId="22" applyNumberFormat="1" applyFont="1" applyFill="1" applyBorder="1" applyAlignment="1">
      <alignment/>
      <protection/>
    </xf>
    <xf numFmtId="164" fontId="9" fillId="0" borderId="39" xfId="22" applyFont="1" applyBorder="1" applyAlignment="1">
      <alignment horizontal="center" vertical="center"/>
      <protection/>
    </xf>
    <xf numFmtId="164" fontId="9" fillId="0" borderId="40" xfId="22" applyFont="1" applyBorder="1" applyAlignment="1">
      <alignment horizontal="center" vertical="center"/>
      <protection/>
    </xf>
    <xf numFmtId="166" fontId="9" fillId="0" borderId="24" xfId="22" applyNumberFormat="1" applyFont="1" applyFill="1" applyBorder="1">
      <alignment/>
      <protection/>
    </xf>
    <xf numFmtId="166" fontId="9" fillId="0" borderId="24" xfId="22" applyNumberFormat="1" applyFont="1" applyFill="1" applyBorder="1" applyAlignment="1">
      <alignment/>
      <protection/>
    </xf>
    <xf numFmtId="166" fontId="9" fillId="0" borderId="41" xfId="22" applyNumberFormat="1" applyFont="1" applyFill="1" applyBorder="1" applyAlignment="1">
      <alignment/>
      <protection/>
    </xf>
    <xf numFmtId="164" fontId="12" fillId="0" borderId="31" xfId="22" applyFont="1" applyBorder="1" applyAlignment="1">
      <alignment horizontal="center"/>
      <protection/>
    </xf>
    <xf numFmtId="166" fontId="12" fillId="0" borderId="37" xfId="22" applyNumberFormat="1" applyFont="1" applyBorder="1">
      <alignment/>
      <protection/>
    </xf>
    <xf numFmtId="166" fontId="12" fillId="0" borderId="42" xfId="22" applyNumberFormat="1" applyFont="1" applyBorder="1">
      <alignment/>
      <protection/>
    </xf>
    <xf numFmtId="164" fontId="14" fillId="0" borderId="43" xfId="22" applyFont="1" applyBorder="1" applyAlignment="1">
      <alignment horizontal="left"/>
      <protection/>
    </xf>
    <xf numFmtId="164" fontId="9" fillId="0" borderId="0" xfId="22" applyFont="1" applyBorder="1">
      <alignment/>
      <protection/>
    </xf>
    <xf numFmtId="164" fontId="9" fillId="0" borderId="23" xfId="22" applyFont="1" applyBorder="1">
      <alignment/>
      <protection/>
    </xf>
    <xf numFmtId="164" fontId="14" fillId="0" borderId="43" xfId="22" applyFont="1" applyBorder="1">
      <alignment/>
      <protection/>
    </xf>
    <xf numFmtId="164" fontId="14" fillId="0" borderId="0" xfId="22" applyFont="1" applyBorder="1">
      <alignment/>
      <protection/>
    </xf>
    <xf numFmtId="164" fontId="14" fillId="0" borderId="44" xfId="22" applyFont="1" applyBorder="1">
      <alignment/>
      <protection/>
    </xf>
    <xf numFmtId="164" fontId="14" fillId="0" borderId="45" xfId="22" applyFont="1" applyBorder="1">
      <alignment/>
      <protection/>
    </xf>
    <xf numFmtId="164" fontId="9" fillId="0" borderId="45" xfId="22" applyFont="1" applyBorder="1">
      <alignment/>
      <protection/>
    </xf>
    <xf numFmtId="164" fontId="9" fillId="0" borderId="46" xfId="22" applyFont="1" applyBorder="1">
      <alignment/>
      <protection/>
    </xf>
    <xf numFmtId="164" fontId="15" fillId="0" borderId="0" xfId="20" applyFont="1" applyFill="1">
      <alignment/>
      <protection/>
    </xf>
    <xf numFmtId="164" fontId="15" fillId="0" borderId="0" xfId="20" applyFont="1" applyFill="1" applyBorder="1">
      <alignment/>
      <protection/>
    </xf>
    <xf numFmtId="164" fontId="13" fillId="0" borderId="0" xfId="20" applyFont="1" applyFill="1" applyBorder="1">
      <alignment/>
      <protection/>
    </xf>
    <xf numFmtId="164" fontId="16" fillId="0" borderId="0" xfId="20" applyFont="1" applyFill="1" applyBorder="1" applyAlignment="1">
      <alignment horizontal="center" wrapText="1"/>
      <protection/>
    </xf>
    <xf numFmtId="164" fontId="16" fillId="0" borderId="0" xfId="20" applyFont="1" applyFill="1" applyBorder="1" applyAlignment="1">
      <alignment horizontal="center"/>
      <protection/>
    </xf>
    <xf numFmtId="164" fontId="17" fillId="0" borderId="0" xfId="20" applyFont="1" applyFill="1">
      <alignment/>
      <protection/>
    </xf>
    <xf numFmtId="164" fontId="15" fillId="0" borderId="0" xfId="20" applyFont="1" applyFill="1" applyAlignment="1">
      <alignment horizontal="right"/>
      <protection/>
    </xf>
    <xf numFmtId="164" fontId="15" fillId="0" borderId="45" xfId="20" applyFont="1" applyFill="1" applyBorder="1">
      <alignment/>
      <protection/>
    </xf>
    <xf numFmtId="164" fontId="4" fillId="2" borderId="16" xfId="20" applyFont="1" applyFill="1" applyBorder="1">
      <alignment/>
      <protection/>
    </xf>
    <xf numFmtId="164" fontId="4" fillId="2" borderId="47" xfId="20" applyFont="1" applyFill="1" applyBorder="1">
      <alignment/>
      <protection/>
    </xf>
    <xf numFmtId="164" fontId="4" fillId="2" borderId="48" xfId="20" applyFont="1" applyFill="1" applyBorder="1">
      <alignment/>
      <protection/>
    </xf>
    <xf numFmtId="164" fontId="4" fillId="2" borderId="47" xfId="20" applyFont="1" applyFill="1" applyBorder="1" applyAlignment="1">
      <alignment horizontal="center"/>
      <protection/>
    </xf>
    <xf numFmtId="164" fontId="4" fillId="2" borderId="18" xfId="20" applyFont="1" applyFill="1" applyBorder="1" applyAlignment="1">
      <alignment horizontal="center"/>
      <protection/>
    </xf>
    <xf numFmtId="164" fontId="4" fillId="2" borderId="49" xfId="20" applyFont="1" applyFill="1" applyBorder="1" applyAlignment="1">
      <alignment horizontal="center"/>
      <protection/>
    </xf>
    <xf numFmtId="164" fontId="4" fillId="2" borderId="50" xfId="20" applyFont="1" applyFill="1" applyBorder="1" applyAlignment="1">
      <alignment horizontal="center"/>
      <protection/>
    </xf>
    <xf numFmtId="164" fontId="4" fillId="2" borderId="51" xfId="20" applyFont="1" applyFill="1" applyBorder="1" applyAlignment="1">
      <alignment horizontal="center"/>
      <protection/>
    </xf>
    <xf numFmtId="164" fontId="4" fillId="2" borderId="52" xfId="20" applyFont="1" applyFill="1" applyBorder="1" applyAlignment="1">
      <alignment horizontal="center"/>
      <protection/>
    </xf>
    <xf numFmtId="164" fontId="4" fillId="2" borderId="25" xfId="20" applyFont="1" applyFill="1" applyBorder="1" applyAlignment="1">
      <alignment horizontal="center"/>
      <protection/>
    </xf>
    <xf numFmtId="164" fontId="4" fillId="2" borderId="22" xfId="20" applyFont="1" applyFill="1" applyBorder="1" applyAlignment="1">
      <alignment horizontal="center"/>
      <protection/>
    </xf>
    <xf numFmtId="164" fontId="4" fillId="2" borderId="40" xfId="20" applyFont="1" applyFill="1" applyBorder="1">
      <alignment/>
      <protection/>
    </xf>
    <xf numFmtId="164" fontId="4" fillId="2" borderId="53" xfId="20" applyFont="1" applyFill="1" applyBorder="1">
      <alignment/>
      <protection/>
    </xf>
    <xf numFmtId="164" fontId="4" fillId="2" borderId="53" xfId="20" applyFont="1" applyFill="1" applyBorder="1" applyAlignment="1">
      <alignment horizontal="center"/>
      <protection/>
    </xf>
    <xf numFmtId="164" fontId="4" fillId="2" borderId="54" xfId="20" applyFont="1" applyFill="1" applyBorder="1" applyAlignment="1">
      <alignment horizontal="center"/>
      <protection/>
    </xf>
    <xf numFmtId="164" fontId="4" fillId="2" borderId="55" xfId="20" applyFont="1" applyFill="1" applyBorder="1" applyAlignment="1">
      <alignment horizontal="center"/>
      <protection/>
    </xf>
    <xf numFmtId="164" fontId="4" fillId="2" borderId="56" xfId="20" applyFont="1" applyFill="1" applyBorder="1" applyAlignment="1">
      <alignment horizontal="center"/>
      <protection/>
    </xf>
    <xf numFmtId="164" fontId="15" fillId="0" borderId="31" xfId="20" applyFont="1" applyFill="1" applyBorder="1" applyAlignment="1">
      <alignment horizontal="center" vertical="center" shrinkToFit="1"/>
      <protection/>
    </xf>
    <xf numFmtId="164" fontId="15" fillId="0" borderId="57" xfId="20" applyFont="1" applyFill="1" applyBorder="1" applyAlignment="1">
      <alignment horizontal="center" vertical="center" shrinkToFit="1"/>
      <protection/>
    </xf>
    <xf numFmtId="164" fontId="15" fillId="0" borderId="37" xfId="20" applyFont="1" applyFill="1" applyBorder="1" applyAlignment="1">
      <alignment horizontal="center" vertical="center" shrinkToFit="1"/>
      <protection/>
    </xf>
    <xf numFmtId="164" fontId="15" fillId="0" borderId="58" xfId="20" applyFont="1" applyFill="1" applyBorder="1" applyAlignment="1">
      <alignment horizontal="center" vertical="center" shrinkToFit="1"/>
      <protection/>
    </xf>
    <xf numFmtId="164" fontId="15" fillId="0" borderId="42" xfId="20" applyFont="1" applyFill="1" applyBorder="1" applyAlignment="1">
      <alignment horizontal="center" vertical="center" shrinkToFit="1"/>
      <protection/>
    </xf>
    <xf numFmtId="168" fontId="18" fillId="0" borderId="40" xfId="20" applyNumberFormat="1" applyFont="1" applyFill="1" applyBorder="1" applyAlignment="1">
      <alignment horizontal="center"/>
      <protection/>
    </xf>
    <xf numFmtId="164" fontId="18" fillId="0" borderId="53" xfId="20" applyFont="1" applyFill="1" applyBorder="1" applyAlignment="1">
      <alignment horizontal="center"/>
      <protection/>
    </xf>
    <xf numFmtId="164" fontId="18" fillId="0" borderId="54" xfId="20" applyFont="1" applyFill="1" applyBorder="1" applyAlignment="1">
      <alignment horizontal="center"/>
      <protection/>
    </xf>
    <xf numFmtId="164" fontId="18" fillId="0" borderId="53" xfId="20" applyFont="1" applyFill="1" applyBorder="1" applyAlignment="1">
      <alignment horizontal="left"/>
      <protection/>
    </xf>
    <xf numFmtId="166" fontId="18" fillId="0" borderId="54" xfId="20" applyNumberFormat="1" applyFont="1" applyFill="1" applyBorder="1" applyAlignment="1">
      <alignment horizontal="right"/>
      <protection/>
    </xf>
    <xf numFmtId="166" fontId="18" fillId="0" borderId="42" xfId="20" applyNumberFormat="1" applyFont="1" applyFill="1" applyBorder="1">
      <alignment/>
      <protection/>
    </xf>
    <xf numFmtId="164" fontId="18" fillId="0" borderId="50" xfId="20" applyFont="1" applyFill="1" applyBorder="1" applyAlignment="1">
      <alignment horizontal="center"/>
      <protection/>
    </xf>
    <xf numFmtId="168" fontId="1" fillId="0" borderId="3" xfId="20" applyNumberFormat="1" applyFont="1" applyFill="1" applyBorder="1" applyAlignment="1">
      <alignment horizontal="center"/>
      <protection/>
    </xf>
    <xf numFmtId="164" fontId="1" fillId="0" borderId="59" xfId="20" applyFont="1" applyFill="1" applyBorder="1" applyAlignment="1">
      <alignment horizontal="center"/>
      <protection/>
    </xf>
    <xf numFmtId="164" fontId="1" fillId="0" borderId="59" xfId="20" applyFont="1" applyFill="1" applyBorder="1" applyAlignment="1">
      <alignment horizontal="left"/>
      <protection/>
    </xf>
    <xf numFmtId="166" fontId="1" fillId="0" borderId="3" xfId="20" applyNumberFormat="1" applyFont="1" applyFill="1" applyBorder="1" applyAlignment="1">
      <alignment horizontal="right"/>
      <protection/>
    </xf>
    <xf numFmtId="166" fontId="1" fillId="0" borderId="29" xfId="20" applyNumberFormat="1" applyFont="1" applyFill="1" applyBorder="1" applyAlignment="1">
      <alignment horizontal="right"/>
      <protection/>
    </xf>
    <xf numFmtId="166" fontId="1" fillId="0" borderId="8" xfId="20" applyNumberFormat="1" applyFont="1" applyFill="1" applyBorder="1">
      <alignment/>
      <protection/>
    </xf>
    <xf numFmtId="164" fontId="1" fillId="0" borderId="51" xfId="20" applyFont="1" applyFill="1" applyBorder="1" applyAlignment="1">
      <alignment horizontal="center"/>
      <protection/>
    </xf>
    <xf numFmtId="168" fontId="1" fillId="0" borderId="51" xfId="20" applyNumberFormat="1" applyFont="1" applyFill="1" applyBorder="1" applyAlignment="1">
      <alignment horizontal="center"/>
      <protection/>
    </xf>
    <xf numFmtId="164" fontId="1" fillId="0" borderId="51" xfId="20" applyFont="1" applyFill="1" applyBorder="1">
      <alignment/>
      <protection/>
    </xf>
    <xf numFmtId="166" fontId="1" fillId="0" borderId="51" xfId="20" applyNumberFormat="1" applyFont="1" applyFill="1" applyBorder="1" applyAlignment="1">
      <alignment horizontal="right"/>
      <protection/>
    </xf>
    <xf numFmtId="166" fontId="1" fillId="0" borderId="25" xfId="20" applyNumberFormat="1" applyFont="1" applyFill="1" applyBorder="1" applyAlignment="1">
      <alignment horizontal="right"/>
      <protection/>
    </xf>
    <xf numFmtId="166" fontId="1" fillId="0" borderId="22" xfId="20" applyNumberFormat="1" applyFont="1" applyFill="1" applyBorder="1">
      <alignment/>
      <protection/>
    </xf>
    <xf numFmtId="168" fontId="1" fillId="0" borderId="59" xfId="20" applyNumberFormat="1" applyFont="1" applyFill="1" applyBorder="1" applyAlignment="1">
      <alignment horizontal="center"/>
      <protection/>
    </xf>
    <xf numFmtId="164" fontId="1" fillId="0" borderId="59" xfId="20" applyFont="1" applyFill="1" applyBorder="1">
      <alignment/>
      <protection/>
    </xf>
    <xf numFmtId="166" fontId="1" fillId="0" borderId="59" xfId="20" applyNumberFormat="1" applyFont="1" applyFill="1" applyBorder="1" applyAlignment="1">
      <alignment horizontal="right"/>
      <protection/>
    </xf>
    <xf numFmtId="166" fontId="1" fillId="0" borderId="60" xfId="20" applyNumberFormat="1" applyFont="1" applyFill="1" applyBorder="1">
      <alignment/>
      <protection/>
    </xf>
    <xf numFmtId="168" fontId="1" fillId="0" borderId="52" xfId="20" applyNumberFormat="1" applyFont="1" applyFill="1" applyBorder="1" applyAlignment="1">
      <alignment horizontal="center"/>
      <protection/>
    </xf>
    <xf numFmtId="164" fontId="1" fillId="0" borderId="52" xfId="20" applyFont="1" applyFill="1" applyBorder="1">
      <alignment/>
      <protection/>
    </xf>
    <xf numFmtId="164" fontId="1" fillId="0" borderId="50" xfId="20" applyFont="1" applyFill="1" applyBorder="1" applyAlignment="1">
      <alignment horizontal="center"/>
      <protection/>
    </xf>
    <xf numFmtId="164" fontId="1" fillId="0" borderId="52" xfId="20" applyFont="1" applyFill="1" applyBorder="1" applyAlignment="1">
      <alignment horizontal="center"/>
      <protection/>
    </xf>
    <xf numFmtId="164" fontId="18" fillId="0" borderId="40" xfId="20" applyFont="1" applyFill="1" applyBorder="1" applyAlignment="1">
      <alignment horizontal="center"/>
      <protection/>
    </xf>
    <xf numFmtId="164" fontId="18" fillId="0" borderId="53" xfId="20" applyFont="1" applyFill="1" applyBorder="1">
      <alignment/>
      <protection/>
    </xf>
    <xf numFmtId="166" fontId="18" fillId="0" borderId="55" xfId="20" applyNumberFormat="1" applyFont="1" applyFill="1" applyBorder="1" applyAlignment="1">
      <alignment horizontal="right"/>
      <protection/>
    </xf>
    <xf numFmtId="166" fontId="18" fillId="0" borderId="56" xfId="20" applyNumberFormat="1" applyFont="1" applyFill="1" applyBorder="1">
      <alignment/>
      <protection/>
    </xf>
    <xf numFmtId="164" fontId="1" fillId="0" borderId="3" xfId="20" applyFont="1" applyFill="1" applyBorder="1" applyAlignment="1">
      <alignment horizontal="center"/>
      <protection/>
    </xf>
    <xf numFmtId="164" fontId="1" fillId="0" borderId="0" xfId="20" applyFont="1" applyFill="1" applyBorder="1" applyAlignment="1">
      <alignment horizontal="center"/>
      <protection/>
    </xf>
    <xf numFmtId="166" fontId="1" fillId="0" borderId="25" xfId="20" applyNumberFormat="1" applyFill="1" applyBorder="1" applyAlignment="1">
      <alignment vertical="center"/>
      <protection/>
    </xf>
    <xf numFmtId="164" fontId="15" fillId="0" borderId="22" xfId="20" applyFont="1" applyFill="1" applyBorder="1">
      <alignment/>
      <protection/>
    </xf>
    <xf numFmtId="168" fontId="18" fillId="0" borderId="53" xfId="20" applyNumberFormat="1" applyFont="1" applyFill="1" applyBorder="1" applyAlignment="1">
      <alignment horizontal="center"/>
      <protection/>
    </xf>
    <xf numFmtId="164" fontId="1" fillId="0" borderId="4" xfId="20" applyFont="1" applyFill="1" applyBorder="1" applyAlignment="1">
      <alignment horizontal="center"/>
      <protection/>
    </xf>
    <xf numFmtId="168" fontId="1" fillId="0" borderId="0" xfId="20" applyNumberFormat="1" applyFont="1" applyFill="1" applyBorder="1" applyAlignment="1">
      <alignment horizontal="center"/>
      <protection/>
    </xf>
    <xf numFmtId="164" fontId="18" fillId="0" borderId="51" xfId="20" applyFont="1" applyFill="1" applyBorder="1" applyAlignment="1">
      <alignment horizontal="center"/>
      <protection/>
    </xf>
    <xf numFmtId="164" fontId="1" fillId="0" borderId="25" xfId="20" applyFont="1" applyFill="1" applyBorder="1">
      <alignment/>
      <protection/>
    </xf>
    <xf numFmtId="166" fontId="1" fillId="0" borderId="52" xfId="20" applyNumberFormat="1" applyFont="1" applyFill="1" applyBorder="1" applyAlignment="1">
      <alignment horizontal="right"/>
      <protection/>
    </xf>
    <xf numFmtId="164" fontId="18" fillId="0" borderId="52" xfId="20" applyFont="1" applyFill="1" applyBorder="1">
      <alignment/>
      <protection/>
    </xf>
    <xf numFmtId="166" fontId="18" fillId="0" borderId="51" xfId="20" applyNumberFormat="1" applyFont="1" applyFill="1" applyBorder="1" applyAlignment="1">
      <alignment horizontal="right"/>
      <protection/>
    </xf>
    <xf numFmtId="166" fontId="18" fillId="0" borderId="25" xfId="20" applyNumberFormat="1" applyFont="1" applyFill="1" applyBorder="1" applyAlignment="1">
      <alignment horizontal="right"/>
      <protection/>
    </xf>
    <xf numFmtId="164" fontId="17" fillId="0" borderId="22" xfId="20" applyFont="1" applyFill="1" applyBorder="1">
      <alignment/>
      <protection/>
    </xf>
    <xf numFmtId="164" fontId="1" fillId="0" borderId="40" xfId="20" applyFont="1" applyFill="1" applyBorder="1" applyAlignment="1">
      <alignment horizontal="center"/>
      <protection/>
    </xf>
    <xf numFmtId="164" fontId="1" fillId="0" borderId="53" xfId="20" applyFont="1" applyFill="1" applyBorder="1" applyAlignment="1">
      <alignment horizontal="center"/>
      <protection/>
    </xf>
    <xf numFmtId="168" fontId="1" fillId="0" borderId="53" xfId="20" applyNumberFormat="1" applyFont="1" applyFill="1" applyBorder="1" applyAlignment="1">
      <alignment horizontal="center"/>
      <protection/>
    </xf>
    <xf numFmtId="164" fontId="18" fillId="0" borderId="54" xfId="20" applyFont="1" applyFill="1" applyBorder="1">
      <alignment/>
      <protection/>
    </xf>
    <xf numFmtId="166" fontId="1" fillId="0" borderId="53" xfId="20" applyNumberFormat="1" applyFont="1" applyFill="1" applyBorder="1" applyAlignment="1">
      <alignment horizontal="right"/>
      <protection/>
    </xf>
    <xf numFmtId="166" fontId="1" fillId="0" borderId="55" xfId="20" applyNumberFormat="1" applyFont="1" applyFill="1" applyBorder="1" applyAlignment="1">
      <alignment horizontal="right"/>
      <protection/>
    </xf>
    <xf numFmtId="164" fontId="15" fillId="0" borderId="56" xfId="20" applyFont="1" applyFill="1" applyBorder="1">
      <alignment/>
      <protection/>
    </xf>
    <xf numFmtId="164" fontId="1" fillId="0" borderId="39" xfId="20" applyFont="1" applyFill="1" applyBorder="1" applyAlignment="1">
      <alignment horizontal="center"/>
      <protection/>
    </xf>
    <xf numFmtId="164" fontId="1" fillId="0" borderId="3" xfId="20" applyFont="1" applyFill="1" applyBorder="1">
      <alignment/>
      <protection/>
    </xf>
    <xf numFmtId="164" fontId="15" fillId="0" borderId="60" xfId="20" applyFont="1" applyFill="1" applyBorder="1">
      <alignment/>
      <protection/>
    </xf>
    <xf numFmtId="166" fontId="18" fillId="0" borderId="53" xfId="20" applyNumberFormat="1" applyFont="1" applyFill="1" applyBorder="1" applyAlignment="1">
      <alignment horizontal="right"/>
      <protection/>
    </xf>
    <xf numFmtId="164" fontId="17" fillId="0" borderId="56" xfId="20" applyFont="1" applyFill="1" applyBorder="1">
      <alignment/>
      <protection/>
    </xf>
    <xf numFmtId="164" fontId="1" fillId="0" borderId="7" xfId="20" applyFont="1" applyFill="1" applyBorder="1" applyAlignment="1">
      <alignment horizontal="center"/>
      <protection/>
    </xf>
    <xf numFmtId="164" fontId="1" fillId="0" borderId="61" xfId="20" applyFont="1" applyFill="1" applyBorder="1" applyAlignment="1">
      <alignment horizontal="center"/>
      <protection/>
    </xf>
    <xf numFmtId="164" fontId="1" fillId="0" borderId="7" xfId="20" applyFont="1" applyFill="1" applyBorder="1">
      <alignment/>
      <protection/>
    </xf>
    <xf numFmtId="166" fontId="1" fillId="0" borderId="61" xfId="20" applyNumberFormat="1" applyFont="1" applyFill="1" applyBorder="1" applyAlignment="1">
      <alignment horizontal="right"/>
      <protection/>
    </xf>
    <xf numFmtId="166" fontId="1" fillId="0" borderId="62" xfId="20" applyNumberFormat="1" applyFont="1" applyFill="1" applyBorder="1" applyAlignment="1">
      <alignment horizontal="right"/>
      <protection/>
    </xf>
    <xf numFmtId="164" fontId="1" fillId="0" borderId="45" xfId="20" applyFont="1" applyFill="1" applyBorder="1">
      <alignment/>
      <protection/>
    </xf>
    <xf numFmtId="164" fontId="1" fillId="0" borderId="54" xfId="20" applyFont="1" applyFill="1" applyBorder="1">
      <alignment/>
      <protection/>
    </xf>
    <xf numFmtId="164" fontId="1" fillId="0" borderId="0" xfId="20" applyFont="1" applyFill="1">
      <alignment/>
      <protection/>
    </xf>
    <xf numFmtId="164" fontId="18" fillId="3" borderId="31" xfId="20" applyFont="1" applyFill="1" applyBorder="1">
      <alignment/>
      <protection/>
    </xf>
    <xf numFmtId="166" fontId="18" fillId="3" borderId="37" xfId="20" applyNumberFormat="1" applyFont="1" applyFill="1" applyBorder="1">
      <alignment/>
      <protection/>
    </xf>
    <xf numFmtId="164" fontId="1" fillId="3" borderId="6" xfId="20" applyFont="1" applyFill="1" applyBorder="1">
      <alignment/>
      <protection/>
    </xf>
    <xf numFmtId="164" fontId="1" fillId="3" borderId="7" xfId="20" applyFont="1" applyFill="1" applyBorder="1">
      <alignment/>
      <protection/>
    </xf>
    <xf numFmtId="166" fontId="1" fillId="3" borderId="8" xfId="20" applyNumberFormat="1" applyFont="1" applyFill="1" applyBorder="1">
      <alignment/>
      <protection/>
    </xf>
    <xf numFmtId="168" fontId="1" fillId="3" borderId="50" xfId="20" applyNumberFormat="1" applyFont="1" applyFill="1" applyBorder="1">
      <alignment/>
      <protection/>
    </xf>
    <xf numFmtId="164" fontId="1" fillId="3" borderId="52" xfId="20" applyFont="1" applyFill="1" applyBorder="1">
      <alignment/>
      <protection/>
    </xf>
    <xf numFmtId="166" fontId="1" fillId="3" borderId="22" xfId="20" applyNumberFormat="1" applyFont="1" applyFill="1" applyBorder="1">
      <alignment/>
      <protection/>
    </xf>
    <xf numFmtId="168" fontId="1" fillId="3" borderId="39" xfId="20" applyNumberFormat="1" applyFont="1" applyFill="1" applyBorder="1">
      <alignment/>
      <protection/>
    </xf>
    <xf numFmtId="164" fontId="1" fillId="3" borderId="3" xfId="20" applyFont="1" applyFill="1" applyBorder="1">
      <alignment/>
      <protection/>
    </xf>
    <xf numFmtId="164" fontId="1" fillId="3" borderId="60" xfId="20" applyFont="1" applyFill="1" applyBorder="1">
      <alignment/>
      <protection/>
    </xf>
    <xf numFmtId="168" fontId="1" fillId="3" borderId="40" xfId="20" applyNumberFormat="1" applyFont="1" applyFill="1" applyBorder="1">
      <alignment/>
      <protection/>
    </xf>
    <xf numFmtId="164" fontId="1" fillId="3" borderId="54" xfId="20" applyFont="1" applyFill="1" applyBorder="1">
      <alignment/>
      <protection/>
    </xf>
    <xf numFmtId="166" fontId="1" fillId="3" borderId="56" xfId="20" applyNumberFormat="1" applyFont="1" applyFill="1" applyBorder="1">
      <alignment/>
      <protection/>
    </xf>
    <xf numFmtId="164" fontId="15" fillId="0" borderId="0" xfId="20" applyFont="1">
      <alignment/>
      <protection/>
    </xf>
    <xf numFmtId="164" fontId="13" fillId="0" borderId="0" xfId="20" applyFont="1" applyBorder="1">
      <alignment/>
      <protection/>
    </xf>
    <xf numFmtId="164" fontId="15" fillId="0" borderId="0" xfId="20" applyFont="1" applyBorder="1">
      <alignment/>
      <protection/>
    </xf>
    <xf numFmtId="164" fontId="15" fillId="0" borderId="0" xfId="20" applyFont="1" applyBorder="1" applyAlignment="1">
      <alignment horizontal="right"/>
      <protection/>
    </xf>
    <xf numFmtId="164" fontId="13" fillId="2" borderId="6" xfId="20" applyFont="1" applyFill="1" applyBorder="1" applyAlignment="1">
      <alignment horizontal="center"/>
      <protection/>
    </xf>
    <xf numFmtId="164" fontId="13" fillId="2" borderId="37" xfId="20" applyFont="1" applyFill="1" applyBorder="1" applyAlignment="1">
      <alignment horizontal="center" vertical="center"/>
      <protection/>
    </xf>
    <xf numFmtId="164" fontId="13" fillId="2" borderId="42" xfId="20" applyFont="1" applyFill="1" applyBorder="1" applyAlignment="1">
      <alignment horizontal="center" vertical="center"/>
      <protection/>
    </xf>
    <xf numFmtId="164" fontId="13" fillId="2" borderId="11" xfId="20" applyFont="1" applyFill="1" applyBorder="1" applyAlignment="1">
      <alignment horizontal="center" vertical="center"/>
      <protection/>
    </xf>
    <xf numFmtId="164" fontId="13" fillId="2" borderId="13" xfId="20" applyFont="1" applyFill="1" applyBorder="1" applyAlignment="1">
      <alignment horizontal="center" vertical="center"/>
      <protection/>
    </xf>
    <xf numFmtId="164" fontId="15" fillId="0" borderId="31" xfId="20" applyFont="1" applyBorder="1" applyAlignment="1">
      <alignment horizontal="center"/>
      <protection/>
    </xf>
    <xf numFmtId="164" fontId="15" fillId="0" borderId="37" xfId="20" applyFont="1" applyBorder="1" applyAlignment="1">
      <alignment horizontal="center"/>
      <protection/>
    </xf>
    <xf numFmtId="164" fontId="15" fillId="0" borderId="57" xfId="20" applyFont="1" applyBorder="1" applyAlignment="1">
      <alignment horizontal="center"/>
      <protection/>
    </xf>
    <xf numFmtId="164" fontId="15" fillId="0" borderId="63" xfId="20" applyFont="1" applyBorder="1" applyAlignment="1">
      <alignment horizontal="center"/>
      <protection/>
    </xf>
    <xf numFmtId="164" fontId="19" fillId="0" borderId="31" xfId="20" applyFont="1" applyBorder="1" applyAlignment="1">
      <alignment horizontal="center" vertical="center"/>
      <protection/>
    </xf>
    <xf numFmtId="164" fontId="19" fillId="0" borderId="37" xfId="20" applyFont="1" applyBorder="1" applyAlignment="1">
      <alignment horizontal="center" vertical="center"/>
      <protection/>
    </xf>
    <xf numFmtId="164" fontId="19" fillId="0" borderId="37" xfId="20" applyFont="1" applyBorder="1" applyAlignment="1">
      <alignment horizontal="left" vertical="center"/>
      <protection/>
    </xf>
    <xf numFmtId="166" fontId="19" fillId="0" borderId="37" xfId="20" applyNumberFormat="1" applyFont="1" applyBorder="1" applyAlignment="1">
      <alignment horizontal="right" vertical="center"/>
      <protection/>
    </xf>
    <xf numFmtId="166" fontId="19" fillId="0" borderId="42" xfId="20" applyNumberFormat="1" applyFont="1" applyBorder="1" applyAlignment="1">
      <alignment horizontal="right" vertical="center"/>
      <protection/>
    </xf>
    <xf numFmtId="164" fontId="13" fillId="0" borderId="50" xfId="20" applyFont="1" applyBorder="1" applyAlignment="1">
      <alignment horizontal="center" vertical="center"/>
      <protection/>
    </xf>
    <xf numFmtId="164" fontId="13" fillId="0" borderId="7" xfId="20" applyFont="1" applyBorder="1" applyAlignment="1">
      <alignment horizontal="center" vertical="center"/>
      <protection/>
    </xf>
    <xf numFmtId="164" fontId="13" fillId="0" borderId="7" xfId="20" applyFont="1" applyBorder="1" applyAlignment="1">
      <alignment horizontal="left" vertical="center"/>
      <protection/>
    </xf>
    <xf numFmtId="166" fontId="13" fillId="0" borderId="7" xfId="20" applyNumberFormat="1" applyFont="1" applyBorder="1" applyAlignment="1">
      <alignment horizontal="right" vertical="center"/>
      <protection/>
    </xf>
    <xf numFmtId="166" fontId="13" fillId="0" borderId="8" xfId="20" applyNumberFormat="1" applyFont="1" applyBorder="1" applyAlignment="1">
      <alignment horizontal="right" vertical="center"/>
      <protection/>
    </xf>
    <xf numFmtId="164" fontId="13" fillId="0" borderId="52" xfId="20" applyFont="1" applyBorder="1" applyAlignment="1">
      <alignment horizontal="center" vertical="center"/>
      <protection/>
    </xf>
    <xf numFmtId="164" fontId="13" fillId="0" borderId="52" xfId="20" applyFont="1" applyFill="1" applyBorder="1">
      <alignment/>
      <protection/>
    </xf>
    <xf numFmtId="166" fontId="13" fillId="0" borderId="52" xfId="20" applyNumberFormat="1" applyFont="1" applyBorder="1" applyAlignment="1">
      <alignment horizontal="right" vertical="center"/>
      <protection/>
    </xf>
    <xf numFmtId="166" fontId="13" fillId="0" borderId="22" xfId="20" applyNumberFormat="1" applyFont="1" applyBorder="1" applyAlignment="1">
      <alignment horizontal="right" vertical="center"/>
      <protection/>
    </xf>
    <xf numFmtId="166" fontId="13" fillId="0" borderId="52" xfId="20" applyNumberFormat="1" applyFont="1" applyBorder="1" applyAlignment="1">
      <alignment horizontal="center" vertical="center"/>
      <protection/>
    </xf>
    <xf numFmtId="164" fontId="13" fillId="0" borderId="51" xfId="20" applyFont="1" applyBorder="1" applyAlignment="1">
      <alignment horizontal="center" vertical="center"/>
      <protection/>
    </xf>
    <xf numFmtId="166" fontId="13" fillId="0" borderId="51" xfId="20" applyNumberFormat="1" applyFont="1" applyFill="1" applyBorder="1" applyAlignment="1">
      <alignment horizontal="center" vertical="center"/>
      <protection/>
    </xf>
    <xf numFmtId="166" fontId="13" fillId="0" borderId="23" xfId="20" applyNumberFormat="1" applyFont="1" applyFill="1" applyBorder="1" applyAlignment="1">
      <alignment horizontal="right" vertical="center"/>
      <protection/>
    </xf>
    <xf numFmtId="166" fontId="13" fillId="0" borderId="51" xfId="20" applyNumberFormat="1" applyFont="1" applyFill="1" applyBorder="1" applyAlignment="1">
      <alignment horizontal="right" vertical="center"/>
      <protection/>
    </xf>
    <xf numFmtId="164" fontId="13" fillId="0" borderId="51" xfId="20" applyFont="1" applyFill="1" applyBorder="1" applyAlignment="1">
      <alignment horizontal="center" vertical="center"/>
      <protection/>
    </xf>
    <xf numFmtId="164" fontId="13" fillId="0" borderId="23" xfId="20" applyFont="1" applyFill="1" applyBorder="1" applyAlignment="1">
      <alignment horizontal="center" vertical="center"/>
      <protection/>
    </xf>
    <xf numFmtId="164" fontId="19" fillId="0" borderId="40" xfId="20" applyFont="1" applyBorder="1" applyAlignment="1">
      <alignment horizontal="center" vertical="center"/>
      <protection/>
    </xf>
    <xf numFmtId="164" fontId="19" fillId="0" borderId="53" xfId="20" applyFont="1" applyBorder="1" applyAlignment="1">
      <alignment horizontal="center" vertical="center"/>
      <protection/>
    </xf>
    <xf numFmtId="164" fontId="19" fillId="0" borderId="54" xfId="20" applyFont="1" applyBorder="1" applyAlignment="1">
      <alignment horizontal="center" vertical="center"/>
      <protection/>
    </xf>
    <xf numFmtId="164" fontId="19" fillId="0" borderId="54" xfId="20" applyFont="1" applyFill="1" applyBorder="1">
      <alignment/>
      <protection/>
    </xf>
    <xf numFmtId="164" fontId="19" fillId="0" borderId="53" xfId="20" applyFont="1" applyFill="1" applyBorder="1" applyAlignment="1">
      <alignment horizontal="right" vertical="center"/>
      <protection/>
    </xf>
    <xf numFmtId="166" fontId="19" fillId="0" borderId="46" xfId="20" applyNumberFormat="1" applyFont="1" applyFill="1" applyBorder="1" applyAlignment="1">
      <alignment horizontal="right" vertical="center"/>
      <protection/>
    </xf>
    <xf numFmtId="164" fontId="13" fillId="0" borderId="3" xfId="20" applyFont="1" applyBorder="1" applyAlignment="1">
      <alignment horizontal="center" vertical="center"/>
      <protection/>
    </xf>
    <xf numFmtId="164" fontId="13" fillId="0" borderId="59" xfId="20" applyFont="1" applyBorder="1" applyAlignment="1">
      <alignment horizontal="center" vertical="center"/>
      <protection/>
    </xf>
    <xf numFmtId="164" fontId="13" fillId="0" borderId="3" xfId="20" applyFont="1" applyFill="1" applyBorder="1">
      <alignment/>
      <protection/>
    </xf>
    <xf numFmtId="164" fontId="13" fillId="0" borderId="59" xfId="20" applyFont="1" applyFill="1" applyBorder="1" applyAlignment="1">
      <alignment horizontal="right" vertical="center"/>
      <protection/>
    </xf>
    <xf numFmtId="166" fontId="13" fillId="0" borderId="64" xfId="20" applyNumberFormat="1" applyFont="1" applyFill="1" applyBorder="1" applyAlignment="1">
      <alignment horizontal="right" vertical="center"/>
      <protection/>
    </xf>
    <xf numFmtId="164" fontId="13" fillId="0" borderId="51" xfId="20" applyFont="1" applyFill="1" applyBorder="1">
      <alignment/>
      <protection/>
    </xf>
    <xf numFmtId="164" fontId="13" fillId="0" borderId="51" xfId="20" applyFont="1" applyFill="1" applyBorder="1" applyAlignment="1">
      <alignment horizontal="right" vertical="center"/>
      <protection/>
    </xf>
    <xf numFmtId="168" fontId="13" fillId="0" borderId="51" xfId="20" applyNumberFormat="1" applyFont="1" applyFill="1" applyBorder="1" applyAlignment="1">
      <alignment horizontal="center"/>
      <protection/>
    </xf>
    <xf numFmtId="168" fontId="19" fillId="0" borderId="53" xfId="20" applyNumberFormat="1" applyFont="1" applyFill="1" applyBorder="1" applyAlignment="1">
      <alignment horizontal="center"/>
      <protection/>
    </xf>
    <xf numFmtId="164" fontId="19" fillId="0" borderId="53" xfId="20" applyFont="1" applyFill="1" applyBorder="1" applyAlignment="1">
      <alignment horizontal="center" vertical="center"/>
      <protection/>
    </xf>
    <xf numFmtId="168" fontId="13" fillId="0" borderId="61" xfId="20" applyNumberFormat="1" applyFont="1" applyFill="1" applyBorder="1" applyAlignment="1">
      <alignment horizontal="center"/>
      <protection/>
    </xf>
    <xf numFmtId="164" fontId="13" fillId="0" borderId="7" xfId="20" applyFont="1" applyFill="1" applyBorder="1">
      <alignment/>
      <protection/>
    </xf>
    <xf numFmtId="164" fontId="13" fillId="0" borderId="61" xfId="20" applyFont="1" applyFill="1" applyBorder="1" applyAlignment="1">
      <alignment horizontal="center" vertical="center"/>
      <protection/>
    </xf>
    <xf numFmtId="166" fontId="13" fillId="0" borderId="65" xfId="20" applyNumberFormat="1" applyFont="1" applyFill="1" applyBorder="1" applyAlignment="1">
      <alignment horizontal="right" vertical="center"/>
      <protection/>
    </xf>
    <xf numFmtId="164" fontId="19" fillId="0" borderId="31" xfId="20" applyFont="1" applyBorder="1" applyAlignment="1">
      <alignment horizontal="center"/>
      <protection/>
    </xf>
    <xf numFmtId="164" fontId="19" fillId="0" borderId="57" xfId="20" applyFont="1" applyBorder="1" applyAlignment="1">
      <alignment horizontal="center"/>
      <protection/>
    </xf>
    <xf numFmtId="164" fontId="19" fillId="0" borderId="57" xfId="20" applyFont="1" applyBorder="1">
      <alignment/>
      <protection/>
    </xf>
    <xf numFmtId="164" fontId="19" fillId="0" borderId="37" xfId="20" applyFont="1" applyFill="1" applyBorder="1">
      <alignment/>
      <protection/>
    </xf>
    <xf numFmtId="166" fontId="19" fillId="0" borderId="57" xfId="20" applyNumberFormat="1" applyFont="1" applyFill="1" applyBorder="1">
      <alignment/>
      <protection/>
    </xf>
    <xf numFmtId="166" fontId="19" fillId="0" borderId="63" xfId="20" applyNumberFormat="1" applyFont="1" applyFill="1" applyBorder="1">
      <alignment/>
      <protection/>
    </xf>
    <xf numFmtId="164" fontId="19" fillId="0" borderId="50" xfId="20" applyFont="1" applyBorder="1" applyAlignment="1">
      <alignment horizontal="center"/>
      <protection/>
    </xf>
    <xf numFmtId="164" fontId="13" fillId="0" borderId="7" xfId="20" applyFont="1" applyBorder="1" applyAlignment="1">
      <alignment horizontal="center"/>
      <protection/>
    </xf>
    <xf numFmtId="164" fontId="13" fillId="0" borderId="61" xfId="20" applyFont="1" applyBorder="1">
      <alignment/>
      <protection/>
    </xf>
    <xf numFmtId="164" fontId="13" fillId="0" borderId="61" xfId="20" applyFont="1" applyFill="1" applyBorder="1">
      <alignment/>
      <protection/>
    </xf>
    <xf numFmtId="166" fontId="13" fillId="0" borderId="7" xfId="20" applyNumberFormat="1" applyFont="1" applyFill="1" applyBorder="1">
      <alignment/>
      <protection/>
    </xf>
    <xf numFmtId="166" fontId="13" fillId="0" borderId="65" xfId="20" applyNumberFormat="1" applyFont="1" applyFill="1" applyBorder="1">
      <alignment/>
      <protection/>
    </xf>
    <xf numFmtId="164" fontId="19" fillId="0" borderId="52" xfId="20" applyFont="1" applyBorder="1" applyAlignment="1">
      <alignment horizontal="center"/>
      <protection/>
    </xf>
    <xf numFmtId="164" fontId="13" fillId="0" borderId="51" xfId="20" applyFont="1" applyBorder="1" applyAlignment="1">
      <alignment horizontal="center"/>
      <protection/>
    </xf>
    <xf numFmtId="166" fontId="13" fillId="0" borderId="52" xfId="20" applyNumberFormat="1" applyFont="1" applyFill="1" applyBorder="1">
      <alignment/>
      <protection/>
    </xf>
    <xf numFmtId="166" fontId="19" fillId="0" borderId="23" xfId="20" applyNumberFormat="1" applyFont="1" applyFill="1" applyBorder="1">
      <alignment/>
      <protection/>
    </xf>
    <xf numFmtId="166" fontId="13" fillId="0" borderId="23" xfId="20" applyNumberFormat="1" applyFont="1" applyFill="1" applyBorder="1">
      <alignment/>
      <protection/>
    </xf>
    <xf numFmtId="164" fontId="13" fillId="0" borderId="50" xfId="20" applyFont="1" applyBorder="1" applyAlignment="1">
      <alignment horizontal="center"/>
      <protection/>
    </xf>
    <xf numFmtId="164" fontId="13" fillId="0" borderId="3" xfId="20" applyFont="1" applyBorder="1" applyAlignment="1">
      <alignment horizontal="center"/>
      <protection/>
    </xf>
    <xf numFmtId="164" fontId="13" fillId="0" borderId="59" xfId="20" applyFont="1" applyBorder="1">
      <alignment/>
      <protection/>
    </xf>
    <xf numFmtId="164" fontId="13" fillId="0" borderId="59" xfId="20" applyFont="1" applyFill="1" applyBorder="1">
      <alignment/>
      <protection/>
    </xf>
    <xf numFmtId="166" fontId="13" fillId="0" borderId="3" xfId="20" applyNumberFormat="1" applyFont="1" applyFill="1" applyBorder="1">
      <alignment/>
      <protection/>
    </xf>
    <xf numFmtId="166" fontId="13" fillId="0" borderId="64" xfId="20" applyNumberFormat="1" applyFont="1" applyFill="1" applyBorder="1">
      <alignment/>
      <protection/>
    </xf>
    <xf numFmtId="164" fontId="13" fillId="0" borderId="50" xfId="20" applyFont="1" applyBorder="1">
      <alignment/>
      <protection/>
    </xf>
    <xf numFmtId="164" fontId="13" fillId="0" borderId="52" xfId="20" applyFont="1" applyBorder="1">
      <alignment/>
      <protection/>
    </xf>
    <xf numFmtId="164" fontId="13" fillId="0" borderId="3" xfId="20" applyFont="1" applyBorder="1">
      <alignment/>
      <protection/>
    </xf>
    <xf numFmtId="164" fontId="13" fillId="0" borderId="59" xfId="20" applyFont="1" applyBorder="1" applyAlignment="1">
      <alignment horizontal="center"/>
      <protection/>
    </xf>
    <xf numFmtId="164" fontId="13" fillId="0" borderId="30" xfId="20" applyFont="1" applyFill="1" applyBorder="1">
      <alignment/>
      <protection/>
    </xf>
    <xf numFmtId="164" fontId="19" fillId="0" borderId="31" xfId="20" applyFont="1" applyBorder="1">
      <alignment/>
      <protection/>
    </xf>
    <xf numFmtId="164" fontId="19" fillId="0" borderId="37" xfId="20" applyFont="1" applyBorder="1">
      <alignment/>
      <protection/>
    </xf>
    <xf numFmtId="164" fontId="18" fillId="0" borderId="66" xfId="20" applyFont="1" applyFill="1" applyBorder="1">
      <alignment/>
      <protection/>
    </xf>
    <xf numFmtId="166" fontId="19" fillId="0" borderId="37" xfId="20" applyNumberFormat="1" applyFont="1" applyFill="1" applyBorder="1">
      <alignment/>
      <protection/>
    </xf>
    <xf numFmtId="164" fontId="13" fillId="0" borderId="7" xfId="20" applyFont="1" applyBorder="1">
      <alignment/>
      <protection/>
    </xf>
    <xf numFmtId="164" fontId="13" fillId="0" borderId="61" xfId="20" applyFont="1" applyBorder="1" applyAlignment="1">
      <alignment horizontal="center"/>
      <protection/>
    </xf>
    <xf numFmtId="164" fontId="13" fillId="0" borderId="67" xfId="20" applyFont="1" applyFill="1" applyBorder="1">
      <alignment/>
      <protection/>
    </xf>
    <xf numFmtId="164" fontId="1" fillId="0" borderId="30" xfId="20" applyFont="1" applyFill="1" applyBorder="1">
      <alignment/>
      <protection/>
    </xf>
    <xf numFmtId="164" fontId="19" fillId="0" borderId="40" xfId="20" applyFont="1" applyBorder="1">
      <alignment/>
      <protection/>
    </xf>
    <xf numFmtId="164" fontId="19" fillId="0" borderId="54" xfId="20" applyFont="1" applyBorder="1">
      <alignment/>
      <protection/>
    </xf>
    <xf numFmtId="164" fontId="19" fillId="0" borderId="53" xfId="20" applyFont="1" applyBorder="1" applyAlignment="1">
      <alignment horizontal="center"/>
      <protection/>
    </xf>
    <xf numFmtId="164" fontId="19" fillId="0" borderId="53" xfId="20" applyFont="1" applyFill="1" applyBorder="1">
      <alignment/>
      <protection/>
    </xf>
    <xf numFmtId="166" fontId="19" fillId="0" borderId="54" xfId="20" applyNumberFormat="1" applyFont="1" applyFill="1" applyBorder="1">
      <alignment/>
      <protection/>
    </xf>
    <xf numFmtId="166" fontId="19" fillId="0" borderId="46" xfId="20" applyNumberFormat="1" applyFont="1" applyFill="1" applyBorder="1">
      <alignment/>
      <protection/>
    </xf>
    <xf numFmtId="164" fontId="18" fillId="0" borderId="37" xfId="20" applyFont="1" applyFill="1" applyBorder="1">
      <alignment/>
      <protection/>
    </xf>
    <xf numFmtId="164" fontId="1" fillId="0" borderId="29" xfId="20" applyFont="1" applyFill="1" applyBorder="1">
      <alignment/>
      <protection/>
    </xf>
    <xf numFmtId="164" fontId="13" fillId="0" borderId="39" xfId="20" applyFont="1" applyBorder="1">
      <alignment/>
      <protection/>
    </xf>
    <xf numFmtId="164" fontId="18" fillId="2" borderId="40" xfId="20" applyFont="1" applyFill="1" applyBorder="1">
      <alignment/>
      <protection/>
    </xf>
    <xf numFmtId="166" fontId="18" fillId="2" borderId="56" xfId="20" applyNumberFormat="1" applyFont="1" applyFill="1" applyBorder="1">
      <alignment/>
      <protection/>
    </xf>
    <xf numFmtId="166" fontId="18" fillId="2" borderId="68" xfId="20" applyNumberFormat="1" applyFont="1" applyFill="1" applyBorder="1">
      <alignment/>
      <protection/>
    </xf>
    <xf numFmtId="164" fontId="1" fillId="2" borderId="6" xfId="20" applyFont="1" applyFill="1" applyBorder="1">
      <alignment/>
      <protection/>
    </xf>
    <xf numFmtId="164" fontId="1" fillId="2" borderId="7" xfId="20" applyFont="1" applyFill="1" applyBorder="1">
      <alignment/>
      <protection/>
    </xf>
    <xf numFmtId="166" fontId="1" fillId="2" borderId="8" xfId="20" applyNumberFormat="1" applyFont="1" applyFill="1" applyBorder="1">
      <alignment/>
      <protection/>
    </xf>
    <xf numFmtId="168" fontId="1" fillId="2" borderId="50" xfId="20" applyNumberFormat="1" applyFont="1" applyFill="1" applyBorder="1">
      <alignment/>
      <protection/>
    </xf>
    <xf numFmtId="164" fontId="1" fillId="2" borderId="52" xfId="20" applyFont="1" applyFill="1" applyBorder="1">
      <alignment/>
      <protection/>
    </xf>
    <xf numFmtId="166" fontId="1" fillId="2" borderId="22" xfId="20" applyNumberFormat="1" applyFont="1" applyFill="1" applyBorder="1">
      <alignment/>
      <protection/>
    </xf>
    <xf numFmtId="168" fontId="1" fillId="2" borderId="39" xfId="20" applyNumberFormat="1" applyFont="1" applyFill="1" applyBorder="1">
      <alignment/>
      <protection/>
    </xf>
    <xf numFmtId="164" fontId="1" fillId="2" borderId="3" xfId="20" applyFont="1" applyFill="1" applyBorder="1">
      <alignment/>
      <protection/>
    </xf>
    <xf numFmtId="166" fontId="1" fillId="2" borderId="60" xfId="20" applyNumberFormat="1" applyFont="1" applyFill="1" applyBorder="1">
      <alignment/>
      <protection/>
    </xf>
    <xf numFmtId="168" fontId="1" fillId="2" borderId="40" xfId="20" applyNumberFormat="1" applyFont="1" applyFill="1" applyBorder="1">
      <alignment/>
      <protection/>
    </xf>
    <xf numFmtId="164" fontId="1" fillId="2" borderId="54" xfId="20" applyFont="1" applyFill="1" applyBorder="1">
      <alignment/>
      <protection/>
    </xf>
    <xf numFmtId="166" fontId="1" fillId="2" borderId="56" xfId="20" applyNumberFormat="1" applyFont="1" applyFill="1" applyBorder="1">
      <alignment/>
      <protection/>
    </xf>
    <xf numFmtId="164" fontId="13" fillId="0" borderId="0" xfId="20" applyFont="1" applyBorder="1" applyAlignment="1">
      <alignment horizontal="left"/>
      <protection/>
    </xf>
    <xf numFmtId="164" fontId="18" fillId="0" borderId="31" xfId="20" applyFont="1" applyBorder="1">
      <alignment/>
      <protection/>
    </xf>
    <xf numFmtId="164" fontId="18" fillId="0" borderId="37" xfId="20" applyFont="1" applyBorder="1">
      <alignment/>
      <protection/>
    </xf>
    <xf numFmtId="166" fontId="18" fillId="0" borderId="37" xfId="20" applyNumberFormat="1" applyFont="1" applyBorder="1">
      <alignment/>
      <protection/>
    </xf>
    <xf numFmtId="166" fontId="18" fillId="0" borderId="42" xfId="20" applyNumberFormat="1" applyFont="1" applyBorder="1">
      <alignment/>
      <protection/>
    </xf>
    <xf numFmtId="164" fontId="1" fillId="0" borderId="50" xfId="20" applyBorder="1">
      <alignment/>
      <protection/>
    </xf>
    <xf numFmtId="164" fontId="1" fillId="0" borderId="7" xfId="20" applyBorder="1">
      <alignment/>
      <protection/>
    </xf>
    <xf numFmtId="166" fontId="1" fillId="0" borderId="7" xfId="20" applyNumberFormat="1" applyBorder="1">
      <alignment/>
      <protection/>
    </xf>
    <xf numFmtId="166" fontId="1" fillId="0" borderId="8" xfId="20" applyNumberFormat="1" applyBorder="1">
      <alignment/>
      <protection/>
    </xf>
    <xf numFmtId="164" fontId="1" fillId="0" borderId="52" xfId="20" applyBorder="1">
      <alignment/>
      <protection/>
    </xf>
    <xf numFmtId="166" fontId="1" fillId="0" borderId="52" xfId="20" applyNumberFormat="1" applyBorder="1">
      <alignment/>
      <protection/>
    </xf>
    <xf numFmtId="166" fontId="1" fillId="0" borderId="22" xfId="20" applyNumberFormat="1" applyBorder="1">
      <alignment/>
      <protection/>
    </xf>
    <xf numFmtId="164" fontId="1" fillId="3" borderId="40" xfId="20" applyFill="1" applyBorder="1">
      <alignment/>
      <protection/>
    </xf>
    <xf numFmtId="164" fontId="1" fillId="3" borderId="54" xfId="20" applyFill="1" applyBorder="1">
      <alignment/>
      <protection/>
    </xf>
    <xf numFmtId="164" fontId="18" fillId="3" borderId="40" xfId="20" applyFont="1" applyFill="1" applyBorder="1">
      <alignment/>
      <protection/>
    </xf>
    <xf numFmtId="164" fontId="16" fillId="0" borderId="0" xfId="20" applyFont="1" applyAlignment="1">
      <alignment horizontal="center" vertic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0" xfId="20" applyFont="1" applyAlignment="1">
      <alignment horizontal="center" vertical="center"/>
      <protection/>
    </xf>
    <xf numFmtId="164" fontId="11" fillId="0" borderId="0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right" vertical="top"/>
      <protection/>
    </xf>
    <xf numFmtId="164" fontId="5" fillId="2" borderId="69" xfId="20" applyFont="1" applyFill="1" applyBorder="1" applyAlignment="1">
      <alignment horizontal="center" vertical="center"/>
      <protection/>
    </xf>
    <xf numFmtId="164" fontId="5" fillId="2" borderId="36" xfId="20" applyFont="1" applyFill="1" applyBorder="1" applyAlignment="1">
      <alignment horizontal="center" vertical="center"/>
      <protection/>
    </xf>
    <xf numFmtId="164" fontId="5" fillId="2" borderId="70" xfId="20" applyFont="1" applyFill="1" applyBorder="1" applyAlignment="1">
      <alignment horizontal="center" vertical="center"/>
      <protection/>
    </xf>
    <xf numFmtId="164" fontId="5" fillId="2" borderId="71" xfId="20" applyFont="1" applyFill="1" applyBorder="1" applyAlignment="1">
      <alignment horizontal="center" vertical="center"/>
      <protection/>
    </xf>
    <xf numFmtId="164" fontId="5" fillId="2" borderId="68" xfId="20" applyFont="1" applyFill="1" applyBorder="1" applyAlignment="1">
      <alignment horizontal="center" vertical="center"/>
      <protection/>
    </xf>
    <xf numFmtId="164" fontId="0" fillId="0" borderId="36" xfId="20" applyFont="1" applyBorder="1" applyAlignment="1">
      <alignment horizontal="center" vertical="center"/>
      <protection/>
    </xf>
    <xf numFmtId="164" fontId="0" fillId="0" borderId="70" xfId="20" applyFont="1" applyBorder="1" applyAlignment="1">
      <alignment horizontal="center" vertical="center"/>
      <protection/>
    </xf>
    <xf numFmtId="164" fontId="0" fillId="0" borderId="70" xfId="20" applyFont="1" applyBorder="1" applyAlignment="1">
      <alignment vertical="center"/>
      <protection/>
    </xf>
    <xf numFmtId="166" fontId="0" fillId="0" borderId="70" xfId="20" applyNumberFormat="1" applyFont="1" applyBorder="1" applyAlignment="1">
      <alignment vertical="center"/>
      <protection/>
    </xf>
    <xf numFmtId="164" fontId="0" fillId="0" borderId="72" xfId="20" applyFont="1" applyBorder="1" applyAlignment="1">
      <alignment horizontal="center" vertical="center"/>
      <protection/>
    </xf>
    <xf numFmtId="164" fontId="0" fillId="0" borderId="72" xfId="20" applyFont="1" applyBorder="1" applyAlignment="1">
      <alignment vertical="center"/>
      <protection/>
    </xf>
    <xf numFmtId="166" fontId="0" fillId="0" borderId="72" xfId="20" applyNumberFormat="1" applyFont="1" applyBorder="1" applyAlignment="1">
      <alignment vertical="center"/>
      <protection/>
    </xf>
    <xf numFmtId="164" fontId="0" fillId="0" borderId="68" xfId="20" applyFont="1" applyBorder="1" applyAlignment="1">
      <alignment horizontal="center" vertical="center"/>
      <protection/>
    </xf>
    <xf numFmtId="164" fontId="0" fillId="0" borderId="68" xfId="20" applyFont="1" applyBorder="1" applyAlignment="1">
      <alignment vertical="center"/>
      <protection/>
    </xf>
    <xf numFmtId="166" fontId="0" fillId="0" borderId="68" xfId="20" applyNumberFormat="1" applyFont="1" applyBorder="1" applyAlignment="1">
      <alignment vertical="center"/>
      <protection/>
    </xf>
    <xf numFmtId="164" fontId="5" fillId="2" borderId="69" xfId="20" applyFont="1" applyFill="1" applyBorder="1" applyAlignment="1">
      <alignment vertical="center"/>
      <protection/>
    </xf>
    <xf numFmtId="164" fontId="0" fillId="2" borderId="69" xfId="20" applyFont="1" applyFill="1" applyBorder="1" applyAlignment="1">
      <alignment horizontal="center" vertical="center"/>
      <protection/>
    </xf>
    <xf numFmtId="166" fontId="0" fillId="2" borderId="69" xfId="20" applyNumberFormat="1" applyFont="1" applyFill="1" applyBorder="1" applyAlignment="1">
      <alignment vertical="center"/>
      <protection/>
    </xf>
    <xf numFmtId="164" fontId="5" fillId="0" borderId="36" xfId="20" applyFont="1" applyBorder="1" applyAlignment="1">
      <alignment horizontal="center" vertical="center"/>
      <protection/>
    </xf>
    <xf numFmtId="166" fontId="0" fillId="0" borderId="36" xfId="20" applyNumberFormat="1" applyFont="1" applyBorder="1" applyAlignment="1">
      <alignment vertical="center"/>
      <protection/>
    </xf>
    <xf numFmtId="164" fontId="0" fillId="0" borderId="73" xfId="20" applyFont="1" applyBorder="1" applyAlignment="1">
      <alignment horizontal="center" vertical="center"/>
      <protection/>
    </xf>
    <xf numFmtId="164" fontId="0" fillId="0" borderId="73" xfId="20" applyFont="1" applyBorder="1" applyAlignment="1">
      <alignment vertical="center"/>
      <protection/>
    </xf>
    <xf numFmtId="166" fontId="0" fillId="0" borderId="73" xfId="20" applyNumberFormat="1" applyFont="1" applyBorder="1" applyAlignment="1">
      <alignment vertical="center"/>
      <protection/>
    </xf>
    <xf numFmtId="164" fontId="0" fillId="0" borderId="72" xfId="20" applyFont="1" applyBorder="1" applyAlignment="1">
      <alignment vertical="center" wrapText="1"/>
      <protection/>
    </xf>
    <xf numFmtId="164" fontId="0" fillId="0" borderId="74" xfId="20" applyFont="1" applyBorder="1" applyAlignment="1">
      <alignment horizontal="center" vertical="center"/>
      <protection/>
    </xf>
    <xf numFmtId="164" fontId="0" fillId="0" borderId="74" xfId="20" applyFont="1" applyBorder="1" applyAlignment="1">
      <alignment vertical="center"/>
      <protection/>
    </xf>
    <xf numFmtId="166" fontId="0" fillId="0" borderId="74" xfId="20" applyNumberFormat="1" applyFont="1" applyBorder="1" applyAlignment="1">
      <alignment vertical="center"/>
      <protection/>
    </xf>
    <xf numFmtId="164" fontId="0" fillId="0" borderId="75" xfId="20" applyFont="1" applyBorder="1" applyAlignment="1">
      <alignment vertical="center"/>
      <protection/>
    </xf>
    <xf numFmtId="164" fontId="0" fillId="0" borderId="75" xfId="20" applyFont="1" applyBorder="1" applyAlignment="1">
      <alignment horizontal="center" vertical="center"/>
      <protection/>
    </xf>
    <xf numFmtId="166" fontId="0" fillId="0" borderId="75" xfId="20" applyNumberFormat="1" applyFont="1" applyBorder="1" applyAlignment="1">
      <alignment vertical="center"/>
      <protection/>
    </xf>
    <xf numFmtId="164" fontId="0" fillId="0" borderId="15" xfId="20" applyFont="1" applyBorder="1" applyAlignment="1">
      <alignment horizontal="center" vertical="center"/>
      <protection/>
    </xf>
    <xf numFmtId="164" fontId="0" fillId="0" borderId="15" xfId="20" applyFont="1" applyBorder="1" applyAlignment="1">
      <alignment vertical="center"/>
      <protection/>
    </xf>
    <xf numFmtId="166" fontId="0" fillId="0" borderId="15" xfId="20" applyNumberFormat="1" applyFont="1" applyBorder="1" applyAlignment="1">
      <alignment vertical="center"/>
      <protection/>
    </xf>
    <xf numFmtId="164" fontId="1" fillId="0" borderId="0" xfId="20" applyBorder="1" applyAlignment="1">
      <alignment horizontal="center" vertical="center"/>
      <protection/>
    </xf>
    <xf numFmtId="164" fontId="1" fillId="0" borderId="0" xfId="20" applyBorder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1" fillId="0" borderId="0" xfId="20" applyFont="1" applyAlignment="1">
      <alignment horizontal="right" vertical="center"/>
      <protection/>
    </xf>
    <xf numFmtId="164" fontId="18" fillId="2" borderId="6" xfId="20" applyFont="1" applyFill="1" applyBorder="1" applyAlignment="1">
      <alignment horizontal="center" vertical="center"/>
      <protection/>
    </xf>
    <xf numFmtId="164" fontId="18" fillId="2" borderId="7" xfId="20" applyFont="1" applyFill="1" applyBorder="1" applyAlignment="1">
      <alignment horizontal="center" vertical="center"/>
      <protection/>
    </xf>
    <xf numFmtId="164" fontId="18" fillId="2" borderId="8" xfId="20" applyFont="1" applyFill="1" applyBorder="1" applyAlignment="1">
      <alignment horizontal="center" vertical="center"/>
      <protection/>
    </xf>
    <xf numFmtId="164" fontId="18" fillId="2" borderId="1" xfId="20" applyFont="1" applyFill="1" applyBorder="1" applyAlignment="1">
      <alignment horizontal="center" vertical="center"/>
      <protection/>
    </xf>
    <xf numFmtId="164" fontId="18" fillId="2" borderId="9" xfId="20" applyFont="1" applyFill="1" applyBorder="1" applyAlignment="1">
      <alignment horizontal="center" vertical="center"/>
      <protection/>
    </xf>
    <xf numFmtId="164" fontId="21" fillId="0" borderId="10" xfId="20" applyFont="1" applyBorder="1" applyAlignment="1">
      <alignment horizontal="center" vertical="center"/>
      <protection/>
    </xf>
    <xf numFmtId="164" fontId="21" fillId="0" borderId="1" xfId="20" applyFont="1" applyBorder="1" applyAlignment="1">
      <alignment horizontal="center" vertical="center"/>
      <protection/>
    </xf>
    <xf numFmtId="164" fontId="21" fillId="0" borderId="9" xfId="20" applyFont="1" applyBorder="1" applyAlignment="1">
      <alignment horizontal="center" vertical="center"/>
      <protection/>
    </xf>
    <xf numFmtId="164" fontId="21" fillId="0" borderId="0" xfId="20" applyFont="1">
      <alignment/>
      <protection/>
    </xf>
    <xf numFmtId="164" fontId="18" fillId="0" borderId="15" xfId="20" applyFont="1" applyBorder="1" applyAlignment="1">
      <alignment horizontal="left"/>
      <protection/>
    </xf>
    <xf numFmtId="164" fontId="1" fillId="0" borderId="39" xfId="20" applyFont="1" applyFill="1" applyBorder="1">
      <alignment/>
      <protection/>
    </xf>
    <xf numFmtId="166" fontId="1" fillId="0" borderId="3" xfId="20" applyNumberFormat="1" applyFont="1" applyFill="1" applyBorder="1">
      <alignment/>
      <protection/>
    </xf>
    <xf numFmtId="164" fontId="1" fillId="0" borderId="10" xfId="20" applyFont="1" applyFill="1" applyBorder="1">
      <alignment/>
      <protection/>
    </xf>
    <xf numFmtId="164" fontId="1" fillId="0" borderId="1" xfId="20" applyFont="1" applyFill="1" applyBorder="1">
      <alignment/>
      <protection/>
    </xf>
    <xf numFmtId="166" fontId="1" fillId="0" borderId="1" xfId="20" applyNumberFormat="1" applyFont="1" applyFill="1" applyBorder="1">
      <alignment/>
      <protection/>
    </xf>
    <xf numFmtId="166" fontId="1" fillId="0" borderId="9" xfId="20" applyNumberFormat="1" applyFont="1" applyFill="1" applyBorder="1">
      <alignment/>
      <protection/>
    </xf>
    <xf numFmtId="164" fontId="18" fillId="0" borderId="70" xfId="20" applyFont="1" applyFill="1" applyBorder="1" applyAlignment="1">
      <alignment horizontal="left"/>
      <protection/>
    </xf>
    <xf numFmtId="164" fontId="1" fillId="0" borderId="6" xfId="20" applyFont="1" applyFill="1" applyBorder="1" applyAlignment="1">
      <alignment horizontal="left"/>
      <protection/>
    </xf>
    <xf numFmtId="164" fontId="1" fillId="0" borderId="7" xfId="20" applyFont="1" applyFill="1" applyBorder="1" applyAlignment="1">
      <alignment horizontal="right"/>
      <protection/>
    </xf>
    <xf numFmtId="164" fontId="1" fillId="0" borderId="7" xfId="20" applyFont="1" applyFill="1" applyBorder="1" applyAlignment="1">
      <alignment horizontal="left"/>
      <protection/>
    </xf>
    <xf numFmtId="166" fontId="1" fillId="0" borderId="8" xfId="20" applyNumberFormat="1" applyFont="1" applyFill="1" applyBorder="1" applyAlignment="1">
      <alignment horizontal="right"/>
      <protection/>
    </xf>
    <xf numFmtId="164" fontId="1" fillId="0" borderId="1" xfId="20" applyFont="1" applyFill="1" applyBorder="1" applyAlignment="1">
      <alignment vertical="center" wrapText="1"/>
      <protection/>
    </xf>
    <xf numFmtId="164" fontId="1" fillId="0" borderId="3" xfId="20" applyFont="1" applyFill="1" applyBorder="1" applyAlignment="1">
      <alignment horizontal="left"/>
      <protection/>
    </xf>
    <xf numFmtId="164" fontId="1" fillId="0" borderId="10" xfId="20" applyFont="1" applyFill="1" applyBorder="1" applyAlignment="1">
      <alignment horizontal="left"/>
      <protection/>
    </xf>
    <xf numFmtId="164" fontId="1" fillId="0" borderId="1" xfId="20" applyFont="1" applyFill="1" applyBorder="1" applyAlignment="1">
      <alignment vertical="center"/>
      <protection/>
    </xf>
    <xf numFmtId="166" fontId="1" fillId="0" borderId="1" xfId="20" applyNumberFormat="1" applyFont="1" applyFill="1" applyBorder="1" applyAlignment="1">
      <alignment vertical="center"/>
      <protection/>
    </xf>
    <xf numFmtId="166" fontId="1" fillId="0" borderId="9" xfId="20" applyNumberFormat="1" applyFont="1" applyFill="1" applyBorder="1" applyAlignment="1">
      <alignment vertical="center"/>
      <protection/>
    </xf>
    <xf numFmtId="164" fontId="1" fillId="0" borderId="1" xfId="20" applyFont="1" applyFill="1" applyBorder="1" applyAlignment="1">
      <alignment wrapText="1"/>
      <protection/>
    </xf>
    <xf numFmtId="164" fontId="18" fillId="0" borderId="11" xfId="20" applyFont="1" applyFill="1" applyBorder="1" applyAlignment="1">
      <alignment horizontal="center" vertical="center"/>
      <protection/>
    </xf>
    <xf numFmtId="166" fontId="18" fillId="0" borderId="13" xfId="20" applyNumberFormat="1" applyFont="1" applyFill="1" applyBorder="1" applyAlignment="1">
      <alignment vertical="center"/>
      <protection/>
    </xf>
    <xf numFmtId="166" fontId="18" fillId="0" borderId="14" xfId="20" applyNumberFormat="1" applyFont="1" applyFill="1" applyBorder="1" applyAlignment="1">
      <alignment vertical="center"/>
      <protection/>
    </xf>
    <xf numFmtId="164" fontId="7" fillId="0" borderId="0" xfId="20" applyFont="1">
      <alignment/>
      <protection/>
    </xf>
    <xf numFmtId="164" fontId="22" fillId="0" borderId="0" xfId="20" applyFont="1" applyBorder="1" applyAlignment="1">
      <alignment horizontal="center" vertical="center"/>
      <protection/>
    </xf>
    <xf numFmtId="164" fontId="4" fillId="0" borderId="0" xfId="20" applyFont="1" applyAlignment="1">
      <alignment horizontal="right" vertical="top"/>
      <protection/>
    </xf>
    <xf numFmtId="164" fontId="18" fillId="2" borderId="1" xfId="20" applyFont="1" applyFill="1" applyBorder="1" applyAlignment="1">
      <alignment horizontal="center" vertical="center" wrapText="1"/>
      <protection/>
    </xf>
    <xf numFmtId="164" fontId="18" fillId="2" borderId="3" xfId="20" applyFont="1" applyFill="1" applyBorder="1" applyAlignment="1">
      <alignment horizontal="center" vertical="center" wrapText="1"/>
      <protection/>
    </xf>
    <xf numFmtId="164" fontId="1" fillId="0" borderId="4" xfId="20" applyFont="1" applyBorder="1" applyAlignment="1">
      <alignment horizontal="center" vertical="center"/>
      <protection/>
    </xf>
    <xf numFmtId="164" fontId="1" fillId="0" borderId="4" xfId="20" applyFont="1" applyBorder="1" applyAlignment="1">
      <alignment vertical="center"/>
      <protection/>
    </xf>
    <xf numFmtId="164" fontId="1" fillId="0" borderId="13" xfId="20" applyBorder="1" applyAlignment="1">
      <alignment horizontal="center" vertical="center"/>
      <protection/>
    </xf>
    <xf numFmtId="164" fontId="1" fillId="0" borderId="13" xfId="20" applyFont="1" applyBorder="1" applyAlignment="1">
      <alignment horizontal="left" vertical="center" indent="1"/>
      <protection/>
    </xf>
    <xf numFmtId="164" fontId="1" fillId="0" borderId="13" xfId="20" applyBorder="1" applyAlignment="1">
      <alignment vertical="center"/>
      <protection/>
    </xf>
    <xf numFmtId="164" fontId="1" fillId="0" borderId="7" xfId="20" applyBorder="1" applyAlignment="1">
      <alignment horizontal="center" vertical="center"/>
      <protection/>
    </xf>
    <xf numFmtId="164" fontId="1" fillId="0" borderId="7" xfId="20" applyFont="1" applyBorder="1" applyAlignment="1">
      <alignment horizontal="left" vertical="center" wrapText="1" indent="2"/>
      <protection/>
    </xf>
    <xf numFmtId="166" fontId="1" fillId="0" borderId="7" xfId="20" applyNumberFormat="1" applyBorder="1" applyAlignment="1">
      <alignment horizontal="right" vertical="center"/>
      <protection/>
    </xf>
    <xf numFmtId="164" fontId="1" fillId="0" borderId="17" xfId="20" applyBorder="1" applyAlignment="1">
      <alignment horizontal="center" vertical="center"/>
      <protection/>
    </xf>
    <xf numFmtId="164" fontId="1" fillId="0" borderId="17" xfId="20" applyFont="1" applyBorder="1" applyAlignment="1">
      <alignment horizontal="left" vertical="center" wrapText="1" indent="2"/>
      <protection/>
    </xf>
    <xf numFmtId="166" fontId="1" fillId="0" borderId="17" xfId="20" applyNumberFormat="1" applyFill="1" applyBorder="1" applyAlignment="1">
      <alignment horizontal="right" vertical="center"/>
      <protection/>
    </xf>
    <xf numFmtId="164" fontId="18" fillId="0" borderId="1" xfId="20" applyFont="1" applyBorder="1" applyAlignment="1">
      <alignment horizontal="center" vertical="center"/>
      <protection/>
    </xf>
    <xf numFmtId="166" fontId="18" fillId="0" borderId="1" xfId="20" applyNumberFormat="1" applyFont="1" applyBorder="1" applyAlignment="1">
      <alignment vertical="center"/>
      <protection/>
    </xf>
    <xf numFmtId="164" fontId="18" fillId="0" borderId="1" xfId="20" applyFont="1" applyBorder="1" applyAlignment="1">
      <alignment vertical="center"/>
      <protection/>
    </xf>
    <xf numFmtId="164" fontId="18" fillId="0" borderId="0" xfId="20" applyFont="1">
      <alignment/>
      <protection/>
    </xf>
    <xf numFmtId="164" fontId="23" fillId="0" borderId="0" xfId="20" applyFont="1">
      <alignment/>
      <protection/>
    </xf>
    <xf numFmtId="164" fontId="3" fillId="0" borderId="0" xfId="20" applyFont="1" applyBorder="1" applyAlignment="1">
      <alignment horizontal="center" vertical="center"/>
      <protection/>
    </xf>
    <xf numFmtId="164" fontId="24" fillId="0" borderId="0" xfId="20" applyFont="1" applyAlignment="1">
      <alignment horizontal="center" vertical="center"/>
      <protection/>
    </xf>
    <xf numFmtId="164" fontId="24" fillId="0" borderId="0" xfId="20" applyFont="1" applyAlignment="1">
      <alignment vertical="center"/>
      <protection/>
    </xf>
    <xf numFmtId="164" fontId="18" fillId="0" borderId="1" xfId="20" applyFont="1" applyBorder="1" applyAlignment="1">
      <alignment horizontal="left" vertical="center"/>
      <protection/>
    </xf>
    <xf numFmtId="166" fontId="18" fillId="0" borderId="1" xfId="20" applyNumberFormat="1" applyFont="1" applyBorder="1" applyAlignment="1">
      <alignment horizontal="right" vertical="center"/>
      <protection/>
    </xf>
    <xf numFmtId="164" fontId="1" fillId="0" borderId="17" xfId="20" applyFont="1" applyBorder="1" applyAlignment="1">
      <alignment horizontal="center" vertical="center"/>
      <protection/>
    </xf>
    <xf numFmtId="164" fontId="1" fillId="0" borderId="17" xfId="20" applyFont="1" applyBorder="1" applyAlignment="1">
      <alignment horizontal="left" vertical="center"/>
      <protection/>
    </xf>
    <xf numFmtId="166" fontId="1" fillId="0" borderId="17" xfId="20" applyNumberFormat="1" applyFont="1" applyBorder="1" applyAlignment="1">
      <alignment horizontal="right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left" vertical="center"/>
      <protection/>
    </xf>
    <xf numFmtId="166" fontId="1" fillId="0" borderId="2" xfId="20" applyNumberFormat="1" applyFont="1" applyBorder="1" applyAlignment="1">
      <alignment horizontal="right" vertical="center"/>
      <protection/>
    </xf>
    <xf numFmtId="164" fontId="1" fillId="0" borderId="21" xfId="20" applyFont="1" applyBorder="1" applyAlignment="1">
      <alignment horizontal="center" vertical="center"/>
      <protection/>
    </xf>
    <xf numFmtId="166" fontId="1" fillId="0" borderId="21" xfId="20" applyNumberFormat="1" applyFont="1" applyBorder="1" applyAlignment="1">
      <alignment horizontal="right" vertical="center"/>
      <protection/>
    </xf>
    <xf numFmtId="164" fontId="1" fillId="0" borderId="21" xfId="20" applyFont="1" applyBorder="1" applyAlignment="1">
      <alignment horizontal="left" vertical="center"/>
      <protection/>
    </xf>
    <xf numFmtId="164" fontId="1" fillId="0" borderId="21" xfId="20" applyFont="1" applyBorder="1" applyAlignment="1">
      <alignment horizontal="left" vertical="center" wrapText="1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horizontal="left" vertical="center" wrapText="1"/>
      <protection/>
    </xf>
    <xf numFmtId="166" fontId="1" fillId="0" borderId="5" xfId="20" applyNumberFormat="1" applyFont="1" applyBorder="1" applyAlignment="1">
      <alignment horizontal="right" vertical="center"/>
      <protection/>
    </xf>
    <xf numFmtId="164" fontId="1" fillId="0" borderId="5" xfId="20" applyFont="1" applyBorder="1" applyAlignment="1">
      <alignment horizontal="left"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15" fillId="0" borderId="0" xfId="20" applyFont="1" applyAlignment="1">
      <alignment horizontal="center"/>
      <protection/>
    </xf>
    <xf numFmtId="164" fontId="17" fillId="0" borderId="0" xfId="20" applyFont="1" applyAlignment="1">
      <alignment horizontal="center"/>
      <protection/>
    </xf>
    <xf numFmtId="164" fontId="15" fillId="0" borderId="0" xfId="20" applyFont="1" applyAlignment="1">
      <alignment horizontal="left"/>
      <protection/>
    </xf>
    <xf numFmtId="164" fontId="18" fillId="0" borderId="0" xfId="20" applyFont="1" applyFill="1" applyBorder="1" applyAlignment="1">
      <alignment horizontal="center"/>
      <protection/>
    </xf>
    <xf numFmtId="164" fontId="17" fillId="0" borderId="0" xfId="20" applyFont="1" applyAlignment="1">
      <alignment horizontal="left"/>
      <protection/>
    </xf>
    <xf numFmtId="164" fontId="13" fillId="2" borderId="16" xfId="20" applyFont="1" applyFill="1" applyBorder="1">
      <alignment/>
      <protection/>
    </xf>
    <xf numFmtId="164" fontId="13" fillId="2" borderId="47" xfId="20" applyFont="1" applyFill="1" applyBorder="1">
      <alignment/>
      <protection/>
    </xf>
    <xf numFmtId="164" fontId="13" fillId="2" borderId="18" xfId="20" applyFont="1" applyFill="1" applyBorder="1">
      <alignment/>
      <protection/>
    </xf>
    <xf numFmtId="164" fontId="13" fillId="2" borderId="7" xfId="20" applyFont="1" applyFill="1" applyBorder="1" applyAlignment="1">
      <alignment horizontal="center"/>
      <protection/>
    </xf>
    <xf numFmtId="164" fontId="13" fillId="2" borderId="67" xfId="20" applyFont="1" applyFill="1" applyBorder="1" applyAlignment="1">
      <alignment horizontal="center"/>
      <protection/>
    </xf>
    <xf numFmtId="164" fontId="13" fillId="2" borderId="61" xfId="20" applyFont="1" applyFill="1" applyBorder="1" applyAlignment="1">
      <alignment horizontal="center"/>
      <protection/>
    </xf>
    <xf numFmtId="164" fontId="13" fillId="2" borderId="50" xfId="20" applyFont="1" applyFill="1" applyBorder="1">
      <alignment/>
      <protection/>
    </xf>
    <xf numFmtId="164" fontId="13" fillId="2" borderId="52" xfId="20" applyFont="1" applyFill="1" applyBorder="1" applyAlignment="1">
      <alignment horizontal="center"/>
      <protection/>
    </xf>
    <xf numFmtId="164" fontId="13" fillId="2" borderId="25" xfId="20" applyFont="1" applyFill="1" applyBorder="1" applyAlignment="1">
      <alignment horizontal="center"/>
      <protection/>
    </xf>
    <xf numFmtId="164" fontId="13" fillId="2" borderId="25" xfId="20" applyFont="1" applyFill="1" applyBorder="1">
      <alignment/>
      <protection/>
    </xf>
    <xf numFmtId="164" fontId="13" fillId="2" borderId="13" xfId="20" applyFont="1" applyFill="1" applyBorder="1" applyAlignment="1">
      <alignment horizontal="center" vertical="center" wrapText="1"/>
      <protection/>
    </xf>
    <xf numFmtId="164" fontId="13" fillId="2" borderId="4" xfId="20" applyFont="1" applyFill="1" applyBorder="1" applyAlignment="1">
      <alignment horizontal="center"/>
      <protection/>
    </xf>
    <xf numFmtId="164" fontId="13" fillId="2" borderId="4" xfId="20" applyFont="1" applyFill="1" applyBorder="1">
      <alignment/>
      <protection/>
    </xf>
    <xf numFmtId="164" fontId="13" fillId="2" borderId="76" xfId="20" applyFont="1" applyFill="1" applyBorder="1">
      <alignment/>
      <protection/>
    </xf>
    <xf numFmtId="164" fontId="13" fillId="2" borderId="77" xfId="20" applyFont="1" applyFill="1" applyBorder="1">
      <alignment/>
      <protection/>
    </xf>
    <xf numFmtId="164" fontId="13" fillId="2" borderId="50" xfId="20" applyFont="1" applyFill="1" applyBorder="1" applyAlignment="1">
      <alignment horizontal="center"/>
      <protection/>
    </xf>
    <xf numFmtId="164" fontId="13" fillId="2" borderId="0" xfId="20" applyFont="1" applyFill="1" applyBorder="1" applyAlignment="1">
      <alignment horizontal="center"/>
      <protection/>
    </xf>
    <xf numFmtId="164" fontId="13" fillId="2" borderId="51" xfId="20" applyFont="1" applyFill="1" applyBorder="1" applyAlignment="1">
      <alignment horizontal="center"/>
      <protection/>
    </xf>
    <xf numFmtId="164" fontId="13" fillId="2" borderId="52" xfId="20" applyFont="1" applyFill="1" applyBorder="1">
      <alignment/>
      <protection/>
    </xf>
    <xf numFmtId="164" fontId="13" fillId="2" borderId="0" xfId="20" applyFont="1" applyFill="1" applyBorder="1">
      <alignment/>
      <protection/>
    </xf>
    <xf numFmtId="164" fontId="13" fillId="2" borderId="51" xfId="20" applyFont="1" applyFill="1" applyBorder="1">
      <alignment/>
      <protection/>
    </xf>
    <xf numFmtId="164" fontId="13" fillId="2" borderId="40" xfId="20" applyFont="1" applyFill="1" applyBorder="1">
      <alignment/>
      <protection/>
    </xf>
    <xf numFmtId="164" fontId="13" fillId="2" borderId="55" xfId="20" applyFont="1" applyFill="1" applyBorder="1">
      <alignment/>
      <protection/>
    </xf>
    <xf numFmtId="164" fontId="13" fillId="2" borderId="55" xfId="20" applyFont="1" applyFill="1" applyBorder="1" applyAlignment="1">
      <alignment horizontal="center"/>
      <protection/>
    </xf>
    <xf numFmtId="164" fontId="13" fillId="2" borderId="54" xfId="20" applyFont="1" applyFill="1" applyBorder="1">
      <alignment/>
      <protection/>
    </xf>
    <xf numFmtId="164" fontId="13" fillId="2" borderId="45" xfId="20" applyFont="1" applyFill="1" applyBorder="1">
      <alignment/>
      <protection/>
    </xf>
    <xf numFmtId="164" fontId="13" fillId="2" borderId="53" xfId="20" applyFont="1" applyFill="1" applyBorder="1">
      <alignment/>
      <protection/>
    </xf>
    <xf numFmtId="164" fontId="4" fillId="0" borderId="31" xfId="20" applyFont="1" applyBorder="1" applyAlignment="1">
      <alignment horizontal="center"/>
      <protection/>
    </xf>
    <xf numFmtId="164" fontId="4" fillId="0" borderId="37" xfId="20" applyFont="1" applyBorder="1" applyAlignment="1">
      <alignment horizontal="center"/>
      <protection/>
    </xf>
    <xf numFmtId="164" fontId="4" fillId="0" borderId="58" xfId="20" applyFont="1" applyBorder="1" applyAlignment="1">
      <alignment horizontal="center"/>
      <protection/>
    </xf>
    <xf numFmtId="164" fontId="1" fillId="0" borderId="16" xfId="20" applyFont="1" applyBorder="1" applyAlignment="1">
      <alignment horizontal="center"/>
      <protection/>
    </xf>
    <xf numFmtId="164" fontId="13" fillId="0" borderId="25" xfId="20" applyFont="1" applyBorder="1">
      <alignment/>
      <protection/>
    </xf>
    <xf numFmtId="166" fontId="13" fillId="0" borderId="25" xfId="20" applyNumberFormat="1" applyFont="1" applyFill="1" applyBorder="1">
      <alignment/>
      <protection/>
    </xf>
    <xf numFmtId="166" fontId="13" fillId="0" borderId="52" xfId="20" applyNumberFormat="1" applyFont="1" applyBorder="1">
      <alignment/>
      <protection/>
    </xf>
    <xf numFmtId="166" fontId="13" fillId="0" borderId="25" xfId="20" applyNumberFormat="1" applyFont="1" applyBorder="1">
      <alignment/>
      <protection/>
    </xf>
    <xf numFmtId="166" fontId="13" fillId="0" borderId="7" xfId="20" applyNumberFormat="1" applyFont="1" applyBorder="1">
      <alignment/>
      <protection/>
    </xf>
    <xf numFmtId="166" fontId="13" fillId="0" borderId="0" xfId="20" applyNumberFormat="1" applyFont="1" applyBorder="1">
      <alignment/>
      <protection/>
    </xf>
    <xf numFmtId="164" fontId="1" fillId="0" borderId="10" xfId="20" applyFont="1" applyBorder="1" applyAlignment="1">
      <alignment horizontal="center"/>
      <protection/>
    </xf>
    <xf numFmtId="164" fontId="13" fillId="0" borderId="78" xfId="20" applyFont="1" applyBorder="1">
      <alignment/>
      <protection/>
    </xf>
    <xf numFmtId="166" fontId="13" fillId="0" borderId="78" xfId="20" applyNumberFormat="1" applyFont="1" applyFill="1" applyBorder="1">
      <alignment/>
      <protection/>
    </xf>
    <xf numFmtId="166" fontId="13" fillId="0" borderId="1" xfId="20" applyNumberFormat="1" applyFont="1" applyBorder="1">
      <alignment/>
      <protection/>
    </xf>
    <xf numFmtId="166" fontId="13" fillId="0" borderId="78" xfId="20" applyNumberFormat="1" applyFont="1" applyBorder="1">
      <alignment/>
      <protection/>
    </xf>
    <xf numFmtId="166" fontId="13" fillId="0" borderId="79" xfId="20" applyNumberFormat="1" applyFont="1" applyBorder="1">
      <alignment/>
      <protection/>
    </xf>
    <xf numFmtId="164" fontId="1" fillId="0" borderId="50" xfId="20" applyFont="1" applyBorder="1" applyAlignment="1">
      <alignment horizontal="center"/>
      <protection/>
    </xf>
    <xf numFmtId="166" fontId="13" fillId="0" borderId="0" xfId="20" applyNumberFormat="1" applyFont="1" applyFill="1" applyBorder="1">
      <alignment/>
      <protection/>
    </xf>
    <xf numFmtId="166" fontId="13" fillId="0" borderId="1" xfId="20" applyNumberFormat="1" applyFont="1" applyFill="1" applyBorder="1">
      <alignment/>
      <protection/>
    </xf>
    <xf numFmtId="166" fontId="13" fillId="0" borderId="79" xfId="20" applyNumberFormat="1" applyFont="1" applyFill="1" applyBorder="1">
      <alignment/>
      <protection/>
    </xf>
    <xf numFmtId="164" fontId="1" fillId="0" borderId="80" xfId="20" applyFont="1" applyBorder="1" applyAlignment="1">
      <alignment horizontal="center"/>
      <protection/>
    </xf>
    <xf numFmtId="164" fontId="1" fillId="0" borderId="40" xfId="20" applyFont="1" applyBorder="1" applyAlignment="1">
      <alignment horizontal="center"/>
      <protection/>
    </xf>
    <xf numFmtId="166" fontId="13" fillId="0" borderId="78" xfId="20" applyNumberFormat="1" applyFont="1" applyFill="1" applyBorder="1" applyAlignment="1">
      <alignment horizontal="right"/>
      <protection/>
    </xf>
    <xf numFmtId="164" fontId="13" fillId="0" borderId="29" xfId="20" applyFont="1" applyBorder="1">
      <alignment/>
      <protection/>
    </xf>
    <xf numFmtId="166" fontId="13" fillId="0" borderId="29" xfId="20" applyNumberFormat="1" applyFont="1" applyFill="1" applyBorder="1">
      <alignment/>
      <protection/>
    </xf>
    <xf numFmtId="166" fontId="13" fillId="0" borderId="3" xfId="20" applyNumberFormat="1" applyFont="1" applyBorder="1">
      <alignment/>
      <protection/>
    </xf>
    <xf numFmtId="166" fontId="13" fillId="0" borderId="29" xfId="20" applyNumberFormat="1" applyFont="1" applyBorder="1">
      <alignment/>
      <protection/>
    </xf>
    <xf numFmtId="166" fontId="13" fillId="0" borderId="30" xfId="20" applyNumberFormat="1" applyFont="1" applyFill="1" applyBorder="1">
      <alignment/>
      <protection/>
    </xf>
    <xf numFmtId="166" fontId="13" fillId="0" borderId="29" xfId="20" applyNumberFormat="1" applyFont="1" applyFill="1" applyBorder="1" applyAlignment="1">
      <alignment horizontal="right"/>
      <protection/>
    </xf>
    <xf numFmtId="166" fontId="13" fillId="0" borderId="3" xfId="20" applyNumberFormat="1" applyFont="1" applyBorder="1" applyAlignment="1">
      <alignment horizontal="right"/>
      <protection/>
    </xf>
    <xf numFmtId="166" fontId="13" fillId="0" borderId="29" xfId="20" applyNumberFormat="1" applyFont="1" applyBorder="1" applyAlignment="1">
      <alignment horizontal="right"/>
      <protection/>
    </xf>
    <xf numFmtId="166" fontId="13" fillId="0" borderId="3" xfId="20" applyNumberFormat="1" applyFont="1" applyFill="1" applyBorder="1" applyAlignment="1">
      <alignment horizontal="right"/>
      <protection/>
    </xf>
    <xf numFmtId="166" fontId="13" fillId="0" borderId="30" xfId="20" applyNumberFormat="1" applyFont="1" applyFill="1" applyBorder="1" applyAlignment="1">
      <alignment horizontal="right"/>
      <protection/>
    </xf>
    <xf numFmtId="164" fontId="13" fillId="0" borderId="81" xfId="20" applyFont="1" applyBorder="1">
      <alignment/>
      <protection/>
    </xf>
    <xf numFmtId="166" fontId="13" fillId="0" borderId="81" xfId="20" applyNumberFormat="1" applyFont="1" applyFill="1" applyBorder="1">
      <alignment/>
      <protection/>
    </xf>
    <xf numFmtId="166" fontId="13" fillId="0" borderId="81" xfId="20" applyNumberFormat="1" applyFont="1" applyFill="1" applyBorder="1" applyAlignment="1">
      <alignment horizontal="right"/>
      <protection/>
    </xf>
    <xf numFmtId="166" fontId="13" fillId="0" borderId="81" xfId="20" applyNumberFormat="1" applyFont="1" applyBorder="1" applyAlignment="1">
      <alignment horizontal="right"/>
      <protection/>
    </xf>
    <xf numFmtId="166" fontId="13" fillId="0" borderId="4" xfId="20" applyNumberFormat="1" applyFont="1" applyFill="1" applyBorder="1" applyAlignment="1">
      <alignment horizontal="right"/>
      <protection/>
    </xf>
    <xf numFmtId="164" fontId="13" fillId="0" borderId="37" xfId="20" applyFont="1" applyBorder="1">
      <alignment/>
      <protection/>
    </xf>
    <xf numFmtId="169" fontId="13" fillId="0" borderId="37" xfId="20" applyNumberFormat="1" applyFont="1" applyFill="1" applyBorder="1" applyAlignment="1">
      <alignment horizontal="center"/>
      <protection/>
    </xf>
    <xf numFmtId="169" fontId="13" fillId="0" borderId="37" xfId="20" applyNumberFormat="1" applyFont="1" applyBorder="1" applyAlignment="1">
      <alignment horizontal="center"/>
      <protection/>
    </xf>
    <xf numFmtId="169" fontId="13" fillId="0" borderId="66" xfId="20" applyNumberFormat="1" applyFont="1" applyBorder="1" applyAlignment="1">
      <alignment horizontal="center"/>
      <protection/>
    </xf>
    <xf numFmtId="169" fontId="13" fillId="0" borderId="58" xfId="20" applyNumberFormat="1" applyFont="1" applyBorder="1" applyAlignment="1">
      <alignment horizontal="center"/>
      <protection/>
    </xf>
    <xf numFmtId="169" fontId="13" fillId="0" borderId="42" xfId="20" applyNumberFormat="1" applyFont="1" applyBorder="1" applyAlignment="1">
      <alignment horizontal="center"/>
      <protection/>
    </xf>
    <xf numFmtId="164" fontId="18" fillId="2" borderId="36" xfId="20" applyFont="1" applyFill="1" applyBorder="1" applyAlignment="1">
      <alignment horizontal="center" vertical="center"/>
      <protection/>
    </xf>
    <xf numFmtId="164" fontId="18" fillId="2" borderId="36" xfId="20" applyFont="1" applyFill="1" applyBorder="1" applyAlignment="1">
      <alignment horizontal="center" vertical="center" wrapText="1"/>
      <protection/>
    </xf>
    <xf numFmtId="164" fontId="21" fillId="0" borderId="36" xfId="20" applyFont="1" applyBorder="1" applyAlignment="1">
      <alignment horizontal="center" vertical="center"/>
      <protection/>
    </xf>
    <xf numFmtId="164" fontId="18" fillId="0" borderId="74" xfId="20" applyFont="1" applyBorder="1" applyAlignment="1">
      <alignment horizontal="center" vertical="top"/>
      <protection/>
    </xf>
    <xf numFmtId="164" fontId="25" fillId="0" borderId="70" xfId="20" applyFont="1" applyBorder="1" applyAlignment="1">
      <alignment vertical="center"/>
      <protection/>
    </xf>
    <xf numFmtId="166" fontId="18" fillId="0" borderId="70" xfId="20" applyNumberFormat="1" applyFont="1" applyBorder="1" applyAlignment="1">
      <alignment vertical="center"/>
      <protection/>
    </xf>
    <xf numFmtId="164" fontId="18" fillId="0" borderId="72" xfId="20" applyFont="1" applyBorder="1" applyAlignment="1">
      <alignment horizontal="center" vertical="top"/>
      <protection/>
    </xf>
    <xf numFmtId="164" fontId="1" fillId="0" borderId="72" xfId="20" applyFont="1" applyBorder="1" applyAlignment="1">
      <alignment vertical="center"/>
      <protection/>
    </xf>
    <xf numFmtId="166" fontId="1" fillId="0" borderId="72" xfId="20" applyNumberFormat="1" applyBorder="1" applyAlignment="1">
      <alignment vertical="center"/>
      <protection/>
    </xf>
    <xf numFmtId="166" fontId="1" fillId="0" borderId="72" xfId="20" applyNumberFormat="1" applyFill="1" applyBorder="1" applyAlignment="1">
      <alignment vertical="center"/>
      <protection/>
    </xf>
    <xf numFmtId="164" fontId="1" fillId="0" borderId="70" xfId="20" applyFont="1" applyBorder="1" applyAlignment="1">
      <alignment vertical="center"/>
      <protection/>
    </xf>
    <xf numFmtId="166" fontId="1" fillId="0" borderId="70" xfId="20" applyNumberFormat="1" applyBorder="1" applyAlignment="1">
      <alignment vertical="center"/>
      <protection/>
    </xf>
    <xf numFmtId="164" fontId="25" fillId="0" borderId="72" xfId="20" applyFont="1" applyBorder="1" applyAlignment="1">
      <alignment vertical="center"/>
      <protection/>
    </xf>
    <xf numFmtId="166" fontId="18" fillId="0" borderId="72" xfId="20" applyNumberFormat="1" applyFont="1" applyBorder="1" applyAlignment="1">
      <alignment vertical="center"/>
      <protection/>
    </xf>
    <xf numFmtId="164" fontId="1" fillId="0" borderId="72" xfId="20" applyFont="1" applyBorder="1" applyAlignment="1">
      <alignment vertical="center" wrapText="1"/>
      <protection/>
    </xf>
    <xf numFmtId="169" fontId="18" fillId="0" borderId="72" xfId="20" applyNumberFormat="1" applyFont="1" applyBorder="1" applyAlignment="1">
      <alignment vertical="center"/>
      <protection/>
    </xf>
    <xf numFmtId="164" fontId="25" fillId="0" borderId="72" xfId="20" applyFont="1" applyBorder="1" applyAlignment="1">
      <alignment vertical="center" wrapText="1"/>
      <protection/>
    </xf>
    <xf numFmtId="164" fontId="18" fillId="0" borderId="15" xfId="20" applyFont="1" applyBorder="1" applyAlignment="1">
      <alignment horizontal="center" vertical="top"/>
      <protection/>
    </xf>
    <xf numFmtId="164" fontId="25" fillId="0" borderId="68" xfId="20" applyFont="1" applyBorder="1" applyAlignment="1">
      <alignment vertical="center" wrapText="1"/>
      <protection/>
    </xf>
    <xf numFmtId="164" fontId="18" fillId="0" borderId="43" xfId="20" applyFont="1" applyFill="1" applyBorder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ny 2" xfId="21"/>
    <cellStyle name="Normalny_zal_Szczecin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za&#322;%205%20i%206%20do%20druk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Moje%20dokumenty\Uchwa&#322;y%202009\Uch.%20RP%2023.10.09%20-%20zmien\za&#32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ozosta&#322;e%20za&#322;aczniki%20do%20dru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Doch.i wyd..zlec.zał.5"/>
      <sheetName val="Wspolne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Unijne 4"/>
      <sheetName val="Żródła finans."/>
      <sheetName val="Doch.i wyd..zlec.zał.5"/>
      <sheetName val="Wspolne 6"/>
      <sheetName val="adm. rząd.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a"/>
      <sheetName val="4"/>
      <sheetName val="7"/>
      <sheetName val="8"/>
      <sheetName val="9"/>
      <sheetName val="10"/>
      <sheetName val="10a"/>
      <sheetName val="11"/>
      <sheetName val="11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Normal="75" zoomScaleSheetLayoutView="100" workbookViewId="0" topLeftCell="A16">
      <selection activeCell="F21" sqref="F21"/>
    </sheetView>
  </sheetViews>
  <sheetFormatPr defaultColWidth="9.140625" defaultRowHeight="12.75" customHeight="1"/>
  <cols>
    <col min="1" max="1" width="4.00390625" style="1" customWidth="1"/>
    <col min="2" max="2" width="5.7109375" style="1" customWidth="1"/>
    <col min="3" max="3" width="7.140625" style="1" customWidth="1"/>
    <col min="4" max="4" width="6.421875" style="1" customWidth="1"/>
    <col min="5" max="5" width="35.7109375" style="1" customWidth="1"/>
    <col min="6" max="6" width="12.00390625" style="1" customWidth="1"/>
    <col min="7" max="7" width="12.421875" style="1" customWidth="1"/>
    <col min="8" max="9" width="10.140625" style="1" customWidth="1"/>
    <col min="10" max="10" width="12.57421875" style="1" customWidth="1"/>
    <col min="11" max="11" width="14.421875" style="1" customWidth="1"/>
    <col min="12" max="12" width="11.57421875" style="1" customWidth="1"/>
    <col min="13" max="13" width="9.57421875" style="1" customWidth="1"/>
    <col min="14" max="14" width="16.7109375" style="1" customWidth="1"/>
    <col min="15" max="16384" width="9.140625" style="1" customWidth="1"/>
  </cols>
  <sheetData>
    <row r="1" ht="12.75" customHeight="1">
      <c r="K1" s="1" t="s">
        <v>0</v>
      </c>
    </row>
    <row r="2" ht="12.75" customHeight="1">
      <c r="K2" s="1" t="s">
        <v>1</v>
      </c>
    </row>
    <row r="3" ht="12.75" customHeight="1">
      <c r="K3" s="1" t="s">
        <v>2</v>
      </c>
    </row>
    <row r="4" ht="12.75" customHeight="1">
      <c r="K4" s="1" t="s">
        <v>3</v>
      </c>
    </row>
    <row r="7" spans="1:14" ht="18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 t="s">
        <v>5</v>
      </c>
    </row>
    <row r="9" spans="1:14" s="7" customFormat="1" ht="19.5" customHeight="1">
      <c r="A9" s="5" t="s">
        <v>6</v>
      </c>
      <c r="B9" s="5" t="s">
        <v>7</v>
      </c>
      <c r="C9" s="5" t="s">
        <v>8</v>
      </c>
      <c r="D9" s="5" t="s">
        <v>9</v>
      </c>
      <c r="E9" s="6" t="s">
        <v>10</v>
      </c>
      <c r="F9" s="6" t="s">
        <v>11</v>
      </c>
      <c r="G9" s="6" t="s">
        <v>12</v>
      </c>
      <c r="H9" s="6"/>
      <c r="I9" s="6"/>
      <c r="J9" s="6"/>
      <c r="K9" s="6"/>
      <c r="L9" s="6"/>
      <c r="M9" s="6"/>
      <c r="N9" s="6" t="s">
        <v>13</v>
      </c>
    </row>
    <row r="10" spans="1:14" s="7" customFormat="1" ht="19.5" customHeight="1">
      <c r="A10" s="5"/>
      <c r="B10" s="5"/>
      <c r="C10" s="5"/>
      <c r="D10" s="5"/>
      <c r="E10" s="6"/>
      <c r="F10" s="6"/>
      <c r="G10" s="6" t="s">
        <v>14</v>
      </c>
      <c r="H10" s="6" t="s">
        <v>15</v>
      </c>
      <c r="I10" s="6"/>
      <c r="J10" s="6"/>
      <c r="K10" s="6"/>
      <c r="L10" s="6" t="s">
        <v>16</v>
      </c>
      <c r="M10" s="6" t="s">
        <v>17</v>
      </c>
      <c r="N10" s="6"/>
    </row>
    <row r="11" spans="1:14" s="7" customFormat="1" ht="29.25" customHeight="1">
      <c r="A11" s="5"/>
      <c r="B11" s="5"/>
      <c r="C11" s="5"/>
      <c r="D11" s="5"/>
      <c r="E11" s="6"/>
      <c r="F11" s="6"/>
      <c r="G11" s="6"/>
      <c r="H11" s="6" t="s">
        <v>18</v>
      </c>
      <c r="I11" s="6" t="s">
        <v>19</v>
      </c>
      <c r="J11" s="6" t="s">
        <v>20</v>
      </c>
      <c r="K11" s="6" t="s">
        <v>21</v>
      </c>
      <c r="L11" s="6"/>
      <c r="M11" s="6"/>
      <c r="N11" s="6"/>
    </row>
    <row r="12" spans="1:14" s="7" customFormat="1" ht="19.5" customHeight="1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7" customFormat="1" ht="19.5" customHeight="1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7.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</row>
    <row r="15" spans="1:14" ht="78.75" customHeight="1">
      <c r="A15" s="9" t="s">
        <v>22</v>
      </c>
      <c r="B15" s="10">
        <v>600</v>
      </c>
      <c r="C15" s="10">
        <v>60014</v>
      </c>
      <c r="D15" s="11" t="s">
        <v>23</v>
      </c>
      <c r="E15" s="12" t="s">
        <v>24</v>
      </c>
      <c r="F15" s="13">
        <v>5521850</v>
      </c>
      <c r="G15" s="13">
        <v>1647793</v>
      </c>
      <c r="H15" s="13">
        <v>604294</v>
      </c>
      <c r="I15" s="13"/>
      <c r="J15" s="14">
        <v>120000</v>
      </c>
      <c r="K15" s="13">
        <v>923499</v>
      </c>
      <c r="L15" s="13">
        <v>0</v>
      </c>
      <c r="M15" s="13">
        <v>0</v>
      </c>
      <c r="N15" s="12" t="s">
        <v>25</v>
      </c>
    </row>
    <row r="16" spans="1:14" ht="65.25" customHeight="1">
      <c r="A16" s="9" t="s">
        <v>26</v>
      </c>
      <c r="B16" s="10">
        <v>600</v>
      </c>
      <c r="C16" s="10">
        <v>60014</v>
      </c>
      <c r="D16" s="10">
        <v>6050</v>
      </c>
      <c r="E16" s="15" t="s">
        <v>27</v>
      </c>
      <c r="F16" s="16">
        <v>430000</v>
      </c>
      <c r="G16" s="16">
        <v>419700</v>
      </c>
      <c r="H16" s="16">
        <v>215000</v>
      </c>
      <c r="I16" s="16"/>
      <c r="J16" s="14">
        <v>204700</v>
      </c>
      <c r="K16" s="16"/>
      <c r="L16" s="16">
        <v>10300</v>
      </c>
      <c r="M16" s="16">
        <v>0</v>
      </c>
      <c r="N16" s="12" t="s">
        <v>25</v>
      </c>
    </row>
    <row r="17" spans="1:14" ht="65.25" customHeight="1">
      <c r="A17" s="9" t="s">
        <v>28</v>
      </c>
      <c r="B17" s="17">
        <v>600</v>
      </c>
      <c r="C17" s="17">
        <v>60014</v>
      </c>
      <c r="D17" s="17">
        <v>6059</v>
      </c>
      <c r="E17" s="18" t="s">
        <v>29</v>
      </c>
      <c r="F17" s="16">
        <v>3756904</v>
      </c>
      <c r="G17" s="16">
        <f>H17+K17</f>
        <v>3756904</v>
      </c>
      <c r="H17" s="16">
        <v>1127071</v>
      </c>
      <c r="I17" s="16"/>
      <c r="J17" s="19" t="s">
        <v>30</v>
      </c>
      <c r="K17" s="16">
        <v>2629833</v>
      </c>
      <c r="L17" s="16">
        <v>0</v>
      </c>
      <c r="M17" s="16"/>
      <c r="N17" s="12" t="s">
        <v>25</v>
      </c>
    </row>
    <row r="18" spans="1:14" ht="96" customHeight="1">
      <c r="A18" s="9" t="s">
        <v>31</v>
      </c>
      <c r="B18" s="17">
        <v>600</v>
      </c>
      <c r="C18" s="17">
        <v>60014</v>
      </c>
      <c r="D18" s="17">
        <v>6059</v>
      </c>
      <c r="E18" s="15" t="s">
        <v>32</v>
      </c>
      <c r="F18" s="16">
        <v>4828064</v>
      </c>
      <c r="G18" s="16">
        <f>H18+K18</f>
        <v>4828064</v>
      </c>
      <c r="H18" s="16">
        <v>1658923</v>
      </c>
      <c r="I18" s="16"/>
      <c r="J18" s="14"/>
      <c r="K18" s="16">
        <v>3169141</v>
      </c>
      <c r="L18" s="16">
        <v>0</v>
      </c>
      <c r="M18" s="16"/>
      <c r="N18" s="20" t="s">
        <v>25</v>
      </c>
    </row>
    <row r="19" spans="1:14" ht="96" customHeight="1">
      <c r="A19" s="9" t="s">
        <v>33</v>
      </c>
      <c r="B19" s="17">
        <v>801</v>
      </c>
      <c r="C19" s="17">
        <v>80130</v>
      </c>
      <c r="D19" s="17">
        <v>6050</v>
      </c>
      <c r="E19" s="21" t="s">
        <v>34</v>
      </c>
      <c r="F19" s="22">
        <v>707600</v>
      </c>
      <c r="G19" s="13">
        <v>141520</v>
      </c>
      <c r="H19" s="22">
        <v>141520</v>
      </c>
      <c r="I19" s="22"/>
      <c r="J19" s="14"/>
      <c r="K19" s="16"/>
      <c r="L19" s="16">
        <v>566080</v>
      </c>
      <c r="M19" s="16"/>
      <c r="N19" s="12" t="s">
        <v>35</v>
      </c>
    </row>
    <row r="20" spans="1:14" ht="93" customHeight="1">
      <c r="A20" s="9" t="s">
        <v>36</v>
      </c>
      <c r="B20" s="17">
        <v>853</v>
      </c>
      <c r="C20" s="17">
        <v>85311</v>
      </c>
      <c r="D20" s="17">
        <v>6050</v>
      </c>
      <c r="E20" s="12" t="s">
        <v>34</v>
      </c>
      <c r="F20" s="16">
        <v>399550</v>
      </c>
      <c r="G20" s="16">
        <v>79910</v>
      </c>
      <c r="H20" s="16">
        <v>79910</v>
      </c>
      <c r="I20" s="16"/>
      <c r="J20" s="23"/>
      <c r="K20" s="16"/>
      <c r="L20" s="16">
        <v>319640</v>
      </c>
      <c r="M20" s="16"/>
      <c r="N20" s="12" t="s">
        <v>37</v>
      </c>
    </row>
    <row r="21" spans="1:14" ht="89.25" customHeight="1">
      <c r="A21" s="9" t="s">
        <v>38</v>
      </c>
      <c r="B21" s="17">
        <v>852</v>
      </c>
      <c r="C21" s="17">
        <v>85202</v>
      </c>
      <c r="D21" s="17">
        <v>6050</v>
      </c>
      <c r="E21" s="12" t="s">
        <v>34</v>
      </c>
      <c r="F21" s="16">
        <v>850300</v>
      </c>
      <c r="G21" s="16">
        <v>150060</v>
      </c>
      <c r="H21" s="16">
        <v>150060</v>
      </c>
      <c r="I21" s="16"/>
      <c r="J21" s="14"/>
      <c r="K21" s="16"/>
      <c r="L21" s="16">
        <v>680240</v>
      </c>
      <c r="M21" s="16"/>
      <c r="N21" s="12" t="s">
        <v>39</v>
      </c>
    </row>
    <row r="22" spans="1:14" ht="89.25" customHeight="1">
      <c r="A22" s="9" t="s">
        <v>40</v>
      </c>
      <c r="B22" s="17">
        <v>852</v>
      </c>
      <c r="C22" s="17">
        <v>85202</v>
      </c>
      <c r="D22" s="17">
        <v>6050</v>
      </c>
      <c r="E22" s="12" t="s">
        <v>34</v>
      </c>
      <c r="F22" s="16">
        <v>382076</v>
      </c>
      <c r="G22" s="16">
        <v>76415</v>
      </c>
      <c r="H22" s="16">
        <v>76415</v>
      </c>
      <c r="I22" s="16"/>
      <c r="J22" s="14"/>
      <c r="K22" s="16"/>
      <c r="L22" s="16">
        <v>305661</v>
      </c>
      <c r="M22" s="16"/>
      <c r="N22" s="12" t="s">
        <v>41</v>
      </c>
    </row>
    <row r="23" spans="1:14" ht="89.25" customHeight="1">
      <c r="A23" s="9" t="s">
        <v>42</v>
      </c>
      <c r="B23" s="17">
        <v>852</v>
      </c>
      <c r="C23" s="17">
        <v>85202</v>
      </c>
      <c r="D23" s="17">
        <v>6050</v>
      </c>
      <c r="E23" s="12" t="s">
        <v>43</v>
      </c>
      <c r="F23" s="16">
        <v>331230</v>
      </c>
      <c r="G23" s="16">
        <v>66246</v>
      </c>
      <c r="H23" s="16">
        <v>66246</v>
      </c>
      <c r="I23" s="16"/>
      <c r="J23" s="14"/>
      <c r="K23" s="16"/>
      <c r="L23" s="16">
        <v>264984</v>
      </c>
      <c r="M23" s="16"/>
      <c r="N23" s="12" t="s">
        <v>44</v>
      </c>
    </row>
    <row r="24" spans="1:14" ht="114.75" customHeight="1">
      <c r="A24" s="9" t="s">
        <v>45</v>
      </c>
      <c r="B24" s="24">
        <v>854</v>
      </c>
      <c r="C24" s="24">
        <v>85420</v>
      </c>
      <c r="D24" s="24">
        <v>6050</v>
      </c>
      <c r="E24" s="12" t="s">
        <v>34</v>
      </c>
      <c r="F24" s="22">
        <v>444080</v>
      </c>
      <c r="G24" s="22">
        <v>88816</v>
      </c>
      <c r="H24" s="22">
        <v>88816</v>
      </c>
      <c r="I24" s="22"/>
      <c r="J24" s="14"/>
      <c r="K24" s="22"/>
      <c r="L24" s="22">
        <v>355264</v>
      </c>
      <c r="M24" s="22"/>
      <c r="N24" s="25" t="s">
        <v>46</v>
      </c>
    </row>
    <row r="25" spans="1:14" ht="22.5" customHeight="1">
      <c r="A25" s="26" t="s">
        <v>47</v>
      </c>
      <c r="B25" s="26"/>
      <c r="C25" s="26"/>
      <c r="D25" s="26"/>
      <c r="E25" s="26"/>
      <c r="F25" s="16">
        <f aca="true" t="shared" si="0" ref="F25:M25">SUM(F15:F24)</f>
        <v>17651654</v>
      </c>
      <c r="G25" s="16">
        <f t="shared" si="0"/>
        <v>11255428</v>
      </c>
      <c r="H25" s="16">
        <f t="shared" si="0"/>
        <v>4208255</v>
      </c>
      <c r="I25" s="16">
        <f t="shared" si="0"/>
        <v>0</v>
      </c>
      <c r="J25" s="16">
        <f>SUM(J15:J24)</f>
        <v>324700</v>
      </c>
      <c r="K25" s="16">
        <f t="shared" si="0"/>
        <v>6722473</v>
      </c>
      <c r="L25" s="16">
        <f t="shared" si="0"/>
        <v>2502169</v>
      </c>
      <c r="M25" s="16">
        <f t="shared" si="0"/>
        <v>0</v>
      </c>
      <c r="N25" s="27" t="s">
        <v>48</v>
      </c>
    </row>
    <row r="26" spans="1:14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ht="12.75" customHeight="1">
      <c r="A27" s="1" t="s">
        <v>49</v>
      </c>
    </row>
    <row r="28" ht="12.75" customHeight="1">
      <c r="A28" s="1" t="s">
        <v>50</v>
      </c>
    </row>
    <row r="29" ht="12.75" customHeight="1">
      <c r="A29" s="1" t="s">
        <v>51</v>
      </c>
    </row>
    <row r="30" ht="12.75" customHeight="1">
      <c r="A30" s="1" t="s">
        <v>52</v>
      </c>
    </row>
    <row r="32" ht="14.25" customHeight="1">
      <c r="A32" s="29" t="s">
        <v>53</v>
      </c>
    </row>
  </sheetData>
  <mergeCells count="18">
    <mergeCell ref="A7:N7"/>
    <mergeCell ref="A9:A13"/>
    <mergeCell ref="B9:B13"/>
    <mergeCell ref="C9:C13"/>
    <mergeCell ref="D9:D13"/>
    <mergeCell ref="E9:E13"/>
    <mergeCell ref="F9:F13"/>
    <mergeCell ref="G9:M9"/>
    <mergeCell ref="N9:N13"/>
    <mergeCell ref="G10:G13"/>
    <mergeCell ref="H10:K10"/>
    <mergeCell ref="L10:L13"/>
    <mergeCell ref="M10:M13"/>
    <mergeCell ref="H11:H13"/>
    <mergeCell ref="I11:I13"/>
    <mergeCell ref="J11:J13"/>
    <mergeCell ref="K11:K13"/>
    <mergeCell ref="A25:E25"/>
  </mergeCells>
  <printOptions horizontalCentered="1"/>
  <pageMargins left="0.15763888888888888" right="0.19652777777777777" top="0.27569444444444446" bottom="0.2361111111111111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SheetLayoutView="100" workbookViewId="0" topLeftCell="A1">
      <selection activeCell="B20" sqref="B20"/>
    </sheetView>
  </sheetViews>
  <sheetFormatPr defaultColWidth="9.140625" defaultRowHeight="12.75" customHeight="1"/>
  <cols>
    <col min="1" max="1" width="5.28125" style="1" customWidth="1"/>
    <col min="2" max="2" width="63.140625" style="1" customWidth="1"/>
    <col min="3" max="3" width="17.7109375" style="1" customWidth="1"/>
    <col min="4" max="16384" width="9.140625" style="1" customWidth="1"/>
  </cols>
  <sheetData>
    <row r="2" ht="12.75" customHeight="1">
      <c r="C2" s="1" t="s">
        <v>449</v>
      </c>
    </row>
    <row r="3" ht="12.75" customHeight="1">
      <c r="C3" s="1" t="s">
        <v>450</v>
      </c>
    </row>
    <row r="4" ht="12.75" customHeight="1">
      <c r="C4" s="1" t="s">
        <v>2</v>
      </c>
    </row>
    <row r="5" ht="12.75" customHeight="1">
      <c r="C5" s="1" t="s">
        <v>451</v>
      </c>
    </row>
    <row r="7" spans="1:10" ht="19.5" customHeight="1">
      <c r="A7" s="459" t="s">
        <v>452</v>
      </c>
      <c r="B7" s="459"/>
      <c r="C7" s="459"/>
      <c r="D7" s="405"/>
      <c r="E7" s="405"/>
      <c r="F7" s="405"/>
      <c r="G7" s="405"/>
      <c r="H7" s="405"/>
      <c r="I7" s="405"/>
      <c r="J7" s="405"/>
    </row>
    <row r="8" spans="1:7" ht="19.5" customHeight="1">
      <c r="A8" s="459" t="s">
        <v>453</v>
      </c>
      <c r="B8" s="459"/>
      <c r="C8" s="459"/>
      <c r="D8" s="405"/>
      <c r="E8" s="405"/>
      <c r="F8" s="405"/>
      <c r="G8" s="405"/>
    </row>
    <row r="10" ht="12.75" customHeight="1">
      <c r="C10" s="4" t="s">
        <v>5</v>
      </c>
    </row>
    <row r="11" spans="1:10" ht="19.5" customHeight="1">
      <c r="A11" s="410" t="s">
        <v>6</v>
      </c>
      <c r="B11" s="410" t="s">
        <v>432</v>
      </c>
      <c r="C11" s="410" t="s">
        <v>454</v>
      </c>
      <c r="D11" s="460"/>
      <c r="E11" s="460"/>
      <c r="F11" s="460"/>
      <c r="G11" s="460"/>
      <c r="H11" s="460"/>
      <c r="I11" s="461"/>
      <c r="J11" s="461"/>
    </row>
    <row r="12" spans="1:10" ht="19.5" customHeight="1">
      <c r="A12" s="454" t="s">
        <v>355</v>
      </c>
      <c r="B12" s="462" t="s">
        <v>455</v>
      </c>
      <c r="C12" s="463">
        <v>0</v>
      </c>
      <c r="D12" s="460"/>
      <c r="E12" s="460"/>
      <c r="F12" s="460"/>
      <c r="G12" s="460"/>
      <c r="H12" s="460"/>
      <c r="I12" s="461"/>
      <c r="J12" s="461"/>
    </row>
    <row r="13" spans="1:10" ht="19.5" customHeight="1">
      <c r="A13" s="454" t="s">
        <v>456</v>
      </c>
      <c r="B13" s="462" t="s">
        <v>457</v>
      </c>
      <c r="C13" s="463"/>
      <c r="D13" s="460"/>
      <c r="E13" s="460"/>
      <c r="F13" s="460"/>
      <c r="G13" s="460"/>
      <c r="H13" s="460"/>
      <c r="I13" s="461"/>
      <c r="J13" s="461"/>
    </row>
    <row r="14" spans="1:10" ht="19.5" customHeight="1">
      <c r="A14" s="464" t="s">
        <v>22</v>
      </c>
      <c r="B14" s="465" t="s">
        <v>458</v>
      </c>
      <c r="C14" s="466">
        <v>100000</v>
      </c>
      <c r="D14" s="460"/>
      <c r="E14" s="460"/>
      <c r="F14" s="460"/>
      <c r="G14" s="460"/>
      <c r="H14" s="460"/>
      <c r="I14" s="461"/>
      <c r="J14" s="461"/>
    </row>
    <row r="15" spans="1:10" ht="19.5" customHeight="1">
      <c r="A15" s="454" t="s">
        <v>459</v>
      </c>
      <c r="B15" s="462" t="s">
        <v>191</v>
      </c>
      <c r="C15" s="463">
        <f>C16</f>
        <v>100000</v>
      </c>
      <c r="D15" s="460"/>
      <c r="E15" s="460"/>
      <c r="F15" s="460"/>
      <c r="G15" s="460"/>
      <c r="H15" s="460"/>
      <c r="I15" s="461"/>
      <c r="J15" s="461"/>
    </row>
    <row r="16" spans="1:10" ht="19.5" customHeight="1">
      <c r="A16" s="467" t="s">
        <v>22</v>
      </c>
      <c r="B16" s="468" t="s">
        <v>460</v>
      </c>
      <c r="C16" s="469">
        <f>SUM(C17:C21)</f>
        <v>100000</v>
      </c>
      <c r="D16" s="460"/>
      <c r="E16" s="460"/>
      <c r="F16" s="460"/>
      <c r="G16" s="460"/>
      <c r="H16" s="460"/>
      <c r="I16" s="461"/>
      <c r="J16" s="461"/>
    </row>
    <row r="17" spans="1:10" ht="15" customHeight="1">
      <c r="A17" s="470"/>
      <c r="B17" s="465" t="s">
        <v>458</v>
      </c>
      <c r="C17" s="471">
        <v>50000</v>
      </c>
      <c r="D17" s="460"/>
      <c r="E17" s="460"/>
      <c r="F17" s="460"/>
      <c r="G17" s="460"/>
      <c r="H17" s="460"/>
      <c r="I17" s="461"/>
      <c r="J17" s="461"/>
    </row>
    <row r="18" spans="1:10" ht="15" customHeight="1">
      <c r="A18" s="470"/>
      <c r="B18" s="472" t="s">
        <v>461</v>
      </c>
      <c r="C18" s="471">
        <v>35000</v>
      </c>
      <c r="D18" s="460"/>
      <c r="E18" s="460"/>
      <c r="F18" s="460"/>
      <c r="G18" s="460"/>
      <c r="H18" s="460"/>
      <c r="I18" s="461"/>
      <c r="J18" s="461"/>
    </row>
    <row r="19" spans="1:10" ht="15" customHeight="1">
      <c r="A19" s="470"/>
      <c r="B19" s="472" t="s">
        <v>462</v>
      </c>
      <c r="C19" s="471">
        <v>10000</v>
      </c>
      <c r="D19" s="460"/>
      <c r="E19" s="460"/>
      <c r="F19" s="460"/>
      <c r="G19" s="460"/>
      <c r="H19" s="460"/>
      <c r="I19" s="461"/>
      <c r="J19" s="461"/>
    </row>
    <row r="20" spans="1:10" ht="15" customHeight="1">
      <c r="A20" s="470"/>
      <c r="B20" s="472" t="s">
        <v>463</v>
      </c>
      <c r="C20" s="471">
        <v>2500</v>
      </c>
      <c r="D20" s="460"/>
      <c r="E20" s="460"/>
      <c r="F20" s="460"/>
      <c r="G20" s="460"/>
      <c r="H20" s="460"/>
      <c r="I20" s="461"/>
      <c r="J20" s="461"/>
    </row>
    <row r="21" spans="1:10" ht="15" customHeight="1">
      <c r="A21" s="470"/>
      <c r="B21" s="472" t="s">
        <v>464</v>
      </c>
      <c r="C21" s="471">
        <v>2500</v>
      </c>
      <c r="D21" s="460"/>
      <c r="E21" s="460"/>
      <c r="F21" s="460"/>
      <c r="G21" s="460"/>
      <c r="H21" s="460"/>
      <c r="I21" s="461"/>
      <c r="J21" s="461"/>
    </row>
    <row r="22" spans="1:10" ht="19.5" customHeight="1">
      <c r="A22" s="470" t="s">
        <v>60</v>
      </c>
      <c r="B22" s="472" t="s">
        <v>465</v>
      </c>
      <c r="C22" s="471"/>
      <c r="D22" s="460"/>
      <c r="E22" s="460"/>
      <c r="F22" s="460"/>
      <c r="G22" s="460"/>
      <c r="H22" s="460"/>
      <c r="I22" s="461"/>
      <c r="J22" s="461"/>
    </row>
    <row r="23" spans="1:10" ht="15" customHeight="1">
      <c r="A23" s="470"/>
      <c r="B23" s="473"/>
      <c r="C23" s="471"/>
      <c r="D23" s="460"/>
      <c r="E23" s="460"/>
      <c r="F23" s="460"/>
      <c r="G23" s="460"/>
      <c r="H23" s="460"/>
      <c r="I23" s="461"/>
      <c r="J23" s="461"/>
    </row>
    <row r="24" spans="1:10" ht="15" customHeight="1">
      <c r="A24" s="474"/>
      <c r="B24" s="475"/>
      <c r="C24" s="476"/>
      <c r="D24" s="460"/>
      <c r="E24" s="460"/>
      <c r="F24" s="460"/>
      <c r="G24" s="460"/>
      <c r="H24" s="460"/>
      <c r="I24" s="461"/>
      <c r="J24" s="461"/>
    </row>
    <row r="25" spans="1:10" ht="19.5" customHeight="1">
      <c r="A25" s="454" t="s">
        <v>466</v>
      </c>
      <c r="B25" s="462" t="s">
        <v>467</v>
      </c>
      <c r="C25" s="463">
        <f>C12+C14-C15</f>
        <v>0</v>
      </c>
      <c r="D25" s="460"/>
      <c r="E25" s="460"/>
      <c r="F25" s="460"/>
      <c r="G25" s="460"/>
      <c r="H25" s="460"/>
      <c r="I25" s="461"/>
      <c r="J25" s="461"/>
    </row>
    <row r="26" spans="1:10" ht="15" customHeight="1">
      <c r="A26" s="460"/>
      <c r="B26" s="460"/>
      <c r="C26" s="460"/>
      <c r="D26" s="460"/>
      <c r="E26" s="460"/>
      <c r="F26" s="460"/>
      <c r="G26" s="460"/>
      <c r="H26" s="460"/>
      <c r="I26" s="461"/>
      <c r="J26" s="461"/>
    </row>
    <row r="27" spans="1:10" ht="15" customHeight="1">
      <c r="A27" s="460"/>
      <c r="B27" s="460"/>
      <c r="C27" s="460"/>
      <c r="D27" s="460"/>
      <c r="E27" s="460"/>
      <c r="F27" s="460"/>
      <c r="G27" s="460"/>
      <c r="H27" s="460"/>
      <c r="I27" s="461"/>
      <c r="J27" s="461"/>
    </row>
    <row r="28" spans="1:10" ht="15" customHeight="1">
      <c r="A28" s="460"/>
      <c r="B28" s="460"/>
      <c r="C28" s="460"/>
      <c r="D28" s="460"/>
      <c r="E28" s="460"/>
      <c r="F28" s="460"/>
      <c r="G28" s="460"/>
      <c r="H28" s="460"/>
      <c r="I28" s="461"/>
      <c r="J28" s="461"/>
    </row>
    <row r="29" spans="1:10" ht="15" customHeight="1">
      <c r="A29" s="460"/>
      <c r="B29" s="460"/>
      <c r="C29" s="460"/>
      <c r="D29" s="460"/>
      <c r="E29" s="460"/>
      <c r="F29" s="460"/>
      <c r="G29" s="460"/>
      <c r="H29" s="460"/>
      <c r="I29" s="461"/>
      <c r="J29" s="461"/>
    </row>
    <row r="30" spans="1:10" ht="15" customHeight="1">
      <c r="A30" s="460"/>
      <c r="B30" s="460"/>
      <c r="C30" s="460"/>
      <c r="D30" s="460"/>
      <c r="E30" s="460"/>
      <c r="F30" s="460"/>
      <c r="G30" s="460"/>
      <c r="H30" s="460"/>
      <c r="I30" s="461"/>
      <c r="J30" s="461"/>
    </row>
    <row r="31" spans="1:10" ht="15" customHeight="1">
      <c r="A31" s="460"/>
      <c r="B31" s="460"/>
      <c r="C31" s="460"/>
      <c r="D31" s="460"/>
      <c r="E31" s="460"/>
      <c r="F31" s="460"/>
      <c r="G31" s="460"/>
      <c r="H31" s="460"/>
      <c r="I31" s="461"/>
      <c r="J31" s="461"/>
    </row>
    <row r="32" spans="1:10" ht="15" customHeight="1">
      <c r="A32" s="461"/>
      <c r="B32" s="461"/>
      <c r="C32" s="461"/>
      <c r="D32" s="461"/>
      <c r="E32" s="461"/>
      <c r="F32" s="461"/>
      <c r="G32" s="461"/>
      <c r="H32" s="461"/>
      <c r="I32" s="461"/>
      <c r="J32" s="461"/>
    </row>
    <row r="33" spans="1:10" ht="15" customHeight="1">
      <c r="A33" s="461"/>
      <c r="B33" s="461"/>
      <c r="C33" s="461"/>
      <c r="D33" s="461"/>
      <c r="E33" s="461"/>
      <c r="F33" s="461"/>
      <c r="G33" s="461"/>
      <c r="H33" s="461"/>
      <c r="I33" s="461"/>
      <c r="J33" s="461"/>
    </row>
    <row r="34" spans="1:10" ht="15" customHeight="1">
      <c r="A34" s="461"/>
      <c r="B34" s="461"/>
      <c r="C34" s="461"/>
      <c r="D34" s="461"/>
      <c r="E34" s="461"/>
      <c r="F34" s="461"/>
      <c r="G34" s="461"/>
      <c r="H34" s="461"/>
      <c r="I34" s="461"/>
      <c r="J34" s="461"/>
    </row>
    <row r="35" spans="1:10" ht="15" customHeight="1">
      <c r="A35" s="461"/>
      <c r="B35" s="461"/>
      <c r="C35" s="461"/>
      <c r="D35" s="461"/>
      <c r="E35" s="461"/>
      <c r="F35" s="461"/>
      <c r="G35" s="461"/>
      <c r="H35" s="461"/>
      <c r="I35" s="461"/>
      <c r="J35" s="461"/>
    </row>
  </sheetData>
  <mergeCells count="2">
    <mergeCell ref="A7:C7"/>
    <mergeCell ref="A8:C8"/>
  </mergeCells>
  <printOptions horizontalCentered="1"/>
  <pageMargins left="0.5902777777777778" right="0.5902777777777778" top="0.7902777777777777" bottom="0.5902777777777778" header="0.5118055555555555" footer="0.5118055555555555"/>
  <pageSetup horizontalDpi="300" verticalDpi="3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SheetLayoutView="100" workbookViewId="0" topLeftCell="A1">
      <selection activeCell="C18" sqref="C18"/>
    </sheetView>
  </sheetViews>
  <sheetFormatPr defaultColWidth="9.140625" defaultRowHeight="12.75" customHeight="1"/>
  <cols>
    <col min="1" max="1" width="5.28125" style="1" customWidth="1"/>
    <col min="2" max="2" width="63.140625" style="1" customWidth="1"/>
    <col min="3" max="3" width="17.7109375" style="1" customWidth="1"/>
    <col min="4" max="16384" width="9.140625" style="1" customWidth="1"/>
  </cols>
  <sheetData>
    <row r="2" ht="12.75" customHeight="1">
      <c r="C2" s="1" t="s">
        <v>468</v>
      </c>
    </row>
    <row r="3" ht="12.75" customHeight="1">
      <c r="C3" s="1" t="s">
        <v>450</v>
      </c>
    </row>
    <row r="4" ht="12.75" customHeight="1">
      <c r="C4" s="1" t="s">
        <v>2</v>
      </c>
    </row>
    <row r="5" ht="12.75" customHeight="1">
      <c r="C5" s="1" t="s">
        <v>451</v>
      </c>
    </row>
    <row r="7" spans="1:10" ht="19.5" customHeight="1">
      <c r="A7" s="459" t="s">
        <v>452</v>
      </c>
      <c r="B7" s="459"/>
      <c r="C7" s="459"/>
      <c r="D7" s="405"/>
      <c r="E7" s="405"/>
      <c r="F7" s="405"/>
      <c r="G7" s="405"/>
      <c r="H7" s="405"/>
      <c r="I7" s="405"/>
      <c r="J7" s="405"/>
    </row>
    <row r="8" spans="1:7" ht="19.5" customHeight="1">
      <c r="A8" s="459" t="s">
        <v>469</v>
      </c>
      <c r="B8" s="459"/>
      <c r="C8" s="459"/>
      <c r="D8" s="405"/>
      <c r="E8" s="405"/>
      <c r="F8" s="405"/>
      <c r="G8" s="405"/>
    </row>
    <row r="10" ht="12.75" customHeight="1">
      <c r="C10" s="4" t="s">
        <v>5</v>
      </c>
    </row>
    <row r="11" spans="1:10" ht="19.5" customHeight="1">
      <c r="A11" s="410" t="s">
        <v>6</v>
      </c>
      <c r="B11" s="410" t="s">
        <v>432</v>
      </c>
      <c r="C11" s="410" t="s">
        <v>470</v>
      </c>
      <c r="D11" s="460"/>
      <c r="E11" s="460"/>
      <c r="F11" s="460"/>
      <c r="G11" s="460"/>
      <c r="H11" s="460"/>
      <c r="I11" s="461"/>
      <c r="J11" s="461"/>
    </row>
    <row r="12" spans="1:10" ht="19.5" customHeight="1">
      <c r="A12" s="454" t="s">
        <v>355</v>
      </c>
      <c r="B12" s="462" t="s">
        <v>455</v>
      </c>
      <c r="C12" s="463">
        <v>285123</v>
      </c>
      <c r="D12" s="460"/>
      <c r="E12" s="460"/>
      <c r="F12" s="460"/>
      <c r="G12" s="460"/>
      <c r="H12" s="460"/>
      <c r="I12" s="461"/>
      <c r="J12" s="461"/>
    </row>
    <row r="13" spans="1:10" ht="19.5" customHeight="1">
      <c r="A13" s="454" t="s">
        <v>456</v>
      </c>
      <c r="B13" s="462" t="s">
        <v>457</v>
      </c>
      <c r="C13" s="463">
        <f>SUM(C14:C16)</f>
        <v>500000</v>
      </c>
      <c r="D13" s="460"/>
      <c r="E13" s="460"/>
      <c r="F13" s="460"/>
      <c r="G13" s="460"/>
      <c r="H13" s="460"/>
      <c r="I13" s="461"/>
      <c r="J13" s="461"/>
    </row>
    <row r="14" spans="1:10" ht="19.5" customHeight="1">
      <c r="A14" s="464" t="s">
        <v>22</v>
      </c>
      <c r="B14" s="465" t="s">
        <v>471</v>
      </c>
      <c r="C14" s="466">
        <v>490000</v>
      </c>
      <c r="D14" s="460"/>
      <c r="E14" s="460"/>
      <c r="F14" s="460"/>
      <c r="G14" s="460"/>
      <c r="H14" s="460"/>
      <c r="I14" s="461"/>
      <c r="J14" s="461"/>
    </row>
    <row r="15" spans="1:10" ht="19.5" customHeight="1">
      <c r="A15" s="470" t="s">
        <v>60</v>
      </c>
      <c r="B15" s="472" t="s">
        <v>472</v>
      </c>
      <c r="C15" s="471">
        <v>10000</v>
      </c>
      <c r="D15" s="460"/>
      <c r="E15" s="460"/>
      <c r="F15" s="460"/>
      <c r="G15" s="460"/>
      <c r="H15" s="460"/>
      <c r="I15" s="461"/>
      <c r="J15" s="461"/>
    </row>
    <row r="16" spans="1:10" ht="19.5" customHeight="1">
      <c r="A16" s="474" t="s">
        <v>26</v>
      </c>
      <c r="B16" s="477"/>
      <c r="C16" s="476"/>
      <c r="D16" s="460"/>
      <c r="E16" s="460"/>
      <c r="F16" s="460"/>
      <c r="G16" s="460"/>
      <c r="H16" s="460"/>
      <c r="I16" s="461"/>
      <c r="J16" s="461"/>
    </row>
    <row r="17" spans="1:10" ht="19.5" customHeight="1">
      <c r="A17" s="454" t="s">
        <v>459</v>
      </c>
      <c r="B17" s="462" t="s">
        <v>191</v>
      </c>
      <c r="C17" s="463">
        <f>C18+C28</f>
        <v>770000</v>
      </c>
      <c r="D17" s="460"/>
      <c r="E17" s="460"/>
      <c r="F17" s="460"/>
      <c r="G17" s="460"/>
      <c r="H17" s="460"/>
      <c r="I17" s="461"/>
      <c r="J17" s="461"/>
    </row>
    <row r="18" spans="1:10" ht="19.5" customHeight="1">
      <c r="A18" s="467" t="s">
        <v>22</v>
      </c>
      <c r="B18" s="468" t="s">
        <v>460</v>
      </c>
      <c r="C18" s="469">
        <f>SUM(C19:C27)</f>
        <v>740000</v>
      </c>
      <c r="D18" s="460"/>
      <c r="E18" s="460"/>
      <c r="F18" s="460"/>
      <c r="G18" s="460"/>
      <c r="H18" s="460"/>
      <c r="I18" s="461"/>
      <c r="J18" s="461"/>
    </row>
    <row r="19" spans="1:10" ht="15" customHeight="1">
      <c r="A19" s="470"/>
      <c r="B19" s="472" t="s">
        <v>473</v>
      </c>
      <c r="C19" s="471">
        <v>100000</v>
      </c>
      <c r="D19" s="460"/>
      <c r="E19" s="460"/>
      <c r="F19" s="460"/>
      <c r="G19" s="460"/>
      <c r="H19" s="460"/>
      <c r="I19" s="461"/>
      <c r="J19" s="461"/>
    </row>
    <row r="20" spans="1:10" ht="15" customHeight="1">
      <c r="A20" s="470"/>
      <c r="B20" s="472" t="s">
        <v>461</v>
      </c>
      <c r="C20" s="471">
        <v>12000</v>
      </c>
      <c r="D20" s="460"/>
      <c r="E20" s="460"/>
      <c r="F20" s="460"/>
      <c r="G20" s="460"/>
      <c r="H20" s="460"/>
      <c r="I20" s="461"/>
      <c r="J20" s="461"/>
    </row>
    <row r="21" spans="1:10" ht="15" customHeight="1">
      <c r="A21" s="470"/>
      <c r="B21" s="472" t="s">
        <v>474</v>
      </c>
      <c r="C21" s="471">
        <v>25500</v>
      </c>
      <c r="D21" s="460"/>
      <c r="E21" s="460"/>
      <c r="F21" s="460"/>
      <c r="G21" s="460"/>
      <c r="H21" s="460"/>
      <c r="I21" s="461"/>
      <c r="J21" s="461"/>
    </row>
    <row r="22" spans="1:10" ht="15" customHeight="1">
      <c r="A22" s="470"/>
      <c r="B22" s="472" t="s">
        <v>475</v>
      </c>
      <c r="C22" s="471">
        <v>550000</v>
      </c>
      <c r="D22" s="460"/>
      <c r="E22" s="460"/>
      <c r="F22" s="460"/>
      <c r="G22" s="460"/>
      <c r="H22" s="460"/>
      <c r="I22" s="461"/>
      <c r="J22" s="461"/>
    </row>
    <row r="23" spans="1:10" ht="15" customHeight="1">
      <c r="A23" s="470"/>
      <c r="B23" s="472" t="s">
        <v>476</v>
      </c>
      <c r="C23" s="471">
        <v>2500</v>
      </c>
      <c r="D23" s="460"/>
      <c r="E23" s="460"/>
      <c r="F23" s="460"/>
      <c r="G23" s="460"/>
      <c r="H23" s="460"/>
      <c r="I23" s="461"/>
      <c r="J23" s="461"/>
    </row>
    <row r="24" spans="1:10" ht="15" customHeight="1">
      <c r="A24" s="470"/>
      <c r="B24" s="472" t="s">
        <v>477</v>
      </c>
      <c r="C24" s="471">
        <v>6000</v>
      </c>
      <c r="D24" s="460"/>
      <c r="E24" s="460"/>
      <c r="F24" s="460"/>
      <c r="G24" s="460"/>
      <c r="H24" s="460"/>
      <c r="I24" s="461"/>
      <c r="J24" s="461"/>
    </row>
    <row r="25" spans="1:10" ht="15" customHeight="1">
      <c r="A25" s="470"/>
      <c r="B25" s="472" t="s">
        <v>478</v>
      </c>
      <c r="C25" s="471">
        <v>6000</v>
      </c>
      <c r="D25" s="460"/>
      <c r="E25" s="460"/>
      <c r="F25" s="460"/>
      <c r="G25" s="460"/>
      <c r="H25" s="460"/>
      <c r="I25" s="461"/>
      <c r="J25" s="461"/>
    </row>
    <row r="26" spans="1:10" ht="15" customHeight="1">
      <c r="A26" s="470"/>
      <c r="B26" s="472" t="s">
        <v>479</v>
      </c>
      <c r="C26" s="471">
        <v>8000</v>
      </c>
      <c r="D26" s="460"/>
      <c r="E26" s="460"/>
      <c r="F26" s="460"/>
      <c r="G26" s="460"/>
      <c r="H26" s="460"/>
      <c r="I26" s="461"/>
      <c r="J26" s="461"/>
    </row>
    <row r="27" spans="1:10" ht="15" customHeight="1">
      <c r="A27" s="470"/>
      <c r="B27" s="472" t="s">
        <v>480</v>
      </c>
      <c r="C27" s="471">
        <v>30000</v>
      </c>
      <c r="D27" s="460"/>
      <c r="E27" s="460"/>
      <c r="F27" s="460"/>
      <c r="G27" s="460"/>
      <c r="H27" s="460"/>
      <c r="I27" s="461"/>
      <c r="J27" s="461"/>
    </row>
    <row r="28" spans="1:10" ht="19.5" customHeight="1">
      <c r="A28" s="470" t="s">
        <v>60</v>
      </c>
      <c r="B28" s="472" t="s">
        <v>465</v>
      </c>
      <c r="C28" s="471">
        <f>SUM(C29:C30)</f>
        <v>30000</v>
      </c>
      <c r="D28" s="460"/>
      <c r="E28" s="460"/>
      <c r="F28" s="460"/>
      <c r="G28" s="460"/>
      <c r="H28" s="460"/>
      <c r="I28" s="461"/>
      <c r="J28" s="461"/>
    </row>
    <row r="29" spans="1:10" ht="15" customHeight="1">
      <c r="A29" s="470"/>
      <c r="B29" s="473" t="s">
        <v>481</v>
      </c>
      <c r="C29" s="471">
        <v>30000</v>
      </c>
      <c r="D29" s="460"/>
      <c r="E29" s="460"/>
      <c r="F29" s="460"/>
      <c r="G29" s="460"/>
      <c r="H29" s="460"/>
      <c r="I29" s="461"/>
      <c r="J29" s="461"/>
    </row>
    <row r="30" spans="1:10" ht="15" customHeight="1">
      <c r="A30" s="474"/>
      <c r="B30" s="475"/>
      <c r="C30" s="476"/>
      <c r="D30" s="460"/>
      <c r="E30" s="460"/>
      <c r="F30" s="460"/>
      <c r="G30" s="460"/>
      <c r="H30" s="460"/>
      <c r="I30" s="461"/>
      <c r="J30" s="461"/>
    </row>
    <row r="31" spans="1:10" ht="19.5" customHeight="1">
      <c r="A31" s="454" t="s">
        <v>466</v>
      </c>
      <c r="B31" s="462" t="s">
        <v>467</v>
      </c>
      <c r="C31" s="463">
        <f>C12+C13-C17</f>
        <v>15123</v>
      </c>
      <c r="D31" s="460"/>
      <c r="E31" s="460"/>
      <c r="F31" s="460"/>
      <c r="G31" s="460"/>
      <c r="H31" s="460"/>
      <c r="I31" s="461"/>
      <c r="J31" s="461"/>
    </row>
    <row r="32" spans="1:10" ht="15" customHeight="1">
      <c r="A32" s="460"/>
      <c r="B32" s="460"/>
      <c r="C32" s="460"/>
      <c r="D32" s="460"/>
      <c r="E32" s="460"/>
      <c r="F32" s="460"/>
      <c r="G32" s="460"/>
      <c r="H32" s="460"/>
      <c r="I32" s="461"/>
      <c r="J32" s="461"/>
    </row>
    <row r="33" spans="1:10" ht="15" customHeight="1">
      <c r="A33" s="460"/>
      <c r="B33" s="460"/>
      <c r="C33" s="460"/>
      <c r="D33" s="460"/>
      <c r="E33" s="460"/>
      <c r="F33" s="460"/>
      <c r="G33" s="460"/>
      <c r="H33" s="460"/>
      <c r="I33" s="461"/>
      <c r="J33" s="461"/>
    </row>
    <row r="34" spans="1:10" ht="15" customHeight="1">
      <c r="A34" s="478"/>
      <c r="B34" s="478"/>
      <c r="C34" s="478"/>
      <c r="D34" s="460"/>
      <c r="E34" s="460"/>
      <c r="F34" s="460"/>
      <c r="G34" s="460"/>
      <c r="H34" s="460"/>
      <c r="I34" s="461"/>
      <c r="J34" s="461"/>
    </row>
    <row r="35" spans="1:10" ht="15" customHeight="1">
      <c r="A35" s="460"/>
      <c r="B35" s="460"/>
      <c r="C35" s="460"/>
      <c r="D35" s="460"/>
      <c r="E35" s="460"/>
      <c r="F35" s="460"/>
      <c r="G35" s="460"/>
      <c r="H35" s="460"/>
      <c r="I35" s="461"/>
      <c r="J35" s="461"/>
    </row>
    <row r="36" spans="1:10" ht="15" customHeight="1">
      <c r="A36" s="460"/>
      <c r="B36" s="460"/>
      <c r="C36" s="460"/>
      <c r="D36" s="460"/>
      <c r="E36" s="460"/>
      <c r="F36" s="460"/>
      <c r="G36" s="460"/>
      <c r="H36" s="460"/>
      <c r="I36" s="461"/>
      <c r="J36" s="461"/>
    </row>
    <row r="37" spans="1:10" ht="15" customHeight="1">
      <c r="A37" s="460"/>
      <c r="B37" s="460"/>
      <c r="C37" s="460"/>
      <c r="D37" s="460"/>
      <c r="E37" s="460"/>
      <c r="F37" s="460"/>
      <c r="G37" s="460"/>
      <c r="H37" s="460"/>
      <c r="I37" s="461"/>
      <c r="J37" s="461"/>
    </row>
    <row r="38" spans="1:10" ht="15" customHeight="1">
      <c r="A38" s="461"/>
      <c r="B38" s="461"/>
      <c r="C38" s="461"/>
      <c r="D38" s="461"/>
      <c r="E38" s="461"/>
      <c r="F38" s="461"/>
      <c r="G38" s="461"/>
      <c r="H38" s="461"/>
      <c r="I38" s="461"/>
      <c r="J38" s="461"/>
    </row>
    <row r="39" spans="1:10" ht="15" customHeight="1">
      <c r="A39" s="461"/>
      <c r="B39" s="461"/>
      <c r="C39" s="461"/>
      <c r="D39" s="461"/>
      <c r="E39" s="461"/>
      <c r="F39" s="461"/>
      <c r="G39" s="461"/>
      <c r="H39" s="461"/>
      <c r="I39" s="461"/>
      <c r="J39" s="461"/>
    </row>
    <row r="40" spans="1:10" ht="15" customHeight="1">
      <c r="A40" s="461"/>
      <c r="B40" s="461"/>
      <c r="C40" s="461"/>
      <c r="D40" s="461"/>
      <c r="E40" s="461"/>
      <c r="F40" s="461"/>
      <c r="G40" s="461"/>
      <c r="H40" s="461"/>
      <c r="I40" s="461"/>
      <c r="J40" s="461"/>
    </row>
    <row r="41" spans="1:10" ht="15" customHeight="1">
      <c r="A41" s="461"/>
      <c r="B41" s="461"/>
      <c r="C41" s="461"/>
      <c r="D41" s="461"/>
      <c r="E41" s="461"/>
      <c r="F41" s="461"/>
      <c r="G41" s="461"/>
      <c r="H41" s="461"/>
      <c r="I41" s="461"/>
      <c r="J41" s="461"/>
    </row>
  </sheetData>
  <mergeCells count="3">
    <mergeCell ref="A7:C7"/>
    <mergeCell ref="A8:C8"/>
    <mergeCell ref="A34:C34"/>
  </mergeCells>
  <printOptions horizontalCentered="1"/>
  <pageMargins left="0.5902777777777778" right="0.5902777777777778" top="0.5097222222222222" bottom="0.5902777777777778" header="0.5118055555555555" footer="0.5118055555555555"/>
  <pageSetup horizontalDpi="300" verticalDpi="300" orientation="portrait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workbookViewId="0" topLeftCell="A13">
      <selection activeCell="M23" sqref="M23"/>
    </sheetView>
  </sheetViews>
  <sheetFormatPr defaultColWidth="9.140625" defaultRowHeight="12.75" customHeight="1"/>
  <cols>
    <col min="1" max="1" width="8.7109375" style="33" customWidth="1"/>
    <col min="2" max="2" width="30.00390625" style="33" customWidth="1"/>
    <col min="3" max="6" width="0" style="33" hidden="1" customWidth="1"/>
    <col min="7" max="10" width="9.8515625" style="33" customWidth="1"/>
    <col min="11" max="11" width="10.140625" style="33" customWidth="1"/>
    <col min="12" max="24" width="9.8515625" style="33" customWidth="1"/>
    <col min="25" max="25" width="9.7109375" style="33" customWidth="1"/>
    <col min="26" max="27" width="9.8515625" style="33" customWidth="1"/>
    <col min="28" max="16384" width="8.7109375" style="33" customWidth="1"/>
  </cols>
  <sheetData>
    <row r="1" spans="1:27" ht="12.75" customHeight="1">
      <c r="A1" s="236"/>
      <c r="B1" s="236"/>
      <c r="C1" s="236"/>
      <c r="D1" s="238"/>
      <c r="E1" s="236"/>
      <c r="F1" s="96"/>
      <c r="G1" s="236"/>
      <c r="H1" s="236"/>
      <c r="I1" s="236"/>
      <c r="J1" s="236"/>
      <c r="K1" s="237" t="s">
        <v>482</v>
      </c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7" t="s">
        <v>482</v>
      </c>
      <c r="Z1" s="236"/>
      <c r="AA1" s="236"/>
    </row>
    <row r="2" spans="1:27" ht="12.75" customHeight="1">
      <c r="A2" s="479"/>
      <c r="B2" s="480"/>
      <c r="C2" s="479"/>
      <c r="D2" s="238"/>
      <c r="E2" s="236"/>
      <c r="F2" s="96"/>
      <c r="G2" s="236"/>
      <c r="H2" s="236"/>
      <c r="I2" s="236"/>
      <c r="J2" s="236"/>
      <c r="K2" s="237" t="s">
        <v>483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7" t="s">
        <v>483</v>
      </c>
      <c r="Z2" s="236"/>
      <c r="AA2" s="236"/>
    </row>
    <row r="3" spans="1:27" ht="12.75" customHeight="1">
      <c r="A3" s="479"/>
      <c r="B3" s="480"/>
      <c r="C3" s="236"/>
      <c r="D3" s="238"/>
      <c r="E3" s="236"/>
      <c r="F3" s="96"/>
      <c r="G3" s="236"/>
      <c r="H3" s="236"/>
      <c r="I3" s="236"/>
      <c r="J3" s="236"/>
      <c r="K3" s="237" t="s">
        <v>2</v>
      </c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7" t="s">
        <v>2</v>
      </c>
      <c r="Z3" s="236"/>
      <c r="AA3" s="236"/>
    </row>
    <row r="4" spans="1:27" ht="12.75" customHeight="1">
      <c r="A4" s="479"/>
      <c r="B4" s="480"/>
      <c r="C4" s="236"/>
      <c r="D4" s="238"/>
      <c r="E4" s="236"/>
      <c r="F4" s="96"/>
      <c r="G4" s="236"/>
      <c r="H4" s="236"/>
      <c r="I4" s="236"/>
      <c r="J4" s="236"/>
      <c r="K4" s="237" t="s">
        <v>484</v>
      </c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7" t="s">
        <v>484</v>
      </c>
      <c r="Z4" s="236"/>
      <c r="AA4" s="236"/>
    </row>
    <row r="5" spans="1:27" ht="12.75" customHeight="1">
      <c r="A5" s="479"/>
      <c r="B5" s="480"/>
      <c r="C5" s="236"/>
      <c r="D5" s="238"/>
      <c r="E5" s="237"/>
      <c r="F5" s="9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</row>
    <row r="6" spans="1:27" ht="12.75" customHeight="1">
      <c r="A6" s="479"/>
      <c r="B6" s="480"/>
      <c r="C6" s="236"/>
      <c r="D6" s="238"/>
      <c r="E6" s="238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</row>
    <row r="7" spans="1:27" ht="12.75" customHeight="1">
      <c r="A7" s="479"/>
      <c r="B7" s="480"/>
      <c r="C7" s="236"/>
      <c r="D7" s="238"/>
      <c r="E7" s="238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</row>
    <row r="8" spans="1:27" ht="12.75" customHeight="1">
      <c r="A8" s="479"/>
      <c r="B8" s="480"/>
      <c r="C8" s="236"/>
      <c r="D8" s="238"/>
      <c r="E8" s="238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</row>
    <row r="9" spans="1:27" ht="12.75" customHeight="1">
      <c r="A9" s="479"/>
      <c r="B9" s="480"/>
      <c r="C9" s="236"/>
      <c r="D9" s="481"/>
      <c r="E9" s="479"/>
      <c r="F9" s="479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</row>
    <row r="10" spans="1:27" ht="12.75" customHeight="1">
      <c r="A10" s="236"/>
      <c r="B10" s="482" t="s">
        <v>485</v>
      </c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 t="s">
        <v>485</v>
      </c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</row>
    <row r="11" spans="1:27" ht="12.75" customHeight="1">
      <c r="A11" s="479"/>
      <c r="B11" s="483"/>
      <c r="C11" s="479"/>
      <c r="D11" s="479"/>
      <c r="E11" s="479"/>
      <c r="F11" s="479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</row>
    <row r="12" spans="1:27" ht="12.75" customHeight="1">
      <c r="A12" s="479"/>
      <c r="B12" s="483"/>
      <c r="C12" s="479"/>
      <c r="D12" s="479"/>
      <c r="E12" s="479"/>
      <c r="F12" s="479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</row>
    <row r="13" spans="1:27" ht="12.75" customHeight="1">
      <c r="A13" s="479"/>
      <c r="B13" s="480"/>
      <c r="C13" s="479"/>
      <c r="D13" s="479"/>
      <c r="E13" s="479"/>
      <c r="F13" s="479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</row>
    <row r="14" spans="1:27" ht="13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9" t="s">
        <v>486</v>
      </c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9" t="s">
        <v>486</v>
      </c>
    </row>
    <row r="15" spans="1:27" ht="12.75" customHeight="1">
      <c r="A15" s="484"/>
      <c r="B15" s="485"/>
      <c r="C15" s="486"/>
      <c r="D15" s="487" t="s">
        <v>487</v>
      </c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8"/>
      <c r="P15" s="488"/>
      <c r="Q15" s="488"/>
      <c r="R15" s="488"/>
      <c r="S15" s="488"/>
      <c r="T15" s="488" t="s">
        <v>487</v>
      </c>
      <c r="U15" s="488"/>
      <c r="V15" s="488"/>
      <c r="W15" s="488"/>
      <c r="X15" s="488"/>
      <c r="Y15" s="488"/>
      <c r="Z15" s="488"/>
      <c r="AA15" s="489"/>
    </row>
    <row r="16" spans="1:27" ht="12.75" customHeight="1">
      <c r="A16" s="490"/>
      <c r="B16" s="491" t="s">
        <v>488</v>
      </c>
      <c r="C16" s="492" t="s">
        <v>489</v>
      </c>
      <c r="D16" s="493"/>
      <c r="E16" s="494" t="s">
        <v>490</v>
      </c>
      <c r="F16" s="495" t="s">
        <v>489</v>
      </c>
      <c r="G16" s="495" t="s">
        <v>491</v>
      </c>
      <c r="H16" s="496"/>
      <c r="I16" s="497"/>
      <c r="J16" s="496"/>
      <c r="K16" s="497"/>
      <c r="L16" s="496"/>
      <c r="M16" s="496"/>
      <c r="N16" s="496"/>
      <c r="O16" s="497"/>
      <c r="P16" s="496"/>
      <c r="Q16" s="497"/>
      <c r="R16" s="496"/>
      <c r="S16" s="497"/>
      <c r="T16" s="496"/>
      <c r="U16" s="497"/>
      <c r="V16" s="496"/>
      <c r="W16" s="497"/>
      <c r="X16" s="496"/>
      <c r="Y16" s="497"/>
      <c r="Z16" s="496"/>
      <c r="AA16" s="498"/>
    </row>
    <row r="17" spans="1:27" ht="12.75" customHeight="1">
      <c r="A17" s="499" t="s">
        <v>346</v>
      </c>
      <c r="B17" s="491" t="s">
        <v>492</v>
      </c>
      <c r="C17" s="491" t="s">
        <v>493</v>
      </c>
      <c r="D17" s="492" t="s">
        <v>489</v>
      </c>
      <c r="E17" s="494"/>
      <c r="F17" s="491">
        <v>2008</v>
      </c>
      <c r="G17" s="491">
        <v>2009</v>
      </c>
      <c r="H17" s="491">
        <v>2010</v>
      </c>
      <c r="I17" s="500">
        <v>2011</v>
      </c>
      <c r="J17" s="491">
        <v>2012</v>
      </c>
      <c r="K17" s="500">
        <v>2013</v>
      </c>
      <c r="L17" s="491">
        <v>2014</v>
      </c>
      <c r="M17" s="491">
        <v>2015</v>
      </c>
      <c r="N17" s="491">
        <v>2016</v>
      </c>
      <c r="O17" s="500">
        <v>2017</v>
      </c>
      <c r="P17" s="491">
        <v>2018</v>
      </c>
      <c r="Q17" s="500">
        <v>2019</v>
      </c>
      <c r="R17" s="491">
        <v>2020</v>
      </c>
      <c r="S17" s="500">
        <v>2021</v>
      </c>
      <c r="T17" s="491">
        <v>2022</v>
      </c>
      <c r="U17" s="500">
        <v>2023</v>
      </c>
      <c r="V17" s="491">
        <v>2024</v>
      </c>
      <c r="W17" s="500">
        <v>2025</v>
      </c>
      <c r="X17" s="491">
        <v>2026</v>
      </c>
      <c r="Y17" s="500">
        <v>2027</v>
      </c>
      <c r="Z17" s="491">
        <v>2028</v>
      </c>
      <c r="AA17" s="501">
        <v>2029</v>
      </c>
    </row>
    <row r="18" spans="1:27" ht="12.75" customHeight="1">
      <c r="A18" s="490"/>
      <c r="B18" s="493"/>
      <c r="C18" s="492" t="s">
        <v>494</v>
      </c>
      <c r="D18" s="491" t="s">
        <v>495</v>
      </c>
      <c r="E18" s="494"/>
      <c r="F18" s="502"/>
      <c r="G18" s="502"/>
      <c r="H18" s="502"/>
      <c r="I18" s="503"/>
      <c r="J18" s="502"/>
      <c r="K18" s="503"/>
      <c r="L18" s="502"/>
      <c r="M18" s="502"/>
      <c r="N18" s="502"/>
      <c r="O18" s="503"/>
      <c r="P18" s="502"/>
      <c r="Q18" s="503"/>
      <c r="R18" s="502"/>
      <c r="S18" s="503"/>
      <c r="T18" s="502"/>
      <c r="U18" s="503"/>
      <c r="V18" s="502"/>
      <c r="W18" s="503"/>
      <c r="X18" s="502"/>
      <c r="Y18" s="503"/>
      <c r="Z18" s="502"/>
      <c r="AA18" s="504"/>
    </row>
    <row r="19" spans="1:27" ht="13.5" customHeight="1">
      <c r="A19" s="505"/>
      <c r="B19" s="506"/>
      <c r="C19" s="507"/>
      <c r="D19" s="507"/>
      <c r="E19" s="494"/>
      <c r="F19" s="508"/>
      <c r="G19" s="508"/>
      <c r="H19" s="508"/>
      <c r="I19" s="509"/>
      <c r="J19" s="508"/>
      <c r="K19" s="509"/>
      <c r="L19" s="508"/>
      <c r="M19" s="508"/>
      <c r="N19" s="508"/>
      <c r="O19" s="509"/>
      <c r="P19" s="508"/>
      <c r="Q19" s="509"/>
      <c r="R19" s="508"/>
      <c r="S19" s="509"/>
      <c r="T19" s="508"/>
      <c r="U19" s="509"/>
      <c r="V19" s="508"/>
      <c r="W19" s="509"/>
      <c r="X19" s="508"/>
      <c r="Y19" s="509"/>
      <c r="Z19" s="508"/>
      <c r="AA19" s="510"/>
    </row>
    <row r="20" spans="1:27" ht="13.5" customHeight="1">
      <c r="A20" s="511">
        <v>1</v>
      </c>
      <c r="B20" s="512">
        <v>2</v>
      </c>
      <c r="C20" s="512">
        <v>3</v>
      </c>
      <c r="D20" s="512">
        <v>4</v>
      </c>
      <c r="E20" s="513">
        <v>5</v>
      </c>
      <c r="F20" s="512">
        <v>6</v>
      </c>
      <c r="G20" s="513">
        <v>7</v>
      </c>
      <c r="H20" s="512">
        <v>8</v>
      </c>
      <c r="I20" s="513">
        <v>9</v>
      </c>
      <c r="J20" s="512">
        <v>10</v>
      </c>
      <c r="K20" s="513">
        <v>11</v>
      </c>
      <c r="L20" s="512">
        <v>12</v>
      </c>
      <c r="M20" s="512">
        <v>13</v>
      </c>
      <c r="N20" s="512">
        <v>14</v>
      </c>
      <c r="O20" s="513">
        <v>15</v>
      </c>
      <c r="P20" s="512">
        <v>16</v>
      </c>
      <c r="Q20" s="513">
        <v>17</v>
      </c>
      <c r="R20" s="512">
        <v>18</v>
      </c>
      <c r="S20" s="513">
        <v>19</v>
      </c>
      <c r="T20" s="512">
        <v>20</v>
      </c>
      <c r="U20" s="513">
        <v>21</v>
      </c>
      <c r="V20" s="512">
        <v>22</v>
      </c>
      <c r="W20" s="513">
        <v>23</v>
      </c>
      <c r="X20" s="512">
        <v>24</v>
      </c>
      <c r="Y20" s="513">
        <v>25</v>
      </c>
      <c r="Z20" s="512">
        <v>26</v>
      </c>
      <c r="AA20" s="512">
        <v>27</v>
      </c>
    </row>
    <row r="21" spans="1:27" ht="12.75" customHeight="1">
      <c r="A21" s="514" t="s">
        <v>22</v>
      </c>
      <c r="B21" s="515" t="s">
        <v>496</v>
      </c>
      <c r="C21" s="516">
        <v>0</v>
      </c>
      <c r="D21" s="517">
        <v>0</v>
      </c>
      <c r="E21" s="518">
        <v>4000000</v>
      </c>
      <c r="F21" s="517">
        <v>4000000</v>
      </c>
      <c r="G21" s="519">
        <v>6100000</v>
      </c>
      <c r="H21" s="519">
        <v>6100000</v>
      </c>
      <c r="I21" s="519">
        <v>6100000</v>
      </c>
      <c r="J21" s="520">
        <v>6100000</v>
      </c>
      <c r="K21" s="519" t="e">
        <f>J21-"'[2]sytuacja finans.'!j29"</f>
        <v>#NAME?</v>
      </c>
      <c r="L21" s="519" t="e">
        <f>K21-"'[2]sytuacja finans.'!k29"</f>
        <v>#NAME?</v>
      </c>
      <c r="M21" s="519" t="e">
        <f>L21-"'[2]sytuacja finans.'!l29"</f>
        <v>#NAME?</v>
      </c>
      <c r="N21" s="519" t="e">
        <f>M21-"'[2]sytuacja finans.'!m29"</f>
        <v>#NAME?</v>
      </c>
      <c r="O21" s="519" t="e">
        <f>N21-"'[2]sytuacja finans.'!n29"</f>
        <v>#NAME?</v>
      </c>
      <c r="P21" s="519" t="e">
        <f>O21-"'[2]sytuacja finans.'!o29"</f>
        <v>#NAME?</v>
      </c>
      <c r="Q21" s="519" t="e">
        <f>P21-"'[2]sytuacja finans.'!p29"</f>
        <v>#NAME?</v>
      </c>
      <c r="R21" s="519" t="e">
        <f>Q21-"'[2]sytuacja finans.'!q29"</f>
        <v>#NAME?</v>
      </c>
      <c r="S21" s="519" t="e">
        <f>R21-"'[2]sytuacja finans.'!r29"</f>
        <v>#NAME?</v>
      </c>
      <c r="T21" s="519" t="e">
        <f>S21-"'[2]sytuacja finans.'!s29"</f>
        <v>#NAME?</v>
      </c>
      <c r="U21" s="519" t="e">
        <f>T21-"'[2]sytuacja finans.'!t29"</f>
        <v>#NAME?</v>
      </c>
      <c r="V21" s="519" t="e">
        <f>U21-"'[2]sytuacja finans.'!u29"</f>
        <v>#NAME?</v>
      </c>
      <c r="W21" s="517">
        <v>0</v>
      </c>
      <c r="X21" s="517">
        <v>0</v>
      </c>
      <c r="Y21" s="517">
        <v>0</v>
      </c>
      <c r="Z21" s="517">
        <v>0</v>
      </c>
      <c r="AA21" s="517">
        <v>0</v>
      </c>
    </row>
    <row r="22" spans="1:27" ht="12.75" customHeight="1">
      <c r="A22" s="521" t="s">
        <v>60</v>
      </c>
      <c r="B22" s="522" t="s">
        <v>358</v>
      </c>
      <c r="C22" s="523">
        <v>11018970</v>
      </c>
      <c r="D22" s="524">
        <v>11468903</v>
      </c>
      <c r="E22" s="525">
        <v>7478903</v>
      </c>
      <c r="F22" s="524" t="e">
        <f>E22-"'[2]żródła finans.'!d27"</f>
        <v>#NAME?</v>
      </c>
      <c r="G22" s="524" t="e">
        <f>F22+2295049-"'[3]11a'!f21"</f>
        <v>#NAME?</v>
      </c>
      <c r="H22" s="524" t="e">
        <f>G22+986232-511338</f>
        <v>#NAME?</v>
      </c>
      <c r="I22" s="524" t="e">
        <f>H22-441878</f>
        <v>#NAME?</v>
      </c>
      <c r="J22" s="524" t="e">
        <f>I22-495865</f>
        <v>#NAME?</v>
      </c>
      <c r="K22" s="524" t="e">
        <f>J22-558390</f>
        <v>#NAME?</v>
      </c>
      <c r="L22" s="524" t="e">
        <f>K22-594801</f>
        <v>#NAME?</v>
      </c>
      <c r="M22" s="524" t="e">
        <f>L22-737368</f>
        <v>#NAME?</v>
      </c>
      <c r="N22" s="524" t="e">
        <f>M22-'syt. finans.'!M21</f>
        <v>#NAME?</v>
      </c>
      <c r="O22" s="524" t="e">
        <f>N22-'syt. finans.'!N21</f>
        <v>#NAME?</v>
      </c>
      <c r="P22" s="524" t="e">
        <f>O22-'syt. finans.'!O21</f>
        <v>#NAME?</v>
      </c>
      <c r="Q22" s="524" t="e">
        <f>P22-'syt. finans.'!P21</f>
        <v>#NAME?</v>
      </c>
      <c r="R22" s="524" t="e">
        <f>Q22-'syt. finans.'!Q21</f>
        <v>#NAME?</v>
      </c>
      <c r="S22" s="524" t="e">
        <f>R22-'syt. finans.'!R21</f>
        <v>#NAME?</v>
      </c>
      <c r="T22" s="524" t="e">
        <f>S22-'syt. finans.'!S21</f>
        <v>#NAME?</v>
      </c>
      <c r="U22" s="524" t="e">
        <f>T22-'syt. finans.'!T21</f>
        <v>#NAME?</v>
      </c>
      <c r="V22" s="524" t="e">
        <f>U22-'syt. finans.'!U21</f>
        <v>#NAME?</v>
      </c>
      <c r="W22" s="524" t="e">
        <f>V22-'syt. finans.'!V21</f>
        <v>#NAME?</v>
      </c>
      <c r="X22" s="524" t="e">
        <f>W22-'syt. finans.'!W21</f>
        <v>#NAME?</v>
      </c>
      <c r="Y22" s="524" t="e">
        <f>X22-'syt. finans.'!X21</f>
        <v>#NAME?</v>
      </c>
      <c r="Z22" s="524" t="e">
        <f>Y22-'syt. finans.'!Y21</f>
        <v>#NAME?</v>
      </c>
      <c r="AA22" s="524" t="e">
        <f>Z22-'syt. finans.'!Z21</f>
        <v>#NAME?</v>
      </c>
    </row>
    <row r="23" spans="1:27" ht="12.75" customHeight="1">
      <c r="A23" s="521" t="s">
        <v>26</v>
      </c>
      <c r="B23" s="522" t="s">
        <v>497</v>
      </c>
      <c r="C23" s="523"/>
      <c r="D23" s="524"/>
      <c r="E23" s="525"/>
      <c r="F23" s="524"/>
      <c r="G23" s="524"/>
      <c r="H23" s="524">
        <f>965038-178161</f>
        <v>786877</v>
      </c>
      <c r="I23" s="524">
        <f>H23-178161</f>
        <v>608716</v>
      </c>
      <c r="J23" s="524">
        <f aca="true" t="shared" si="0" ref="J23:L23">I23-178161</f>
        <v>430555</v>
      </c>
      <c r="K23" s="524">
        <f t="shared" si="0"/>
        <v>252394</v>
      </c>
      <c r="L23" s="524">
        <f t="shared" si="0"/>
        <v>74233</v>
      </c>
      <c r="M23" s="524">
        <f>L23-74233</f>
        <v>0</v>
      </c>
      <c r="N23" s="524"/>
      <c r="O23" s="526"/>
      <c r="P23" s="524"/>
      <c r="Q23" s="526"/>
      <c r="R23" s="524"/>
      <c r="S23" s="526"/>
      <c r="T23" s="524"/>
      <c r="U23" s="524"/>
      <c r="V23" s="524"/>
      <c r="W23" s="524"/>
      <c r="X23" s="524"/>
      <c r="Y23" s="524"/>
      <c r="Z23" s="524"/>
      <c r="AA23" s="524"/>
    </row>
    <row r="24" spans="1:27" ht="13.5" customHeight="1">
      <c r="A24" s="527" t="s">
        <v>28</v>
      </c>
      <c r="B24" s="515" t="s">
        <v>360</v>
      </c>
      <c r="C24" s="516">
        <v>171248</v>
      </c>
      <c r="D24" s="517">
        <v>20000</v>
      </c>
      <c r="E24" s="518">
        <v>10000</v>
      </c>
      <c r="F24" s="517">
        <v>0</v>
      </c>
      <c r="G24" s="311">
        <v>0</v>
      </c>
      <c r="H24" s="311">
        <v>0</v>
      </c>
      <c r="I24" s="311">
        <v>0</v>
      </c>
      <c r="J24" s="311">
        <v>0</v>
      </c>
      <c r="K24" s="311">
        <v>0</v>
      </c>
      <c r="L24" s="304">
        <v>0</v>
      </c>
      <c r="M24" s="304">
        <v>0</v>
      </c>
      <c r="N24" s="304">
        <v>0</v>
      </c>
      <c r="O24" s="528">
        <v>0</v>
      </c>
      <c r="P24" s="304">
        <v>0</v>
      </c>
      <c r="Q24" s="528">
        <v>0</v>
      </c>
      <c r="R24" s="304">
        <v>0</v>
      </c>
      <c r="S24" s="528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</row>
    <row r="25" spans="1:27" ht="12.75" customHeight="1">
      <c r="A25" s="514" t="s">
        <v>31</v>
      </c>
      <c r="B25" s="522" t="s">
        <v>498</v>
      </c>
      <c r="C25" s="523"/>
      <c r="D25" s="524"/>
      <c r="E25" s="525"/>
      <c r="F25" s="524"/>
      <c r="G25" s="529"/>
      <c r="H25" s="529"/>
      <c r="I25" s="530"/>
      <c r="J25" s="529"/>
      <c r="K25" s="530"/>
      <c r="L25" s="529"/>
      <c r="M25" s="529"/>
      <c r="N25" s="529"/>
      <c r="O25" s="530"/>
      <c r="P25" s="529"/>
      <c r="Q25" s="530"/>
      <c r="R25" s="529"/>
      <c r="S25" s="530"/>
      <c r="T25" s="529"/>
      <c r="U25" s="529"/>
      <c r="V25" s="529"/>
      <c r="W25" s="529"/>
      <c r="X25" s="529"/>
      <c r="Y25" s="529"/>
      <c r="Z25" s="529"/>
      <c r="AA25" s="529"/>
    </row>
    <row r="26" spans="1:27" ht="12.75" customHeight="1">
      <c r="A26" s="521" t="s">
        <v>33</v>
      </c>
      <c r="B26" s="522" t="s">
        <v>499</v>
      </c>
      <c r="C26" s="523"/>
      <c r="D26" s="524"/>
      <c r="E26" s="525"/>
      <c r="F26" s="524"/>
      <c r="G26" s="529"/>
      <c r="H26" s="529">
        <v>398604</v>
      </c>
      <c r="I26" s="530">
        <v>398604</v>
      </c>
      <c r="J26" s="529">
        <v>398604</v>
      </c>
      <c r="K26" s="530">
        <v>398604</v>
      </c>
      <c r="L26" s="529">
        <v>398604</v>
      </c>
      <c r="M26" s="529">
        <v>398604</v>
      </c>
      <c r="N26" s="529">
        <v>0</v>
      </c>
      <c r="O26" s="530"/>
      <c r="P26" s="529"/>
      <c r="Q26" s="530"/>
      <c r="R26" s="529"/>
      <c r="S26" s="530"/>
      <c r="T26" s="529"/>
      <c r="U26" s="529"/>
      <c r="V26" s="529"/>
      <c r="W26" s="529"/>
      <c r="X26" s="529"/>
      <c r="Y26" s="529"/>
      <c r="Z26" s="529"/>
      <c r="AA26" s="529"/>
    </row>
    <row r="27" spans="1:27" ht="12.75" customHeight="1">
      <c r="A27" s="531"/>
      <c r="B27" s="515" t="s">
        <v>500</v>
      </c>
      <c r="C27" s="516">
        <v>0</v>
      </c>
      <c r="D27" s="517">
        <f aca="true" t="shared" si="1" ref="D27:AA27">D32</f>
        <v>0</v>
      </c>
      <c r="E27" s="518">
        <f t="shared" si="1"/>
        <v>0</v>
      </c>
      <c r="F27" s="517">
        <f t="shared" si="1"/>
        <v>0</v>
      </c>
      <c r="G27" s="304">
        <f t="shared" si="1"/>
        <v>0</v>
      </c>
      <c r="H27" s="304">
        <f t="shared" si="1"/>
        <v>0</v>
      </c>
      <c r="I27" s="528">
        <f t="shared" si="1"/>
        <v>0</v>
      </c>
      <c r="J27" s="304">
        <f t="shared" si="1"/>
        <v>0</v>
      </c>
      <c r="K27" s="528">
        <f t="shared" si="1"/>
        <v>0</v>
      </c>
      <c r="L27" s="304">
        <f t="shared" si="1"/>
        <v>0</v>
      </c>
      <c r="M27" s="304">
        <f t="shared" si="1"/>
        <v>0</v>
      </c>
      <c r="N27" s="304">
        <f t="shared" si="1"/>
        <v>0</v>
      </c>
      <c r="O27" s="528">
        <f t="shared" si="1"/>
        <v>0</v>
      </c>
      <c r="P27" s="304">
        <f t="shared" si="1"/>
        <v>0</v>
      </c>
      <c r="Q27" s="528">
        <f t="shared" si="1"/>
        <v>0</v>
      </c>
      <c r="R27" s="304">
        <f t="shared" si="1"/>
        <v>0</v>
      </c>
      <c r="S27" s="528">
        <f t="shared" si="1"/>
        <v>0</v>
      </c>
      <c r="T27" s="304">
        <f t="shared" si="1"/>
        <v>0</v>
      </c>
      <c r="U27" s="304">
        <f t="shared" si="1"/>
        <v>0</v>
      </c>
      <c r="V27" s="304">
        <f t="shared" si="1"/>
        <v>0</v>
      </c>
      <c r="W27" s="304">
        <f t="shared" si="1"/>
        <v>0</v>
      </c>
      <c r="X27" s="304">
        <f t="shared" si="1"/>
        <v>0</v>
      </c>
      <c r="Y27" s="304">
        <f t="shared" si="1"/>
        <v>0</v>
      </c>
      <c r="Z27" s="304">
        <f t="shared" si="1"/>
        <v>0</v>
      </c>
      <c r="AA27" s="304">
        <f t="shared" si="1"/>
        <v>0</v>
      </c>
    </row>
    <row r="28" spans="1:27" ht="12.75" customHeight="1">
      <c r="A28" s="527"/>
      <c r="B28" s="515" t="s">
        <v>501</v>
      </c>
      <c r="C28" s="516"/>
      <c r="D28" s="517"/>
      <c r="E28" s="518"/>
      <c r="F28" s="517"/>
      <c r="G28" s="304"/>
      <c r="H28" s="304"/>
      <c r="I28" s="528"/>
      <c r="J28" s="304"/>
      <c r="K28" s="528"/>
      <c r="L28" s="304"/>
      <c r="M28" s="304"/>
      <c r="N28" s="304"/>
      <c r="O28" s="528"/>
      <c r="P28" s="304"/>
      <c r="Q28" s="528"/>
      <c r="R28" s="304"/>
      <c r="S28" s="528"/>
      <c r="T28" s="304"/>
      <c r="U28" s="304"/>
      <c r="V28" s="304"/>
      <c r="W28" s="304"/>
      <c r="X28" s="304"/>
      <c r="Y28" s="304"/>
      <c r="Z28" s="304"/>
      <c r="AA28" s="304"/>
    </row>
    <row r="29" spans="1:27" ht="12.75" customHeight="1">
      <c r="A29" s="527"/>
      <c r="B29" s="515" t="s">
        <v>502</v>
      </c>
      <c r="C29" s="516"/>
      <c r="D29" s="517"/>
      <c r="E29" s="518"/>
      <c r="F29" s="517"/>
      <c r="G29" s="304"/>
      <c r="H29" s="304"/>
      <c r="I29" s="528"/>
      <c r="J29" s="304"/>
      <c r="K29" s="528"/>
      <c r="L29" s="304"/>
      <c r="M29" s="304"/>
      <c r="N29" s="304"/>
      <c r="O29" s="528"/>
      <c r="P29" s="304"/>
      <c r="Q29" s="528"/>
      <c r="R29" s="304"/>
      <c r="S29" s="528"/>
      <c r="T29" s="304"/>
      <c r="U29" s="304"/>
      <c r="V29" s="304"/>
      <c r="W29" s="304"/>
      <c r="X29" s="304"/>
      <c r="Y29" s="304"/>
      <c r="Z29" s="304"/>
      <c r="AA29" s="304"/>
    </row>
    <row r="30" spans="1:27" ht="12.75" customHeight="1">
      <c r="A30" s="527"/>
      <c r="B30" s="522" t="s">
        <v>503</v>
      </c>
      <c r="C30" s="523"/>
      <c r="D30" s="524"/>
      <c r="E30" s="525"/>
      <c r="F30" s="524"/>
      <c r="G30" s="529"/>
      <c r="H30" s="529"/>
      <c r="I30" s="530"/>
      <c r="J30" s="529"/>
      <c r="K30" s="530"/>
      <c r="L30" s="529"/>
      <c r="M30" s="529"/>
      <c r="N30" s="529"/>
      <c r="O30" s="530"/>
      <c r="P30" s="529"/>
      <c r="Q30" s="530"/>
      <c r="R30" s="529"/>
      <c r="S30" s="530"/>
      <c r="T30" s="529"/>
      <c r="U30" s="529"/>
      <c r="V30" s="529"/>
      <c r="W30" s="529"/>
      <c r="X30" s="529"/>
      <c r="Y30" s="529"/>
      <c r="Z30" s="529"/>
      <c r="AA30" s="529"/>
    </row>
    <row r="31" spans="1:27" ht="12.75" customHeight="1">
      <c r="A31" s="527"/>
      <c r="B31" s="515" t="s">
        <v>504</v>
      </c>
      <c r="C31" s="516"/>
      <c r="D31" s="517"/>
      <c r="E31" s="518"/>
      <c r="F31" s="517"/>
      <c r="G31" s="304"/>
      <c r="H31" s="304"/>
      <c r="I31" s="528"/>
      <c r="J31" s="304"/>
      <c r="K31" s="528"/>
      <c r="L31" s="304"/>
      <c r="M31" s="304"/>
      <c r="N31" s="304"/>
      <c r="O31" s="528"/>
      <c r="P31" s="304"/>
      <c r="Q31" s="528"/>
      <c r="R31" s="304"/>
      <c r="S31" s="528"/>
      <c r="T31" s="304"/>
      <c r="U31" s="304"/>
      <c r="V31" s="304"/>
      <c r="W31" s="304"/>
      <c r="X31" s="304"/>
      <c r="Y31" s="304"/>
      <c r="Z31" s="304"/>
      <c r="AA31" s="304"/>
    </row>
    <row r="32" spans="1:27" ht="13.5" customHeight="1">
      <c r="A32" s="532"/>
      <c r="B32" s="522" t="s">
        <v>505</v>
      </c>
      <c r="C32" s="533"/>
      <c r="D32" s="524"/>
      <c r="E32" s="525"/>
      <c r="F32" s="524"/>
      <c r="G32" s="529"/>
      <c r="H32" s="529"/>
      <c r="I32" s="530"/>
      <c r="J32" s="529"/>
      <c r="K32" s="530"/>
      <c r="L32" s="529"/>
      <c r="M32" s="529"/>
      <c r="N32" s="529"/>
      <c r="O32" s="530"/>
      <c r="P32" s="529"/>
      <c r="Q32" s="530"/>
      <c r="R32" s="529"/>
      <c r="S32" s="530"/>
      <c r="T32" s="529"/>
      <c r="U32" s="529"/>
      <c r="V32" s="529"/>
      <c r="W32" s="529"/>
      <c r="X32" s="529"/>
      <c r="Y32" s="529"/>
      <c r="Z32" s="529"/>
      <c r="AA32" s="529"/>
    </row>
    <row r="33" spans="1:27" ht="12.75" customHeight="1">
      <c r="A33" s="514" t="s">
        <v>36</v>
      </c>
      <c r="B33" s="534" t="s">
        <v>506</v>
      </c>
      <c r="C33" s="535"/>
      <c r="D33" s="536"/>
      <c r="E33" s="537"/>
      <c r="F33" s="536"/>
      <c r="G33" s="311"/>
      <c r="H33" s="311"/>
      <c r="I33" s="538"/>
      <c r="J33" s="311"/>
      <c r="K33" s="538"/>
      <c r="L33" s="311"/>
      <c r="M33" s="311"/>
      <c r="N33" s="311"/>
      <c r="O33" s="538"/>
      <c r="P33" s="311"/>
      <c r="Q33" s="538"/>
      <c r="R33" s="311"/>
      <c r="S33" s="538"/>
      <c r="T33" s="311"/>
      <c r="U33" s="311"/>
      <c r="V33" s="311"/>
      <c r="W33" s="311"/>
      <c r="X33" s="311"/>
      <c r="Y33" s="311"/>
      <c r="Z33" s="311"/>
      <c r="AA33" s="311"/>
    </row>
    <row r="34" spans="1:27" ht="12.75" customHeight="1">
      <c r="A34" s="521" t="s">
        <v>38</v>
      </c>
      <c r="B34" s="522" t="s">
        <v>507</v>
      </c>
      <c r="C34" s="539">
        <f aca="true" t="shared" si="2" ref="C34:AA34">SUM(C21:C27)</f>
        <v>11190218</v>
      </c>
      <c r="D34" s="540">
        <f t="shared" si="2"/>
        <v>11488903</v>
      </c>
      <c r="E34" s="541">
        <f t="shared" si="2"/>
        <v>11488903</v>
      </c>
      <c r="F34" s="540" t="e">
        <f>SUM(F21:F27)</f>
        <v>#NAME?</v>
      </c>
      <c r="G34" s="542" t="e">
        <f>SUM(G21:G27)</f>
        <v>#NAME?</v>
      </c>
      <c r="H34" s="542" t="e">
        <f t="shared" si="2"/>
        <v>#NAME?</v>
      </c>
      <c r="I34" s="543" t="e">
        <f t="shared" si="2"/>
        <v>#NAME?</v>
      </c>
      <c r="J34" s="542" t="e">
        <f t="shared" si="2"/>
        <v>#NAME?</v>
      </c>
      <c r="K34" s="543" t="e">
        <f t="shared" si="2"/>
        <v>#NAME?</v>
      </c>
      <c r="L34" s="542" t="e">
        <f t="shared" si="2"/>
        <v>#NAME?</v>
      </c>
      <c r="M34" s="542" t="e">
        <f t="shared" si="2"/>
        <v>#NAME?</v>
      </c>
      <c r="N34" s="542" t="e">
        <f t="shared" si="2"/>
        <v>#NAME?</v>
      </c>
      <c r="O34" s="543" t="e">
        <f t="shared" si="2"/>
        <v>#NAME?</v>
      </c>
      <c r="P34" s="542" t="e">
        <f t="shared" si="2"/>
        <v>#NAME?</v>
      </c>
      <c r="Q34" s="543" t="e">
        <f t="shared" si="2"/>
        <v>#NAME?</v>
      </c>
      <c r="R34" s="542" t="e">
        <f t="shared" si="2"/>
        <v>#NAME?</v>
      </c>
      <c r="S34" s="543" t="e">
        <f t="shared" si="2"/>
        <v>#NAME?</v>
      </c>
      <c r="T34" s="542" t="e">
        <f t="shared" si="2"/>
        <v>#NAME?</v>
      </c>
      <c r="U34" s="542" t="e">
        <f t="shared" si="2"/>
        <v>#NAME?</v>
      </c>
      <c r="V34" s="542" t="e">
        <f t="shared" si="2"/>
        <v>#NAME?</v>
      </c>
      <c r="W34" s="542" t="e">
        <f t="shared" si="2"/>
        <v>#NAME?</v>
      </c>
      <c r="X34" s="542" t="e">
        <f t="shared" si="2"/>
        <v>#NAME?</v>
      </c>
      <c r="Y34" s="542" t="e">
        <f t="shared" si="2"/>
        <v>#NAME?</v>
      </c>
      <c r="Z34" s="542" t="e">
        <f t="shared" si="2"/>
        <v>#NAME?</v>
      </c>
      <c r="AA34" s="542" t="e">
        <f t="shared" si="2"/>
        <v>#NAME?</v>
      </c>
    </row>
    <row r="35" spans="1:27" ht="13.5" customHeight="1">
      <c r="A35" s="521" t="s">
        <v>40</v>
      </c>
      <c r="B35" s="544" t="s">
        <v>508</v>
      </c>
      <c r="C35" s="545">
        <v>32826290</v>
      </c>
      <c r="D35" s="546">
        <v>37952654</v>
      </c>
      <c r="E35" s="547" t="e">
        <f>"#REF!"</f>
        <v>#NAME?</v>
      </c>
      <c r="F35" s="548" t="e">
        <f>"'[2]sytuacja finans.'!d11"</f>
        <v>#NAME?</v>
      </c>
      <c r="G35" s="548" t="e">
        <f>"'[3]11a'!f11"</f>
        <v>#NAME?</v>
      </c>
      <c r="H35" s="548">
        <f>'syt. finans.'!G11</f>
        <v>58073177</v>
      </c>
      <c r="I35" s="548">
        <f>'syt. finans.'!H11</f>
        <v>58400146.08499999</v>
      </c>
      <c r="J35" s="548">
        <f>'syt. finans.'!I11</f>
        <v>58751948.753824994</v>
      </c>
      <c r="K35" s="548">
        <f>'syt. finans.'!J11</f>
        <v>59106108.72900311</v>
      </c>
      <c r="L35" s="548">
        <f>'syt. finans.'!K11</f>
        <v>59462643.230009966</v>
      </c>
      <c r="M35" s="548">
        <f>'syt. finans.'!L11</f>
        <v>59821570.44309546</v>
      </c>
      <c r="N35" s="548">
        <f>'syt. finans.'!M11</f>
        <v>60182908.43221575</v>
      </c>
      <c r="O35" s="548">
        <f>'syt. finans.'!N11</f>
        <v>60546675.414922714</v>
      </c>
      <c r="P35" s="548">
        <f>'syt. finans.'!O11</f>
        <v>60912889.75465393</v>
      </c>
      <c r="Q35" s="548">
        <f>'syt. finans.'!P11</f>
        <v>61281569.975710355</v>
      </c>
      <c r="R35" s="548">
        <f>'syt. finans.'!Q11</f>
        <v>61652734.7555949</v>
      </c>
      <c r="S35" s="548">
        <f>'syt. finans.'!R11</f>
        <v>62026402.92867893</v>
      </c>
      <c r="T35" s="548">
        <f>'syt. finans.'!S11</f>
        <v>62402593.487621434</v>
      </c>
      <c r="U35" s="548">
        <f>'syt. finans.'!T11</f>
        <v>62781325.584801644</v>
      </c>
      <c r="V35" s="548">
        <f>'syt. finans.'!U11</f>
        <v>63162618.53376518</v>
      </c>
      <c r="W35" s="548">
        <f>'syt. finans.'!V11</f>
        <v>63546491.81068392</v>
      </c>
      <c r="X35" s="548">
        <f>'syt. finans.'!W11</f>
        <v>63932965.05582976</v>
      </c>
      <c r="Y35" s="548">
        <f>'syt. finans.'!X11</f>
        <v>64322058.07506226</v>
      </c>
      <c r="Z35" s="548">
        <f>'syt. finans.'!Y11</f>
        <v>64713790.84133044</v>
      </c>
      <c r="AA35" s="546">
        <f>'syt. finans.'!Z11</f>
        <v>65108183.32259491</v>
      </c>
    </row>
    <row r="36" spans="1:27" ht="13.5" customHeight="1">
      <c r="A36" s="527" t="s">
        <v>42</v>
      </c>
      <c r="B36" s="549" t="s">
        <v>509</v>
      </c>
      <c r="C36" s="550">
        <f aca="true" t="shared" si="3" ref="C36:AA36">C34/C35*100</f>
        <v>34.08919497146952</v>
      </c>
      <c r="D36" s="551">
        <f t="shared" si="3"/>
        <v>30.271672173440095</v>
      </c>
      <c r="E36" s="551" t="e">
        <f t="shared" si="3"/>
        <v>#NAME?</v>
      </c>
      <c r="F36" s="551" t="e">
        <f t="shared" si="3"/>
        <v>#NAME?</v>
      </c>
      <c r="G36" s="552" t="e">
        <f t="shared" si="3"/>
        <v>#NAME?</v>
      </c>
      <c r="H36" s="551" t="e">
        <f t="shared" si="3"/>
        <v>#NAME?</v>
      </c>
      <c r="I36" s="552" t="e">
        <f t="shared" si="3"/>
        <v>#NAME?</v>
      </c>
      <c r="J36" s="551" t="e">
        <f t="shared" si="3"/>
        <v>#NAME?</v>
      </c>
      <c r="K36" s="552" t="e">
        <f t="shared" si="3"/>
        <v>#NAME?</v>
      </c>
      <c r="L36" s="551" t="e">
        <f t="shared" si="3"/>
        <v>#NAME?</v>
      </c>
      <c r="M36" s="551" t="e">
        <f t="shared" si="3"/>
        <v>#NAME?</v>
      </c>
      <c r="N36" s="551" t="e">
        <f t="shared" si="3"/>
        <v>#NAME?</v>
      </c>
      <c r="O36" s="552" t="e">
        <f t="shared" si="3"/>
        <v>#NAME?</v>
      </c>
      <c r="P36" s="551" t="e">
        <f t="shared" si="3"/>
        <v>#NAME?</v>
      </c>
      <c r="Q36" s="552" t="e">
        <f t="shared" si="3"/>
        <v>#NAME?</v>
      </c>
      <c r="R36" s="551" t="e">
        <f t="shared" si="3"/>
        <v>#NAME?</v>
      </c>
      <c r="S36" s="553" t="e">
        <f t="shared" si="3"/>
        <v>#NAME?</v>
      </c>
      <c r="T36" s="551" t="e">
        <f t="shared" si="3"/>
        <v>#NAME?</v>
      </c>
      <c r="U36" s="551" t="e">
        <f t="shared" si="3"/>
        <v>#NAME?</v>
      </c>
      <c r="V36" s="551" t="e">
        <f t="shared" si="3"/>
        <v>#NAME?</v>
      </c>
      <c r="W36" s="551" t="e">
        <f t="shared" si="3"/>
        <v>#NAME?</v>
      </c>
      <c r="X36" s="551" t="e">
        <f t="shared" si="3"/>
        <v>#NAME?</v>
      </c>
      <c r="Y36" s="551" t="e">
        <f t="shared" si="3"/>
        <v>#NAME?</v>
      </c>
      <c r="Z36" s="551" t="e">
        <f t="shared" si="3"/>
        <v>#NAME?</v>
      </c>
      <c r="AA36" s="554" t="e">
        <f t="shared" si="3"/>
        <v>#NAME?</v>
      </c>
    </row>
  </sheetData>
  <mergeCells count="4">
    <mergeCell ref="B10:M10"/>
    <mergeCell ref="N10:AA10"/>
    <mergeCell ref="D15:M15"/>
    <mergeCell ref="E16:E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BreakPreview" zoomScaleSheetLayoutView="100" workbookViewId="0" topLeftCell="A1">
      <selection activeCell="G22" sqref="G22"/>
    </sheetView>
  </sheetViews>
  <sheetFormatPr defaultColWidth="9.140625" defaultRowHeight="12.75" customHeight="1"/>
  <cols>
    <col min="1" max="1" width="8.7109375" style="33" customWidth="1"/>
    <col min="2" max="2" width="37.28125" style="33" customWidth="1"/>
    <col min="3" max="5" width="0" style="33" hidden="1" customWidth="1"/>
    <col min="6" max="10" width="10.140625" style="33" customWidth="1"/>
    <col min="11" max="11" width="11.00390625" style="33" customWidth="1"/>
    <col min="12" max="26" width="10.140625" style="33" customWidth="1"/>
    <col min="27" max="16384" width="8.7109375" style="33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510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510</v>
      </c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511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511</v>
      </c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2</v>
      </c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512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513</v>
      </c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2" t="s">
        <v>514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4"/>
      <c r="H7" s="1"/>
      <c r="I7" s="1"/>
      <c r="J7" s="1"/>
      <c r="K7" s="1"/>
      <c r="L7" s="4" t="s">
        <v>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06" t="s">
        <v>5</v>
      </c>
    </row>
    <row r="8" spans="1:26" ht="13.5" customHeight="1">
      <c r="A8" s="555" t="s">
        <v>346</v>
      </c>
      <c r="B8" s="555" t="s">
        <v>432</v>
      </c>
      <c r="C8" s="556" t="s">
        <v>515</v>
      </c>
      <c r="D8" s="556" t="s">
        <v>516</v>
      </c>
      <c r="E8" s="555" t="s">
        <v>517</v>
      </c>
      <c r="F8" s="555"/>
      <c r="G8" s="555"/>
      <c r="H8" s="555"/>
      <c r="I8" s="555"/>
      <c r="J8" s="555"/>
      <c r="K8" s="555"/>
      <c r="L8" s="555"/>
      <c r="M8" s="555" t="s">
        <v>517</v>
      </c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</row>
    <row r="9" spans="1:26" ht="13.5" customHeight="1">
      <c r="A9" s="555"/>
      <c r="B9" s="555"/>
      <c r="C9" s="556"/>
      <c r="D9" s="556"/>
      <c r="E9" s="555" t="s">
        <v>518</v>
      </c>
      <c r="F9" s="555" t="s">
        <v>519</v>
      </c>
      <c r="G9" s="555" t="s">
        <v>79</v>
      </c>
      <c r="H9" s="555" t="s">
        <v>16</v>
      </c>
      <c r="I9" s="555" t="s">
        <v>17</v>
      </c>
      <c r="J9" s="555" t="s">
        <v>520</v>
      </c>
      <c r="K9" s="555" t="s">
        <v>521</v>
      </c>
      <c r="L9" s="555" t="s">
        <v>522</v>
      </c>
      <c r="M9" s="555" t="s">
        <v>523</v>
      </c>
      <c r="N9" s="555" t="s">
        <v>524</v>
      </c>
      <c r="O9" s="555" t="s">
        <v>525</v>
      </c>
      <c r="P9" s="555" t="s">
        <v>526</v>
      </c>
      <c r="Q9" s="555" t="s">
        <v>527</v>
      </c>
      <c r="R9" s="555" t="s">
        <v>528</v>
      </c>
      <c r="S9" s="555" t="s">
        <v>529</v>
      </c>
      <c r="T9" s="555" t="s">
        <v>530</v>
      </c>
      <c r="U9" s="555" t="s">
        <v>531</v>
      </c>
      <c r="V9" s="555" t="s">
        <v>532</v>
      </c>
      <c r="W9" s="555" t="s">
        <v>533</v>
      </c>
      <c r="X9" s="555" t="s">
        <v>534</v>
      </c>
      <c r="Y9" s="555" t="s">
        <v>535</v>
      </c>
      <c r="Z9" s="555" t="s">
        <v>536</v>
      </c>
    </row>
    <row r="10" spans="1:26" ht="13.5" customHeight="1">
      <c r="A10" s="557">
        <v>1</v>
      </c>
      <c r="B10" s="557">
        <v>2</v>
      </c>
      <c r="C10" s="557">
        <v>3</v>
      </c>
      <c r="D10" s="557">
        <v>4</v>
      </c>
      <c r="E10" s="557">
        <v>5</v>
      </c>
      <c r="F10" s="557">
        <v>6</v>
      </c>
      <c r="G10" s="557">
        <v>7</v>
      </c>
      <c r="H10" s="557">
        <v>8</v>
      </c>
      <c r="I10" s="557">
        <v>9</v>
      </c>
      <c r="J10" s="557">
        <v>10</v>
      </c>
      <c r="K10" s="557">
        <v>11</v>
      </c>
      <c r="L10" s="557">
        <v>12</v>
      </c>
      <c r="M10" s="557">
        <v>13</v>
      </c>
      <c r="N10" s="557">
        <v>14</v>
      </c>
      <c r="O10" s="557">
        <v>15</v>
      </c>
      <c r="P10" s="557">
        <v>16</v>
      </c>
      <c r="Q10" s="557">
        <v>17</v>
      </c>
      <c r="R10" s="557">
        <v>18</v>
      </c>
      <c r="S10" s="557">
        <v>19</v>
      </c>
      <c r="T10" s="557">
        <v>20</v>
      </c>
      <c r="U10" s="557">
        <v>21</v>
      </c>
      <c r="V10" s="557">
        <v>22</v>
      </c>
      <c r="W10" s="557">
        <v>23</v>
      </c>
      <c r="X10" s="557">
        <v>24</v>
      </c>
      <c r="Y10" s="557">
        <v>25</v>
      </c>
      <c r="Z10" s="557">
        <v>26</v>
      </c>
    </row>
    <row r="11" spans="1:26" ht="12.75" customHeight="1">
      <c r="A11" s="558" t="s">
        <v>355</v>
      </c>
      <c r="B11" s="559" t="s">
        <v>537</v>
      </c>
      <c r="C11" s="560">
        <f aca="true" t="shared" si="0" ref="C11:Z11">C12+C16+C17</f>
        <v>36867168</v>
      </c>
      <c r="D11" s="560">
        <f t="shared" si="0"/>
        <v>38635998</v>
      </c>
      <c r="E11" s="560">
        <f t="shared" si="0"/>
        <v>34348535</v>
      </c>
      <c r="F11" s="560">
        <f t="shared" si="0"/>
        <v>48874566</v>
      </c>
      <c r="G11" s="560">
        <f t="shared" si="0"/>
        <v>58073177</v>
      </c>
      <c r="H11" s="560">
        <f t="shared" si="0"/>
        <v>58400146.08499999</v>
      </c>
      <c r="I11" s="560">
        <f t="shared" si="0"/>
        <v>58751948.753824994</v>
      </c>
      <c r="J11" s="560">
        <f t="shared" si="0"/>
        <v>59106108.72900311</v>
      </c>
      <c r="K11" s="560">
        <f t="shared" si="0"/>
        <v>59462643.230009966</v>
      </c>
      <c r="L11" s="560">
        <f t="shared" si="0"/>
        <v>59821570.44309546</v>
      </c>
      <c r="M11" s="560">
        <f t="shared" si="0"/>
        <v>60182908.43221575</v>
      </c>
      <c r="N11" s="560">
        <f t="shared" si="0"/>
        <v>60546675.414922714</v>
      </c>
      <c r="O11" s="560">
        <f t="shared" si="0"/>
        <v>60912889.75465393</v>
      </c>
      <c r="P11" s="560">
        <f t="shared" si="0"/>
        <v>61281569.975710355</v>
      </c>
      <c r="Q11" s="560">
        <f t="shared" si="0"/>
        <v>61652734.7555949</v>
      </c>
      <c r="R11" s="560">
        <f t="shared" si="0"/>
        <v>62026402.92867893</v>
      </c>
      <c r="S11" s="560">
        <f t="shared" si="0"/>
        <v>62402593.487621434</v>
      </c>
      <c r="T11" s="560">
        <f t="shared" si="0"/>
        <v>62781325.584801644</v>
      </c>
      <c r="U11" s="560">
        <f t="shared" si="0"/>
        <v>63162618.53376518</v>
      </c>
      <c r="V11" s="560">
        <f t="shared" si="0"/>
        <v>63546491.81068392</v>
      </c>
      <c r="W11" s="560">
        <f t="shared" si="0"/>
        <v>63932965.05582976</v>
      </c>
      <c r="X11" s="560">
        <f t="shared" si="0"/>
        <v>64322058.07506226</v>
      </c>
      <c r="Y11" s="560">
        <f t="shared" si="0"/>
        <v>64713790.84133044</v>
      </c>
      <c r="Z11" s="560">
        <f t="shared" si="0"/>
        <v>65108183.32259491</v>
      </c>
    </row>
    <row r="12" spans="1:26" ht="12.75" customHeight="1">
      <c r="A12" s="561" t="s">
        <v>538</v>
      </c>
      <c r="B12" s="562" t="s">
        <v>539</v>
      </c>
      <c r="C12" s="563">
        <f>SUM(C13:C15)</f>
        <v>10099876</v>
      </c>
      <c r="D12" s="564">
        <f>SUM(D13:D15)</f>
        <v>11134947</v>
      </c>
      <c r="E12" s="563">
        <f>SUM(E13:E15)</f>
        <v>9462991</v>
      </c>
      <c r="F12" s="563">
        <f>SUM(F13:F15)</f>
        <v>10884845</v>
      </c>
      <c r="G12" s="563">
        <f>SUM(G13:G15)</f>
        <v>12428696</v>
      </c>
      <c r="H12" s="563">
        <f>H13+H14+H15</f>
        <v>12527442.68</v>
      </c>
      <c r="I12" s="563">
        <f aca="true" t="shared" si="1" ref="I12:Z12">SUM(I13:I15)</f>
        <v>12649881.831799999</v>
      </c>
      <c r="J12" s="563">
        <f t="shared" si="1"/>
        <v>12773531.472368</v>
      </c>
      <c r="K12" s="563">
        <f t="shared" si="1"/>
        <v>12898403.08709168</v>
      </c>
      <c r="L12" s="563">
        <f t="shared" si="1"/>
        <v>13024509.099462597</v>
      </c>
      <c r="M12" s="563">
        <f t="shared" si="1"/>
        <v>13151861.781864721</v>
      </c>
      <c r="N12" s="563">
        <f t="shared" si="1"/>
        <v>13280473.531319946</v>
      </c>
      <c r="O12" s="563">
        <f t="shared" si="1"/>
        <v>13410356.861633146</v>
      </c>
      <c r="P12" s="563">
        <f t="shared" si="1"/>
        <v>13541524.418224476</v>
      </c>
      <c r="Q12" s="563">
        <f t="shared" si="1"/>
        <v>13673988.970321596</v>
      </c>
      <c r="R12" s="563">
        <f t="shared" si="1"/>
        <v>13807763.414479261</v>
      </c>
      <c r="S12" s="563">
        <f t="shared" si="1"/>
        <v>13942860.775850777</v>
      </c>
      <c r="T12" s="563">
        <f t="shared" si="1"/>
        <v>14079294.209472138</v>
      </c>
      <c r="U12" s="563">
        <f t="shared" si="1"/>
        <v>14217077.00155903</v>
      </c>
      <c r="V12" s="563">
        <f t="shared" si="1"/>
        <v>14356222.570816752</v>
      </c>
      <c r="W12" s="563">
        <f t="shared" si="1"/>
        <v>14496744.46976326</v>
      </c>
      <c r="X12" s="563">
        <f t="shared" si="1"/>
        <v>14638656.386065423</v>
      </c>
      <c r="Y12" s="563">
        <f t="shared" si="1"/>
        <v>14781972.143888634</v>
      </c>
      <c r="Z12" s="563">
        <f t="shared" si="1"/>
        <v>14926705.53166589</v>
      </c>
    </row>
    <row r="13" spans="1:26" ht="12.75" customHeight="1">
      <c r="A13" s="561" t="s">
        <v>22</v>
      </c>
      <c r="B13" s="562" t="s">
        <v>540</v>
      </c>
      <c r="C13" s="563">
        <v>5049604</v>
      </c>
      <c r="D13" s="563">
        <v>6058731</v>
      </c>
      <c r="E13" s="563">
        <v>4501339</v>
      </c>
      <c r="F13" s="563">
        <v>6506735</v>
      </c>
      <c r="G13" s="563">
        <v>7694213</v>
      </c>
      <c r="H13" s="563">
        <f aca="true" t="shared" si="2" ref="H13:Z13">G13*1.01</f>
        <v>7771155.13</v>
      </c>
      <c r="I13" s="563">
        <f t="shared" si="2"/>
        <v>7848866.6813</v>
      </c>
      <c r="J13" s="563">
        <f t="shared" si="2"/>
        <v>7927355.348113</v>
      </c>
      <c r="K13" s="563">
        <f t="shared" si="2"/>
        <v>8006628.90159413</v>
      </c>
      <c r="L13" s="563">
        <f t="shared" si="2"/>
        <v>8086695.190610072</v>
      </c>
      <c r="M13" s="563">
        <f t="shared" si="2"/>
        <v>8167562.1425161725</v>
      </c>
      <c r="N13" s="563">
        <f t="shared" si="2"/>
        <v>8249237.763941335</v>
      </c>
      <c r="O13" s="563">
        <f t="shared" si="2"/>
        <v>8331730.141580748</v>
      </c>
      <c r="P13" s="563">
        <f t="shared" si="2"/>
        <v>8415047.442996556</v>
      </c>
      <c r="Q13" s="563">
        <f t="shared" si="2"/>
        <v>8499197.917426521</v>
      </c>
      <c r="R13" s="563">
        <f t="shared" si="2"/>
        <v>8584189.896600787</v>
      </c>
      <c r="S13" s="563">
        <f t="shared" si="2"/>
        <v>8670031.795566795</v>
      </c>
      <c r="T13" s="563">
        <f t="shared" si="2"/>
        <v>8756732.113522463</v>
      </c>
      <c r="U13" s="563">
        <f t="shared" si="2"/>
        <v>8844299.434657687</v>
      </c>
      <c r="V13" s="563">
        <f t="shared" si="2"/>
        <v>8932742.429004265</v>
      </c>
      <c r="W13" s="563">
        <f t="shared" si="2"/>
        <v>9022069.853294307</v>
      </c>
      <c r="X13" s="563">
        <f t="shared" si="2"/>
        <v>9112290.55182725</v>
      </c>
      <c r="Y13" s="563">
        <f t="shared" si="2"/>
        <v>9203413.457345523</v>
      </c>
      <c r="Z13" s="563">
        <f t="shared" si="2"/>
        <v>9295447.591918979</v>
      </c>
    </row>
    <row r="14" spans="1:26" ht="12.75" customHeight="1">
      <c r="A14" s="561" t="s">
        <v>60</v>
      </c>
      <c r="B14" s="562" t="s">
        <v>541</v>
      </c>
      <c r="C14" s="563">
        <v>1181586</v>
      </c>
      <c r="D14" s="563">
        <v>582661</v>
      </c>
      <c r="E14" s="563">
        <v>1367300</v>
      </c>
      <c r="F14" s="563">
        <v>527300</v>
      </c>
      <c r="G14" s="563">
        <v>586728</v>
      </c>
      <c r="H14" s="563">
        <v>567055</v>
      </c>
      <c r="I14" s="563">
        <f aca="true" t="shared" si="3" ref="I14:Y14">H14*1.005</f>
        <v>569890.2749999999</v>
      </c>
      <c r="J14" s="563">
        <v>572740</v>
      </c>
      <c r="K14" s="563">
        <f t="shared" si="3"/>
        <v>575603.7</v>
      </c>
      <c r="L14" s="563">
        <f t="shared" si="3"/>
        <v>578481.7184999998</v>
      </c>
      <c r="M14" s="563">
        <f t="shared" si="3"/>
        <v>581374.1270924998</v>
      </c>
      <c r="N14" s="563">
        <f>ROUND(M14*1.005,0)</f>
        <v>584281</v>
      </c>
      <c r="O14" s="563">
        <f>(N14*1.005)</f>
        <v>587202.4049999999</v>
      </c>
      <c r="P14" s="563">
        <f t="shared" si="3"/>
        <v>590138.4170249999</v>
      </c>
      <c r="Q14" s="563">
        <f t="shared" si="3"/>
        <v>593089.1091101248</v>
      </c>
      <c r="R14" s="563">
        <f t="shared" si="3"/>
        <v>596054.5546556753</v>
      </c>
      <c r="S14" s="563">
        <f t="shared" si="3"/>
        <v>599034.8274289536</v>
      </c>
      <c r="T14" s="563">
        <f t="shared" si="3"/>
        <v>602030.0015660983</v>
      </c>
      <c r="U14" s="563">
        <f t="shared" si="3"/>
        <v>605040.1515739288</v>
      </c>
      <c r="V14" s="563">
        <f t="shared" si="3"/>
        <v>608065.3523317984</v>
      </c>
      <c r="W14" s="563">
        <f t="shared" si="3"/>
        <v>611105.6790934573</v>
      </c>
      <c r="X14" s="563">
        <f t="shared" si="3"/>
        <v>614161.2074889245</v>
      </c>
      <c r="Y14" s="563">
        <f t="shared" si="3"/>
        <v>617232.013526369</v>
      </c>
      <c r="Z14" s="563">
        <f>ROUND(Y14*1.005,0)</f>
        <v>620318</v>
      </c>
    </row>
    <row r="15" spans="1:26" ht="12.75" customHeight="1">
      <c r="A15" s="561" t="s">
        <v>26</v>
      </c>
      <c r="B15" s="565" t="s">
        <v>542</v>
      </c>
      <c r="C15" s="566">
        <v>3868686</v>
      </c>
      <c r="D15" s="566">
        <v>4493555</v>
      </c>
      <c r="E15" s="566">
        <v>3594352</v>
      </c>
      <c r="F15" s="566">
        <v>3850810</v>
      </c>
      <c r="G15" s="566">
        <v>4147755</v>
      </c>
      <c r="H15" s="566">
        <f aca="true" t="shared" si="4" ref="H15:Z15">G15*1.01</f>
        <v>4189232.55</v>
      </c>
      <c r="I15" s="566">
        <f t="shared" si="4"/>
        <v>4231124.8755</v>
      </c>
      <c r="J15" s="566">
        <f t="shared" si="4"/>
        <v>4273436.124255</v>
      </c>
      <c r="K15" s="566">
        <f t="shared" si="4"/>
        <v>4316170.48549755</v>
      </c>
      <c r="L15" s="566">
        <f t="shared" si="4"/>
        <v>4359332.190352526</v>
      </c>
      <c r="M15" s="566">
        <f t="shared" si="4"/>
        <v>4402925.5122560505</v>
      </c>
      <c r="N15" s="566">
        <f t="shared" si="4"/>
        <v>4446954.7673786115</v>
      </c>
      <c r="O15" s="566">
        <f t="shared" si="4"/>
        <v>4491424.315052398</v>
      </c>
      <c r="P15" s="566">
        <f t="shared" si="4"/>
        <v>4536338.558202921</v>
      </c>
      <c r="Q15" s="566">
        <f t="shared" si="4"/>
        <v>4581701.94378495</v>
      </c>
      <c r="R15" s="566">
        <f t="shared" si="4"/>
        <v>4627518.9632228</v>
      </c>
      <c r="S15" s="566">
        <f t="shared" si="4"/>
        <v>4673794.1528550275</v>
      </c>
      <c r="T15" s="566">
        <f t="shared" si="4"/>
        <v>4720532.094383578</v>
      </c>
      <c r="U15" s="566">
        <f t="shared" si="4"/>
        <v>4767737.415327414</v>
      </c>
      <c r="V15" s="566">
        <f t="shared" si="4"/>
        <v>4815414.789480688</v>
      </c>
      <c r="W15" s="566">
        <f t="shared" si="4"/>
        <v>4863568.937375495</v>
      </c>
      <c r="X15" s="566">
        <f t="shared" si="4"/>
        <v>4912204.62674925</v>
      </c>
      <c r="Y15" s="566">
        <f t="shared" si="4"/>
        <v>4961326.673016743</v>
      </c>
      <c r="Z15" s="566">
        <f t="shared" si="4"/>
        <v>5010939.939746911</v>
      </c>
    </row>
    <row r="16" spans="1:26" ht="12.75" customHeight="1">
      <c r="A16" s="561" t="s">
        <v>543</v>
      </c>
      <c r="B16" s="562" t="s">
        <v>544</v>
      </c>
      <c r="C16" s="563">
        <v>19893594</v>
      </c>
      <c r="D16" s="563">
        <v>20335029</v>
      </c>
      <c r="E16" s="563">
        <v>19010518</v>
      </c>
      <c r="F16" s="563">
        <v>23519230</v>
      </c>
      <c r="G16" s="563">
        <v>26828711</v>
      </c>
      <c r="H16" s="563">
        <f aca="true" t="shared" si="5" ref="H16:W17">G16*1.005</f>
        <v>26962854.554999996</v>
      </c>
      <c r="I16" s="563">
        <f t="shared" si="5"/>
        <v>27097668.827774994</v>
      </c>
      <c r="J16" s="563">
        <f t="shared" si="5"/>
        <v>27233157.171913866</v>
      </c>
      <c r="K16" s="563">
        <f t="shared" si="5"/>
        <v>27369322.957773432</v>
      </c>
      <c r="L16" s="563">
        <f t="shared" si="5"/>
        <v>27506169.572562296</v>
      </c>
      <c r="M16" s="563">
        <f t="shared" si="5"/>
        <v>27643700.420425106</v>
      </c>
      <c r="N16" s="563">
        <f t="shared" si="5"/>
        <v>27781918.922527228</v>
      </c>
      <c r="O16" s="563">
        <f t="shared" si="5"/>
        <v>27920828.51713986</v>
      </c>
      <c r="P16" s="563">
        <f t="shared" si="5"/>
        <v>28060432.659725554</v>
      </c>
      <c r="Q16" s="563">
        <f t="shared" si="5"/>
        <v>28200734.82302418</v>
      </c>
      <c r="R16" s="563">
        <f t="shared" si="5"/>
        <v>28341738.497139297</v>
      </c>
      <c r="S16" s="563">
        <f t="shared" si="5"/>
        <v>28483447.18962499</v>
      </c>
      <c r="T16" s="563">
        <f t="shared" si="5"/>
        <v>28625864.425573114</v>
      </c>
      <c r="U16" s="563">
        <f t="shared" si="5"/>
        <v>28768993.747700978</v>
      </c>
      <c r="V16" s="563">
        <f t="shared" si="5"/>
        <v>28912838.716439478</v>
      </c>
      <c r="W16" s="563">
        <f t="shared" si="5"/>
        <v>29057402.910021674</v>
      </c>
      <c r="X16" s="563">
        <f aca="true" t="shared" si="6" ref="X16:Z17">W16*1.005</f>
        <v>29202689.92457178</v>
      </c>
      <c r="Y16" s="563">
        <f t="shared" si="6"/>
        <v>29348703.374194633</v>
      </c>
      <c r="Z16" s="563">
        <f t="shared" si="6"/>
        <v>29495446.891065605</v>
      </c>
    </row>
    <row r="17" spans="1:26" ht="12.75" customHeight="1">
      <c r="A17" s="561" t="s">
        <v>545</v>
      </c>
      <c r="B17" s="562" t="s">
        <v>546</v>
      </c>
      <c r="C17" s="563">
        <v>6873698</v>
      </c>
      <c r="D17" s="563">
        <v>7166022</v>
      </c>
      <c r="E17" s="563">
        <v>5875026</v>
      </c>
      <c r="F17" s="563">
        <v>14470491</v>
      </c>
      <c r="G17" s="563">
        <v>18815770</v>
      </c>
      <c r="H17" s="563">
        <f>G17*1.005</f>
        <v>18909848.849999998</v>
      </c>
      <c r="I17" s="563">
        <f t="shared" si="5"/>
        <v>19004398.094249997</v>
      </c>
      <c r="J17" s="563">
        <f t="shared" si="5"/>
        <v>19099420.084721245</v>
      </c>
      <c r="K17" s="563">
        <f t="shared" si="5"/>
        <v>19194917.18514485</v>
      </c>
      <c r="L17" s="563">
        <f t="shared" si="5"/>
        <v>19290891.77107057</v>
      </c>
      <c r="M17" s="563">
        <f t="shared" si="5"/>
        <v>19387346.22992592</v>
      </c>
      <c r="N17" s="563">
        <f t="shared" si="5"/>
        <v>19484282.961075548</v>
      </c>
      <c r="O17" s="563">
        <f t="shared" si="5"/>
        <v>19581704.375880923</v>
      </c>
      <c r="P17" s="563">
        <f t="shared" si="5"/>
        <v>19679612.897760324</v>
      </c>
      <c r="Q17" s="563">
        <f t="shared" si="5"/>
        <v>19778010.962249123</v>
      </c>
      <c r="R17" s="563">
        <f t="shared" si="5"/>
        <v>19876901.017060366</v>
      </c>
      <c r="S17" s="563">
        <f t="shared" si="5"/>
        <v>19976285.522145666</v>
      </c>
      <c r="T17" s="563">
        <f t="shared" si="5"/>
        <v>20076166.94975639</v>
      </c>
      <c r="U17" s="563">
        <f t="shared" si="5"/>
        <v>20176547.78450517</v>
      </c>
      <c r="V17" s="563">
        <f t="shared" si="5"/>
        <v>20277430.523427695</v>
      </c>
      <c r="W17" s="563">
        <f t="shared" si="5"/>
        <v>20378817.676044833</v>
      </c>
      <c r="X17" s="563">
        <f t="shared" si="6"/>
        <v>20480711.764425054</v>
      </c>
      <c r="Y17" s="563">
        <f t="shared" si="6"/>
        <v>20583115.323247176</v>
      </c>
      <c r="Z17" s="563">
        <f t="shared" si="6"/>
        <v>20686030.89986341</v>
      </c>
    </row>
    <row r="18" spans="1:26" ht="12.75" customHeight="1">
      <c r="A18" s="561" t="s">
        <v>456</v>
      </c>
      <c r="B18" s="567" t="s">
        <v>547</v>
      </c>
      <c r="C18" s="568">
        <v>33653721</v>
      </c>
      <c r="D18" s="568">
        <v>36182161</v>
      </c>
      <c r="E18" s="568">
        <v>33384525</v>
      </c>
      <c r="F18" s="568">
        <v>52140783</v>
      </c>
      <c r="G18" s="568">
        <v>60406885</v>
      </c>
      <c r="H18" s="568">
        <f>G18*1.005</f>
        <v>60708919.425</v>
      </c>
      <c r="I18" s="568">
        <f aca="true" t="shared" si="7" ref="I18:Z18">H18*1.001</f>
        <v>60769628.34442499</v>
      </c>
      <c r="J18" s="568">
        <f t="shared" si="7"/>
        <v>60830397.97276941</v>
      </c>
      <c r="K18" s="568">
        <f t="shared" si="7"/>
        <v>60891228.37074217</v>
      </c>
      <c r="L18" s="568">
        <f t="shared" si="7"/>
        <v>60952119.599112906</v>
      </c>
      <c r="M18" s="568">
        <f t="shared" si="7"/>
        <v>61013071.71871201</v>
      </c>
      <c r="N18" s="568">
        <f t="shared" si="7"/>
        <v>61074084.79043072</v>
      </c>
      <c r="O18" s="568">
        <f t="shared" si="7"/>
        <v>61135158.87522114</v>
      </c>
      <c r="P18" s="568">
        <f t="shared" si="7"/>
        <v>61196294.03409635</v>
      </c>
      <c r="Q18" s="568">
        <f t="shared" si="7"/>
        <v>61257490.32813044</v>
      </c>
      <c r="R18" s="568">
        <f t="shared" si="7"/>
        <v>61318747.818458565</v>
      </c>
      <c r="S18" s="568">
        <f t="shared" si="7"/>
        <v>61380066.56627702</v>
      </c>
      <c r="T18" s="568">
        <f t="shared" si="7"/>
        <v>61441446.63284329</v>
      </c>
      <c r="U18" s="568">
        <f t="shared" si="7"/>
        <v>61502888.07947613</v>
      </c>
      <c r="V18" s="568">
        <f t="shared" si="7"/>
        <v>61564390.967555605</v>
      </c>
      <c r="W18" s="568">
        <f t="shared" si="7"/>
        <v>61625955.35852315</v>
      </c>
      <c r="X18" s="568">
        <f t="shared" si="7"/>
        <v>61687581.313881665</v>
      </c>
      <c r="Y18" s="568">
        <f t="shared" si="7"/>
        <v>61749268.895195544</v>
      </c>
      <c r="Z18" s="568">
        <f t="shared" si="7"/>
        <v>61811018.16409073</v>
      </c>
    </row>
    <row r="19" spans="1:26" ht="12.75" customHeight="1">
      <c r="A19" s="561" t="s">
        <v>459</v>
      </c>
      <c r="B19" s="567" t="s">
        <v>548</v>
      </c>
      <c r="C19" s="568" t="e">
        <f aca="true" t="shared" si="8" ref="C19:Z19">C20+C24+C28+C29+C30</f>
        <v>#NAME?</v>
      </c>
      <c r="D19" s="568">
        <f t="shared" si="8"/>
        <v>1404002</v>
      </c>
      <c r="E19" s="568" t="e">
        <f t="shared" si="8"/>
        <v>#NAME?</v>
      </c>
      <c r="F19" s="568" t="e">
        <f>F20+F24+F28+F29+F30</f>
        <v>#NAME?</v>
      </c>
      <c r="G19" s="568">
        <f t="shared" si="8"/>
        <v>2224171</v>
      </c>
      <c r="H19" s="568">
        <f t="shared" si="8"/>
        <v>2205225</v>
      </c>
      <c r="I19" s="568">
        <f t="shared" si="8"/>
        <v>2221513</v>
      </c>
      <c r="J19" s="568">
        <f t="shared" si="8"/>
        <v>2642873</v>
      </c>
      <c r="K19" s="568">
        <f t="shared" si="8"/>
        <v>2634105</v>
      </c>
      <c r="L19" s="568">
        <f t="shared" si="8"/>
        <v>2835227</v>
      </c>
      <c r="M19" s="568">
        <f t="shared" si="8"/>
        <v>2708375</v>
      </c>
      <c r="N19" s="568">
        <f t="shared" si="8"/>
        <v>2487067</v>
      </c>
      <c r="O19" s="568">
        <f t="shared" si="8"/>
        <v>2232339</v>
      </c>
      <c r="P19" s="568">
        <f t="shared" si="8"/>
        <v>2078000</v>
      </c>
      <c r="Q19" s="568">
        <f t="shared" si="8"/>
        <v>1865622</v>
      </c>
      <c r="R19" s="568">
        <f t="shared" si="8"/>
        <v>1657376</v>
      </c>
      <c r="S19" s="568">
        <f t="shared" si="8"/>
        <v>1520660</v>
      </c>
      <c r="T19" s="568">
        <f t="shared" si="8"/>
        <v>824071</v>
      </c>
      <c r="U19" s="568">
        <f t="shared" si="8"/>
        <v>622023</v>
      </c>
      <c r="V19" s="568">
        <f t="shared" si="8"/>
        <v>365810</v>
      </c>
      <c r="W19" s="568">
        <f t="shared" si="8"/>
        <v>337735</v>
      </c>
      <c r="X19" s="568">
        <f t="shared" si="8"/>
        <v>321850</v>
      </c>
      <c r="Y19" s="568">
        <f t="shared" si="8"/>
        <v>306365</v>
      </c>
      <c r="Z19" s="568">
        <f t="shared" si="8"/>
        <v>179871</v>
      </c>
    </row>
    <row r="20" spans="1:26" ht="25.5" customHeight="1">
      <c r="A20" s="561" t="s">
        <v>538</v>
      </c>
      <c r="B20" s="569" t="s">
        <v>549</v>
      </c>
      <c r="C20" s="563" t="e">
        <f aca="true" t="shared" si="9" ref="C20:Z20">SUM(C21:C23)</f>
        <v>#NAME?</v>
      </c>
      <c r="D20" s="563">
        <f t="shared" si="9"/>
        <v>1204002</v>
      </c>
      <c r="E20" s="563" t="e">
        <f t="shared" si="9"/>
        <v>#NAME?</v>
      </c>
      <c r="F20" s="563" t="e">
        <f t="shared" si="9"/>
        <v>#NAME?</v>
      </c>
      <c r="G20" s="563">
        <f t="shared" si="9"/>
        <v>1927499</v>
      </c>
      <c r="H20" s="563">
        <f t="shared" si="9"/>
        <v>2205225</v>
      </c>
      <c r="I20" s="563">
        <f t="shared" si="9"/>
        <v>2221513</v>
      </c>
      <c r="J20" s="563">
        <f t="shared" si="9"/>
        <v>2242873</v>
      </c>
      <c r="K20" s="563">
        <f t="shared" si="9"/>
        <v>2234105</v>
      </c>
      <c r="L20" s="563">
        <f t="shared" si="9"/>
        <v>2225227</v>
      </c>
      <c r="M20" s="563">
        <f t="shared" si="9"/>
        <v>2098375</v>
      </c>
      <c r="N20" s="563">
        <f t="shared" si="9"/>
        <v>1877067</v>
      </c>
      <c r="O20" s="563">
        <f t="shared" si="9"/>
        <v>1622339</v>
      </c>
      <c r="P20" s="563">
        <f t="shared" si="9"/>
        <v>1468000</v>
      </c>
      <c r="Q20" s="563">
        <f t="shared" si="9"/>
        <v>1255622</v>
      </c>
      <c r="R20" s="563">
        <f t="shared" si="9"/>
        <v>1047376</v>
      </c>
      <c r="S20" s="563">
        <f t="shared" si="9"/>
        <v>910660</v>
      </c>
      <c r="T20" s="563">
        <f t="shared" si="9"/>
        <v>614071</v>
      </c>
      <c r="U20" s="563">
        <f t="shared" si="9"/>
        <v>412023</v>
      </c>
      <c r="V20" s="563">
        <f t="shared" si="9"/>
        <v>365810</v>
      </c>
      <c r="W20" s="563">
        <f t="shared" si="9"/>
        <v>337735</v>
      </c>
      <c r="X20" s="563">
        <f t="shared" si="9"/>
        <v>321850</v>
      </c>
      <c r="Y20" s="563">
        <f t="shared" si="9"/>
        <v>306365</v>
      </c>
      <c r="Z20" s="563">
        <f t="shared" si="9"/>
        <v>179871</v>
      </c>
    </row>
    <row r="21" spans="1:26" ht="12.75" customHeight="1">
      <c r="A21" s="561" t="s">
        <v>22</v>
      </c>
      <c r="B21" s="562" t="s">
        <v>550</v>
      </c>
      <c r="C21" s="563" t="e">
        <f>"'[2]żródła finans.'!d27"+"'[2]żródła finans.'!d28"</f>
        <v>#NAME?</v>
      </c>
      <c r="D21" s="563">
        <v>438767</v>
      </c>
      <c r="E21" s="563">
        <v>0</v>
      </c>
      <c r="F21" s="563" t="e">
        <f>"'[2]żródła finans.'!e27"</f>
        <v>#NAME?</v>
      </c>
      <c r="G21" s="563">
        <f>511338+178161</f>
        <v>689499</v>
      </c>
      <c r="H21" s="563">
        <f>441878+178161</f>
        <v>620039</v>
      </c>
      <c r="I21" s="563">
        <f>495865+178161</f>
        <v>674026</v>
      </c>
      <c r="J21" s="563">
        <f>558390+178161</f>
        <v>736551</v>
      </c>
      <c r="K21" s="563">
        <f>594801+178161</f>
        <v>772962</v>
      </c>
      <c r="L21" s="563">
        <f>737368+74233</f>
        <v>811601</v>
      </c>
      <c r="M21" s="563">
        <v>837370</v>
      </c>
      <c r="N21" s="563">
        <v>768561</v>
      </c>
      <c r="O21" s="563">
        <f>265848+406384</f>
        <v>672232</v>
      </c>
      <c r="P21" s="563">
        <f>265848+406384</f>
        <v>672232</v>
      </c>
      <c r="Q21" s="563">
        <f>265848+342662</f>
        <v>608510</v>
      </c>
      <c r="R21" s="563">
        <f>265848+278980</f>
        <v>544828</v>
      </c>
      <c r="S21" s="563">
        <f>265848+278980</f>
        <v>544828</v>
      </c>
      <c r="T21" s="563">
        <f>265848+81751</f>
        <v>347599</v>
      </c>
      <c r="U21" s="563">
        <v>265848</v>
      </c>
      <c r="V21" s="563">
        <v>265848</v>
      </c>
      <c r="W21" s="563">
        <v>265848</v>
      </c>
      <c r="X21" s="563">
        <v>265848</v>
      </c>
      <c r="Y21" s="563">
        <v>265848</v>
      </c>
      <c r="Z21" s="563">
        <v>155039</v>
      </c>
    </row>
    <row r="22" spans="1:26" ht="63.75" customHeight="1">
      <c r="A22" s="561" t="s">
        <v>60</v>
      </c>
      <c r="B22" s="569" t="s">
        <v>551</v>
      </c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</row>
    <row r="23" spans="1:26" ht="12.75" customHeight="1">
      <c r="A23" s="561" t="s">
        <v>26</v>
      </c>
      <c r="B23" s="562" t="s">
        <v>552</v>
      </c>
      <c r="C23" s="563">
        <v>646476</v>
      </c>
      <c r="D23" s="563">
        <v>765235</v>
      </c>
      <c r="E23" s="563" t="e">
        <f>E32*0.059</f>
        <v>#NAME?</v>
      </c>
      <c r="F23" s="563">
        <v>1089311</v>
      </c>
      <c r="G23" s="563">
        <v>1238000</v>
      </c>
      <c r="H23" s="563">
        <v>1585186</v>
      </c>
      <c r="I23" s="563">
        <v>1547487</v>
      </c>
      <c r="J23" s="563">
        <v>1506322</v>
      </c>
      <c r="K23" s="563">
        <v>1461143</v>
      </c>
      <c r="L23" s="563">
        <v>1413626</v>
      </c>
      <c r="M23" s="563">
        <v>1261005</v>
      </c>
      <c r="N23" s="563">
        <v>1108506</v>
      </c>
      <c r="O23" s="563">
        <v>950107</v>
      </c>
      <c r="P23" s="563">
        <v>795768</v>
      </c>
      <c r="Q23" s="563">
        <v>647112</v>
      </c>
      <c r="R23" s="563">
        <v>502548</v>
      </c>
      <c r="S23" s="563">
        <v>365832</v>
      </c>
      <c r="T23" s="563">
        <v>266472</v>
      </c>
      <c r="U23" s="563">
        <v>146175</v>
      </c>
      <c r="V23" s="563">
        <v>99962</v>
      </c>
      <c r="W23" s="563">
        <v>71887</v>
      </c>
      <c r="X23" s="563">
        <v>56002</v>
      </c>
      <c r="Y23" s="563">
        <v>40517</v>
      </c>
      <c r="Z23" s="563">
        <v>24832</v>
      </c>
    </row>
    <row r="24" spans="1:26" ht="25.5" customHeight="1">
      <c r="A24" s="561" t="s">
        <v>543</v>
      </c>
      <c r="B24" s="569" t="s">
        <v>553</v>
      </c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</row>
    <row r="25" spans="1:26" ht="12.75" customHeight="1">
      <c r="A25" s="561" t="s">
        <v>22</v>
      </c>
      <c r="B25" s="562" t="s">
        <v>550</v>
      </c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62"/>
    </row>
    <row r="26" spans="1:26" ht="63.75" customHeight="1">
      <c r="A26" s="561" t="s">
        <v>60</v>
      </c>
      <c r="B26" s="569" t="s">
        <v>551</v>
      </c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</row>
    <row r="27" spans="1:26" ht="12.75" customHeight="1">
      <c r="A27" s="561" t="s">
        <v>26</v>
      </c>
      <c r="B27" s="562" t="s">
        <v>552</v>
      </c>
      <c r="C27" s="563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</row>
    <row r="28" spans="1:26" ht="12.75" customHeight="1">
      <c r="A28" s="561" t="s">
        <v>545</v>
      </c>
      <c r="B28" s="562" t="s">
        <v>554</v>
      </c>
      <c r="C28" s="563"/>
      <c r="D28" s="563">
        <v>0</v>
      </c>
      <c r="E28" s="563">
        <v>288888</v>
      </c>
      <c r="F28" s="563">
        <v>250770</v>
      </c>
      <c r="G28" s="563">
        <v>0</v>
      </c>
      <c r="H28" s="563"/>
      <c r="I28" s="563"/>
      <c r="J28" s="563"/>
      <c r="K28" s="563"/>
      <c r="L28" s="563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</row>
    <row r="29" spans="1:26" ht="12.75" customHeight="1">
      <c r="A29" s="561" t="s">
        <v>555</v>
      </c>
      <c r="B29" s="562" t="s">
        <v>385</v>
      </c>
      <c r="C29" s="562"/>
      <c r="D29" s="562"/>
      <c r="E29" s="562"/>
      <c r="F29" s="562"/>
      <c r="G29" s="562"/>
      <c r="H29" s="562"/>
      <c r="I29" s="562"/>
      <c r="J29" s="563">
        <v>400000</v>
      </c>
      <c r="K29" s="563">
        <v>400000</v>
      </c>
      <c r="L29" s="563">
        <v>610000</v>
      </c>
      <c r="M29" s="563">
        <v>610000</v>
      </c>
      <c r="N29" s="563">
        <v>610000</v>
      </c>
      <c r="O29" s="563">
        <v>610000</v>
      </c>
      <c r="P29" s="563">
        <v>610000</v>
      </c>
      <c r="Q29" s="563">
        <v>610000</v>
      </c>
      <c r="R29" s="563">
        <v>610000</v>
      </c>
      <c r="S29" s="563">
        <v>610000</v>
      </c>
      <c r="T29" s="562">
        <v>210000</v>
      </c>
      <c r="U29" s="562">
        <v>210000</v>
      </c>
      <c r="V29" s="562"/>
      <c r="W29" s="562"/>
      <c r="X29" s="562"/>
      <c r="Y29" s="562"/>
      <c r="Z29" s="562"/>
    </row>
    <row r="30" spans="1:26" ht="12.75" customHeight="1">
      <c r="A30" s="561" t="s">
        <v>556</v>
      </c>
      <c r="B30" s="562" t="s">
        <v>557</v>
      </c>
      <c r="C30" s="563">
        <v>303888</v>
      </c>
      <c r="D30" s="563">
        <v>200000</v>
      </c>
      <c r="E30" s="562"/>
      <c r="F30" s="563">
        <v>30000</v>
      </c>
      <c r="G30" s="563">
        <v>296672</v>
      </c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</row>
    <row r="31" spans="1:26" ht="12.75" customHeight="1">
      <c r="A31" s="561" t="s">
        <v>466</v>
      </c>
      <c r="B31" s="567" t="s">
        <v>558</v>
      </c>
      <c r="C31" s="568">
        <f aca="true" t="shared" si="10" ref="C31:Z31">C11-C18</f>
        <v>3213447</v>
      </c>
      <c r="D31" s="568">
        <f t="shared" si="10"/>
        <v>2453837</v>
      </c>
      <c r="E31" s="568">
        <f t="shared" si="10"/>
        <v>964010</v>
      </c>
      <c r="F31" s="568">
        <f t="shared" si="10"/>
        <v>-3266217</v>
      </c>
      <c r="G31" s="568">
        <f t="shared" si="10"/>
        <v>-2333708</v>
      </c>
      <c r="H31" s="568">
        <f t="shared" si="10"/>
        <v>-2308773.3400000036</v>
      </c>
      <c r="I31" s="568">
        <f t="shared" si="10"/>
        <v>-2017679.5905999988</v>
      </c>
      <c r="J31" s="568">
        <f t="shared" si="10"/>
        <v>-1724289.2437663004</v>
      </c>
      <c r="K31" s="568">
        <f t="shared" si="10"/>
        <v>-1428585.1407322064</v>
      </c>
      <c r="L31" s="568">
        <f t="shared" si="10"/>
        <v>-1130549.156017445</v>
      </c>
      <c r="M31" s="568">
        <f t="shared" si="10"/>
        <v>-830163.2864962593</v>
      </c>
      <c r="N31" s="568">
        <f t="shared" si="10"/>
        <v>-527409.3755080029</v>
      </c>
      <c r="O31" s="568">
        <f t="shared" si="10"/>
        <v>-222269.12056721002</v>
      </c>
      <c r="P31" s="568">
        <f t="shared" si="10"/>
        <v>85275.94161400199</v>
      </c>
      <c r="Q31" s="568">
        <f t="shared" si="10"/>
        <v>395244.4274644628</v>
      </c>
      <c r="R31" s="568">
        <f t="shared" si="10"/>
        <v>707655.1102203652</v>
      </c>
      <c r="S31" s="568">
        <f t="shared" si="10"/>
        <v>1022526.9213444144</v>
      </c>
      <c r="T31" s="568">
        <f t="shared" si="10"/>
        <v>1339878.9519583508</v>
      </c>
      <c r="U31" s="568">
        <f t="shared" si="10"/>
        <v>1659730.454289049</v>
      </c>
      <c r="V31" s="568">
        <f t="shared" si="10"/>
        <v>1982100.843128316</v>
      </c>
      <c r="W31" s="568">
        <f t="shared" si="10"/>
        <v>2307009.6973066106</v>
      </c>
      <c r="X31" s="568">
        <f t="shared" si="10"/>
        <v>2634476.7611805946</v>
      </c>
      <c r="Y31" s="568">
        <f t="shared" si="10"/>
        <v>2964521.946134895</v>
      </c>
      <c r="Z31" s="568">
        <f t="shared" si="10"/>
        <v>3297165.1585041806</v>
      </c>
    </row>
    <row r="32" spans="1:26" ht="12.75" customHeight="1">
      <c r="A32" s="561" t="s">
        <v>559</v>
      </c>
      <c r="B32" s="567" t="s">
        <v>560</v>
      </c>
      <c r="C32" s="568" t="e">
        <f>"'[2]prognoza dł. 8'!e32"</f>
        <v>#NAME?</v>
      </c>
      <c r="D32" s="568" t="e">
        <f>"'[2]prognoza dł. 8'!f32"</f>
        <v>#NAME?</v>
      </c>
      <c r="E32" s="568" t="e">
        <f>"'[2]prognoza dł. 8'!g32"</f>
        <v>#NAME?</v>
      </c>
      <c r="F32" s="568" t="e">
        <f>"'[3]11'!g32"</f>
        <v>#NAME?</v>
      </c>
      <c r="G32" s="568" t="e">
        <f>'prognoza długu'!H34</f>
        <v>#NAME?</v>
      </c>
      <c r="H32" s="568" t="e">
        <f>'prognoza długu'!I34</f>
        <v>#NAME?</v>
      </c>
      <c r="I32" s="568" t="e">
        <f>'prognoza długu'!J34</f>
        <v>#NAME?</v>
      </c>
      <c r="J32" s="568" t="e">
        <f>'prognoza długu'!K34</f>
        <v>#NAME?</v>
      </c>
      <c r="K32" s="568" t="e">
        <f>'prognoza długu'!L34</f>
        <v>#NAME?</v>
      </c>
      <c r="L32" s="568" t="e">
        <f>'prognoza długu'!M34</f>
        <v>#NAME?</v>
      </c>
      <c r="M32" s="568" t="e">
        <f>'prognoza długu'!N34</f>
        <v>#NAME?</v>
      </c>
      <c r="N32" s="568" t="e">
        <f>'prognoza długu'!O34</f>
        <v>#NAME?</v>
      </c>
      <c r="O32" s="568" t="e">
        <f>'prognoza długu'!P34</f>
        <v>#NAME?</v>
      </c>
      <c r="P32" s="568" t="e">
        <f>'prognoza długu'!Q34</f>
        <v>#NAME?</v>
      </c>
      <c r="Q32" s="568" t="e">
        <f>'prognoza długu'!R34</f>
        <v>#NAME?</v>
      </c>
      <c r="R32" s="568" t="e">
        <f>'prognoza długu'!S34</f>
        <v>#NAME?</v>
      </c>
      <c r="S32" s="568" t="e">
        <f>'prognoza długu'!T34</f>
        <v>#NAME?</v>
      </c>
      <c r="T32" s="568" t="e">
        <f>'prognoza długu'!U34</f>
        <v>#NAME?</v>
      </c>
      <c r="U32" s="568" t="e">
        <f>'prognoza długu'!V34</f>
        <v>#NAME?</v>
      </c>
      <c r="V32" s="568" t="e">
        <f>'prognoza długu'!W34</f>
        <v>#NAME?</v>
      </c>
      <c r="W32" s="568" t="e">
        <f>'prognoza długu'!X34</f>
        <v>#NAME?</v>
      </c>
      <c r="X32" s="568" t="e">
        <f>'prognoza długu'!Y34</f>
        <v>#NAME?</v>
      </c>
      <c r="Y32" s="568" t="e">
        <f>'prognoza długu'!Z34</f>
        <v>#NAME?</v>
      </c>
      <c r="Z32" s="568" t="e">
        <f>"'[3]11'!aa32"</f>
        <v>#NAME?</v>
      </c>
    </row>
    <row r="33" spans="1:26" ht="51" customHeight="1">
      <c r="A33" s="561" t="s">
        <v>22</v>
      </c>
      <c r="B33" s="569" t="s">
        <v>561</v>
      </c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</row>
    <row r="34" spans="1:26" ht="12.75" customHeight="1">
      <c r="A34" s="561" t="s">
        <v>562</v>
      </c>
      <c r="B34" s="567" t="s">
        <v>563</v>
      </c>
      <c r="C34" s="570" t="e">
        <f aca="true" t="shared" si="11" ref="C34:Z34">C32/C11*100</f>
        <v>#NAME?</v>
      </c>
      <c r="D34" s="570" t="e">
        <f t="shared" si="11"/>
        <v>#NAME?</v>
      </c>
      <c r="E34" s="570" t="e">
        <f t="shared" si="11"/>
        <v>#NAME?</v>
      </c>
      <c r="F34" s="570" t="e">
        <f t="shared" si="11"/>
        <v>#NAME?</v>
      </c>
      <c r="G34" s="570" t="e">
        <f t="shared" si="11"/>
        <v>#NAME?</v>
      </c>
      <c r="H34" s="570" t="e">
        <f t="shared" si="11"/>
        <v>#NAME?</v>
      </c>
      <c r="I34" s="570" t="e">
        <f t="shared" si="11"/>
        <v>#NAME?</v>
      </c>
      <c r="J34" s="570" t="e">
        <f t="shared" si="11"/>
        <v>#NAME?</v>
      </c>
      <c r="K34" s="570" t="e">
        <f t="shared" si="11"/>
        <v>#NAME?</v>
      </c>
      <c r="L34" s="570" t="e">
        <f t="shared" si="11"/>
        <v>#NAME?</v>
      </c>
      <c r="M34" s="570" t="e">
        <f t="shared" si="11"/>
        <v>#NAME?</v>
      </c>
      <c r="N34" s="570" t="e">
        <f t="shared" si="11"/>
        <v>#NAME?</v>
      </c>
      <c r="O34" s="570" t="e">
        <f t="shared" si="11"/>
        <v>#NAME?</v>
      </c>
      <c r="P34" s="570" t="e">
        <f t="shared" si="11"/>
        <v>#NAME?</v>
      </c>
      <c r="Q34" s="570" t="e">
        <f t="shared" si="11"/>
        <v>#NAME?</v>
      </c>
      <c r="R34" s="570" t="e">
        <f t="shared" si="11"/>
        <v>#NAME?</v>
      </c>
      <c r="S34" s="570" t="e">
        <f t="shared" si="11"/>
        <v>#NAME?</v>
      </c>
      <c r="T34" s="570" t="e">
        <f t="shared" si="11"/>
        <v>#NAME?</v>
      </c>
      <c r="U34" s="570" t="e">
        <f t="shared" si="11"/>
        <v>#NAME?</v>
      </c>
      <c r="V34" s="570" t="e">
        <f t="shared" si="11"/>
        <v>#NAME?</v>
      </c>
      <c r="W34" s="570" t="e">
        <f t="shared" si="11"/>
        <v>#NAME?</v>
      </c>
      <c r="X34" s="570" t="e">
        <f t="shared" si="11"/>
        <v>#NAME?</v>
      </c>
      <c r="Y34" s="570" t="e">
        <f t="shared" si="11"/>
        <v>#NAME?</v>
      </c>
      <c r="Z34" s="570" t="e">
        <f t="shared" si="11"/>
        <v>#NAME?</v>
      </c>
    </row>
    <row r="35" spans="1:26" ht="25.5" customHeight="1">
      <c r="A35" s="561" t="s">
        <v>564</v>
      </c>
      <c r="B35" s="571" t="s">
        <v>565</v>
      </c>
      <c r="C35" s="570" t="e">
        <f aca="true" t="shared" si="12" ref="C35:Z35">(C21+C23+C28+C29)/C11*100</f>
        <v>#NAME?</v>
      </c>
      <c r="D35" s="570">
        <f t="shared" si="12"/>
        <v>3.116269961500671</v>
      </c>
      <c r="E35" s="570" t="e">
        <f t="shared" si="12"/>
        <v>#NAME?</v>
      </c>
      <c r="F35" s="570" t="e">
        <f t="shared" si="12"/>
        <v>#NAME?</v>
      </c>
      <c r="G35" s="570">
        <f t="shared" si="12"/>
        <v>3.3190865380070393</v>
      </c>
      <c r="H35" s="570">
        <f t="shared" si="12"/>
        <v>3.776060759831574</v>
      </c>
      <c r="I35" s="570">
        <f t="shared" si="12"/>
        <v>3.7811733008351833</v>
      </c>
      <c r="J35" s="570">
        <f t="shared" si="12"/>
        <v>4.471404152348053</v>
      </c>
      <c r="K35" s="570">
        <f t="shared" si="12"/>
        <v>4.429848484553415</v>
      </c>
      <c r="L35" s="570">
        <f t="shared" si="12"/>
        <v>4.739472700231056</v>
      </c>
      <c r="M35" s="570">
        <f t="shared" si="12"/>
        <v>4.500239470896382</v>
      </c>
      <c r="N35" s="570">
        <f t="shared" si="12"/>
        <v>4.10768548885018</v>
      </c>
      <c r="O35" s="570">
        <f t="shared" si="12"/>
        <v>3.664805608454067</v>
      </c>
      <c r="P35" s="570">
        <f t="shared" si="12"/>
        <v>3.390905293098135</v>
      </c>
      <c r="Q35" s="570">
        <f t="shared" si="12"/>
        <v>3.026016619369342</v>
      </c>
      <c r="R35" s="570">
        <f t="shared" si="12"/>
        <v>2.6720491947690954</v>
      </c>
      <c r="S35" s="570">
        <f t="shared" si="12"/>
        <v>2.436853846950524</v>
      </c>
      <c r="T35" s="570">
        <f t="shared" si="12"/>
        <v>1.3126052887922686</v>
      </c>
      <c r="U35" s="570">
        <f t="shared" si="12"/>
        <v>0.984796093701343</v>
      </c>
      <c r="V35" s="570">
        <f t="shared" si="12"/>
        <v>0.5756572700973198</v>
      </c>
      <c r="W35" s="570">
        <f t="shared" si="12"/>
        <v>0.5282642525730995</v>
      </c>
      <c r="X35" s="570">
        <f t="shared" si="12"/>
        <v>0.5003726709496903</v>
      </c>
      <c r="Y35" s="570">
        <f t="shared" si="12"/>
        <v>0.4734153200067757</v>
      </c>
      <c r="Z35" s="570">
        <f t="shared" si="12"/>
        <v>0.27626481161175054</v>
      </c>
    </row>
    <row r="36" spans="1:26" ht="25.5" customHeight="1">
      <c r="A36" s="561" t="s">
        <v>566</v>
      </c>
      <c r="B36" s="571" t="s">
        <v>567</v>
      </c>
      <c r="C36" s="570" t="e">
        <f aca="true" t="shared" si="13" ref="C36:Z36">C32/C11*100</f>
        <v>#NAME?</v>
      </c>
      <c r="D36" s="570" t="e">
        <f t="shared" si="13"/>
        <v>#NAME?</v>
      </c>
      <c r="E36" s="570" t="e">
        <f t="shared" si="13"/>
        <v>#NAME?</v>
      </c>
      <c r="F36" s="570" t="e">
        <f t="shared" si="13"/>
        <v>#NAME?</v>
      </c>
      <c r="G36" s="570" t="e">
        <f t="shared" si="13"/>
        <v>#NAME?</v>
      </c>
      <c r="H36" s="570" t="e">
        <f t="shared" si="13"/>
        <v>#NAME?</v>
      </c>
      <c r="I36" s="570" t="e">
        <f t="shared" si="13"/>
        <v>#NAME?</v>
      </c>
      <c r="J36" s="570" t="e">
        <f t="shared" si="13"/>
        <v>#NAME?</v>
      </c>
      <c r="K36" s="570" t="e">
        <f t="shared" si="13"/>
        <v>#NAME?</v>
      </c>
      <c r="L36" s="570" t="e">
        <f t="shared" si="13"/>
        <v>#NAME?</v>
      </c>
      <c r="M36" s="570" t="e">
        <f t="shared" si="13"/>
        <v>#NAME?</v>
      </c>
      <c r="N36" s="570" t="e">
        <f t="shared" si="13"/>
        <v>#NAME?</v>
      </c>
      <c r="O36" s="570" t="e">
        <f t="shared" si="13"/>
        <v>#NAME?</v>
      </c>
      <c r="P36" s="570" t="e">
        <f t="shared" si="13"/>
        <v>#NAME?</v>
      </c>
      <c r="Q36" s="570" t="e">
        <f t="shared" si="13"/>
        <v>#NAME?</v>
      </c>
      <c r="R36" s="570" t="e">
        <f t="shared" si="13"/>
        <v>#NAME?</v>
      </c>
      <c r="S36" s="570" t="e">
        <f t="shared" si="13"/>
        <v>#NAME?</v>
      </c>
      <c r="T36" s="570" t="e">
        <f t="shared" si="13"/>
        <v>#NAME?</v>
      </c>
      <c r="U36" s="570" t="e">
        <f t="shared" si="13"/>
        <v>#NAME?</v>
      </c>
      <c r="V36" s="570" t="e">
        <f t="shared" si="13"/>
        <v>#NAME?</v>
      </c>
      <c r="W36" s="570" t="e">
        <f t="shared" si="13"/>
        <v>#NAME?</v>
      </c>
      <c r="X36" s="570" t="e">
        <f t="shared" si="13"/>
        <v>#NAME?</v>
      </c>
      <c r="Y36" s="570" t="e">
        <f t="shared" si="13"/>
        <v>#NAME?</v>
      </c>
      <c r="Z36" s="570" t="e">
        <f t="shared" si="13"/>
        <v>#NAME?</v>
      </c>
    </row>
    <row r="37" spans="1:26" ht="39" customHeight="1">
      <c r="A37" s="572" t="s">
        <v>568</v>
      </c>
      <c r="B37" s="573" t="s">
        <v>569</v>
      </c>
      <c r="C37" s="570" t="e">
        <f aca="true" t="shared" si="14" ref="C37:Z37">(C23+C21+C28+C29)/C11*100</f>
        <v>#NAME?</v>
      </c>
      <c r="D37" s="570">
        <f t="shared" si="14"/>
        <v>3.116269961500671</v>
      </c>
      <c r="E37" s="570" t="e">
        <f t="shared" si="14"/>
        <v>#NAME?</v>
      </c>
      <c r="F37" s="570" t="e">
        <f t="shared" si="14"/>
        <v>#NAME?</v>
      </c>
      <c r="G37" s="570">
        <f t="shared" si="14"/>
        <v>3.3190865380070393</v>
      </c>
      <c r="H37" s="570">
        <f t="shared" si="14"/>
        <v>3.776060759831574</v>
      </c>
      <c r="I37" s="570">
        <f t="shared" si="14"/>
        <v>3.7811733008351833</v>
      </c>
      <c r="J37" s="570">
        <f t="shared" si="14"/>
        <v>4.471404152348053</v>
      </c>
      <c r="K37" s="570">
        <f t="shared" si="14"/>
        <v>4.429848484553415</v>
      </c>
      <c r="L37" s="570">
        <f t="shared" si="14"/>
        <v>4.739472700231056</v>
      </c>
      <c r="M37" s="570">
        <f t="shared" si="14"/>
        <v>4.500239470896382</v>
      </c>
      <c r="N37" s="570">
        <f t="shared" si="14"/>
        <v>4.10768548885018</v>
      </c>
      <c r="O37" s="570">
        <f t="shared" si="14"/>
        <v>3.664805608454067</v>
      </c>
      <c r="P37" s="570">
        <f t="shared" si="14"/>
        <v>3.390905293098135</v>
      </c>
      <c r="Q37" s="570">
        <f t="shared" si="14"/>
        <v>3.026016619369342</v>
      </c>
      <c r="R37" s="570">
        <f t="shared" si="14"/>
        <v>2.6720491947690954</v>
      </c>
      <c r="S37" s="570">
        <f t="shared" si="14"/>
        <v>2.436853846950524</v>
      </c>
      <c r="T37" s="570">
        <f t="shared" si="14"/>
        <v>1.3126052887922686</v>
      </c>
      <c r="U37" s="570">
        <f t="shared" si="14"/>
        <v>0.984796093701343</v>
      </c>
      <c r="V37" s="570">
        <f t="shared" si="14"/>
        <v>0.5756572700973198</v>
      </c>
      <c r="W37" s="570">
        <f t="shared" si="14"/>
        <v>0.5282642525730995</v>
      </c>
      <c r="X37" s="570">
        <f t="shared" si="14"/>
        <v>0.5003726709496903</v>
      </c>
      <c r="Y37" s="570">
        <f t="shared" si="14"/>
        <v>0.4734153200067757</v>
      </c>
      <c r="Z37" s="570">
        <f t="shared" si="14"/>
        <v>0.27626481161175054</v>
      </c>
    </row>
    <row r="38" spans="1:19" ht="30.75" customHeight="1">
      <c r="A38" s="574" t="s">
        <v>570</v>
      </c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</row>
  </sheetData>
  <mergeCells count="8">
    <mergeCell ref="A6:L6"/>
    <mergeCell ref="A8:A9"/>
    <mergeCell ref="B8:B9"/>
    <mergeCell ref="C8:C9"/>
    <mergeCell ref="D8:D9"/>
    <mergeCell ref="E8:L8"/>
    <mergeCell ref="M8:Z8"/>
    <mergeCell ref="A38:S3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view="pageBreakPreview" zoomScaleSheetLayoutView="100" workbookViewId="0" topLeftCell="A13">
      <selection activeCell="G17" sqref="G17"/>
    </sheetView>
  </sheetViews>
  <sheetFormatPr defaultColWidth="9.140625" defaultRowHeight="12.75" customHeight="1"/>
  <cols>
    <col min="1" max="1" width="5.57421875" style="1" customWidth="1"/>
    <col min="2" max="2" width="6.8515625" style="1" customWidth="1"/>
    <col min="3" max="3" width="7.7109375" style="1" customWidth="1"/>
    <col min="4" max="4" width="5.8515625" style="1" customWidth="1"/>
    <col min="5" max="5" width="30.8515625" style="1" customWidth="1"/>
    <col min="6" max="6" width="12.7109375" style="1" customWidth="1"/>
    <col min="7" max="8" width="10.140625" style="1" customWidth="1"/>
    <col min="9" max="9" width="13.140625" style="1" customWidth="1"/>
    <col min="10" max="10" width="14.421875" style="1" customWidth="1"/>
    <col min="11" max="11" width="16.7109375" style="1" customWidth="1"/>
    <col min="12" max="16384" width="9.140625" style="1" customWidth="1"/>
  </cols>
  <sheetData>
    <row r="2" ht="12.75" customHeight="1">
      <c r="J2" s="1" t="s">
        <v>54</v>
      </c>
    </row>
    <row r="3" ht="12.75" customHeight="1">
      <c r="J3" s="1" t="s">
        <v>1</v>
      </c>
    </row>
    <row r="4" ht="12.75" customHeight="1">
      <c r="J4" s="1" t="s">
        <v>2</v>
      </c>
    </row>
    <row r="5" ht="12.75" customHeight="1">
      <c r="J5" s="1" t="s">
        <v>3</v>
      </c>
    </row>
    <row r="8" spans="1:11" ht="18" customHeight="1">
      <c r="A8" s="2" t="s">
        <v>55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 t="s">
        <v>5</v>
      </c>
    </row>
    <row r="10" spans="1:12" s="7" customFormat="1" ht="19.5" customHeight="1">
      <c r="A10" s="5" t="s">
        <v>6</v>
      </c>
      <c r="B10" s="5" t="s">
        <v>7</v>
      </c>
      <c r="C10" s="5" t="s">
        <v>8</v>
      </c>
      <c r="D10" s="5" t="s">
        <v>9</v>
      </c>
      <c r="E10" s="6" t="s">
        <v>56</v>
      </c>
      <c r="F10" s="6" t="s">
        <v>12</v>
      </c>
      <c r="G10" s="6"/>
      <c r="H10" s="6"/>
      <c r="I10" s="6"/>
      <c r="J10" s="6"/>
      <c r="K10" s="6" t="s">
        <v>13</v>
      </c>
      <c r="L10" s="28"/>
    </row>
    <row r="11" spans="1:12" s="7" customFormat="1" ht="19.5" customHeight="1">
      <c r="A11" s="5"/>
      <c r="B11" s="5"/>
      <c r="C11" s="5"/>
      <c r="D11" s="5"/>
      <c r="E11" s="6"/>
      <c r="F11" s="6" t="s">
        <v>14</v>
      </c>
      <c r="G11" s="6" t="s">
        <v>15</v>
      </c>
      <c r="H11" s="6"/>
      <c r="I11" s="6"/>
      <c r="J11" s="6"/>
      <c r="K11" s="6"/>
      <c r="L11" s="28"/>
    </row>
    <row r="12" spans="1:12" s="7" customFormat="1" ht="29.25" customHeight="1">
      <c r="A12" s="5"/>
      <c r="B12" s="5"/>
      <c r="C12" s="5"/>
      <c r="D12" s="5"/>
      <c r="E12" s="6"/>
      <c r="F12" s="6"/>
      <c r="G12" s="6" t="s">
        <v>18</v>
      </c>
      <c r="H12" s="6" t="s">
        <v>19</v>
      </c>
      <c r="I12" s="6" t="s">
        <v>57</v>
      </c>
      <c r="J12" s="6" t="s">
        <v>21</v>
      </c>
      <c r="K12" s="6"/>
      <c r="L12" s="28"/>
    </row>
    <row r="13" spans="1:12" s="7" customFormat="1" ht="19.5" customHeight="1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28"/>
    </row>
    <row r="14" spans="1:12" s="7" customFormat="1" ht="19.5" customHeight="1">
      <c r="A14" s="5"/>
      <c r="B14" s="5"/>
      <c r="C14" s="5"/>
      <c r="D14" s="5"/>
      <c r="E14" s="6"/>
      <c r="F14" s="6"/>
      <c r="G14" s="6"/>
      <c r="H14" s="6"/>
      <c r="I14" s="6"/>
      <c r="J14" s="6"/>
      <c r="K14" s="6"/>
      <c r="L14" s="28"/>
    </row>
    <row r="15" spans="1:12" ht="7.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7</v>
      </c>
      <c r="G15" s="8">
        <v>8</v>
      </c>
      <c r="H15" s="8">
        <v>9</v>
      </c>
      <c r="I15" s="8">
        <v>10</v>
      </c>
      <c r="J15" s="8">
        <v>11</v>
      </c>
      <c r="K15" s="8">
        <v>12</v>
      </c>
      <c r="L15" s="28"/>
    </row>
    <row r="16" spans="1:12" ht="51" customHeight="1">
      <c r="A16" s="9" t="s">
        <v>22</v>
      </c>
      <c r="B16" s="17">
        <v>600</v>
      </c>
      <c r="C16" s="17">
        <v>60014</v>
      </c>
      <c r="D16" s="17">
        <v>6060</v>
      </c>
      <c r="E16" s="30" t="s">
        <v>58</v>
      </c>
      <c r="F16" s="16">
        <v>49750</v>
      </c>
      <c r="G16" s="16">
        <v>49750</v>
      </c>
      <c r="H16" s="16"/>
      <c r="I16" s="31"/>
      <c r="J16" s="16"/>
      <c r="K16" s="12" t="s">
        <v>59</v>
      </c>
      <c r="L16" s="28"/>
    </row>
    <row r="17" spans="1:12" ht="51" customHeight="1">
      <c r="A17" s="9" t="s">
        <v>60</v>
      </c>
      <c r="B17" s="17">
        <v>600</v>
      </c>
      <c r="C17" s="17">
        <v>60014</v>
      </c>
      <c r="D17" s="17">
        <v>6050</v>
      </c>
      <c r="E17" s="30" t="s">
        <v>61</v>
      </c>
      <c r="F17" s="16">
        <f>SUM(G17:J17)</f>
        <v>150000</v>
      </c>
      <c r="G17" s="16">
        <v>0</v>
      </c>
      <c r="H17" s="16"/>
      <c r="I17" s="14">
        <v>150000</v>
      </c>
      <c r="J17" s="16"/>
      <c r="K17" s="12" t="s">
        <v>59</v>
      </c>
      <c r="L17" s="28"/>
    </row>
    <row r="18" spans="1:12" ht="51" customHeight="1">
      <c r="A18" s="9" t="s">
        <v>26</v>
      </c>
      <c r="B18" s="17">
        <v>600</v>
      </c>
      <c r="C18" s="17">
        <v>60014</v>
      </c>
      <c r="D18" s="17">
        <v>6060</v>
      </c>
      <c r="E18" s="30" t="s">
        <v>62</v>
      </c>
      <c r="F18" s="16">
        <v>10250</v>
      </c>
      <c r="G18" s="16">
        <v>10250</v>
      </c>
      <c r="H18" s="16"/>
      <c r="I18" s="31"/>
      <c r="J18" s="16"/>
      <c r="K18" s="12" t="s">
        <v>59</v>
      </c>
      <c r="L18" s="28"/>
    </row>
    <row r="19" spans="1:12" ht="51" customHeight="1">
      <c r="A19" s="9" t="s">
        <v>28</v>
      </c>
      <c r="B19" s="17">
        <v>600</v>
      </c>
      <c r="C19" s="17">
        <v>60014</v>
      </c>
      <c r="D19" s="17">
        <v>6060</v>
      </c>
      <c r="E19" s="30" t="s">
        <v>62</v>
      </c>
      <c r="F19" s="16">
        <v>42000</v>
      </c>
      <c r="G19" s="16">
        <v>42000</v>
      </c>
      <c r="H19" s="16"/>
      <c r="I19" s="31"/>
      <c r="J19" s="16"/>
      <c r="K19" s="12" t="s">
        <v>59</v>
      </c>
      <c r="L19" s="28"/>
    </row>
    <row r="20" spans="1:12" ht="51" customHeight="1">
      <c r="A20" s="9" t="s">
        <v>31</v>
      </c>
      <c r="B20" s="17">
        <v>600</v>
      </c>
      <c r="C20" s="17">
        <v>60014</v>
      </c>
      <c r="D20" s="17">
        <v>6060</v>
      </c>
      <c r="E20" s="30" t="s">
        <v>63</v>
      </c>
      <c r="F20" s="16">
        <v>33000</v>
      </c>
      <c r="G20" s="16">
        <v>33000</v>
      </c>
      <c r="H20" s="16"/>
      <c r="I20" s="31"/>
      <c r="J20" s="16"/>
      <c r="K20" s="12" t="s">
        <v>59</v>
      </c>
      <c r="L20" s="28"/>
    </row>
    <row r="21" spans="1:12" ht="25.5" customHeight="1">
      <c r="A21" s="9" t="s">
        <v>33</v>
      </c>
      <c r="B21" s="17">
        <v>750</v>
      </c>
      <c r="C21" s="17">
        <v>75020</v>
      </c>
      <c r="D21" s="17">
        <v>6060</v>
      </c>
      <c r="E21" s="30" t="s">
        <v>64</v>
      </c>
      <c r="F21" s="16">
        <v>6800</v>
      </c>
      <c r="G21" s="16">
        <v>6800</v>
      </c>
      <c r="H21" s="16"/>
      <c r="I21" s="31"/>
      <c r="J21" s="16"/>
      <c r="K21" s="12" t="s">
        <v>65</v>
      </c>
      <c r="L21" s="28"/>
    </row>
    <row r="22" spans="1:12" ht="25.5" customHeight="1">
      <c r="A22" s="9" t="s">
        <v>36</v>
      </c>
      <c r="B22" s="17">
        <v>750</v>
      </c>
      <c r="C22" s="17">
        <v>75020</v>
      </c>
      <c r="D22" s="17">
        <v>6060</v>
      </c>
      <c r="E22" s="30" t="s">
        <v>62</v>
      </c>
      <c r="F22" s="16">
        <v>42000</v>
      </c>
      <c r="G22" s="16">
        <v>42000</v>
      </c>
      <c r="H22" s="16"/>
      <c r="I22" s="31"/>
      <c r="J22" s="16"/>
      <c r="K22" s="12" t="s">
        <v>65</v>
      </c>
      <c r="L22" s="28"/>
    </row>
    <row r="23" spans="1:12" ht="25.5" customHeight="1">
      <c r="A23" s="9" t="s">
        <v>38</v>
      </c>
      <c r="B23" s="17">
        <v>801</v>
      </c>
      <c r="C23" s="17">
        <v>80130</v>
      </c>
      <c r="D23" s="17">
        <v>6050</v>
      </c>
      <c r="E23" s="30" t="s">
        <v>66</v>
      </c>
      <c r="F23" s="16">
        <v>60000</v>
      </c>
      <c r="G23" s="16">
        <v>60000</v>
      </c>
      <c r="H23" s="16"/>
      <c r="I23" s="31"/>
      <c r="J23" s="16"/>
      <c r="K23" s="12" t="s">
        <v>67</v>
      </c>
      <c r="L23" s="28"/>
    </row>
    <row r="24" spans="1:12" ht="22.5" customHeight="1">
      <c r="A24" s="26" t="s">
        <v>47</v>
      </c>
      <c r="B24" s="26"/>
      <c r="C24" s="26"/>
      <c r="D24" s="26"/>
      <c r="E24" s="26"/>
      <c r="F24" s="32">
        <f>SUM(F16:F23)</f>
        <v>393800</v>
      </c>
      <c r="G24" s="32">
        <f>SUM(G16:G23)</f>
        <v>243800</v>
      </c>
      <c r="H24" s="32">
        <f>SUM(H16:H23)</f>
        <v>0</v>
      </c>
      <c r="I24" s="32">
        <f>SUM(I16:I23)</f>
        <v>150000</v>
      </c>
      <c r="J24" s="32">
        <f>SUM(J16:J23)</f>
        <v>0</v>
      </c>
      <c r="K24" s="27" t="s">
        <v>48</v>
      </c>
      <c r="L24" s="28"/>
    </row>
    <row r="25" spans="1:12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ht="12.75" customHeight="1">
      <c r="A26" s="1" t="s">
        <v>49</v>
      </c>
    </row>
    <row r="27" ht="12.75" customHeight="1">
      <c r="A27" s="1" t="s">
        <v>50</v>
      </c>
    </row>
    <row r="28" ht="12.75" customHeight="1">
      <c r="A28" s="1" t="s">
        <v>51</v>
      </c>
    </row>
    <row r="29" ht="12.75" customHeight="1">
      <c r="A29" s="1" t="s">
        <v>52</v>
      </c>
    </row>
    <row r="31" ht="14.25" customHeight="1">
      <c r="A31" s="29" t="s">
        <v>53</v>
      </c>
    </row>
  </sheetData>
  <mergeCells count="15">
    <mergeCell ref="A8:K8"/>
    <mergeCell ref="A10:A14"/>
    <mergeCell ref="B10:B14"/>
    <mergeCell ref="C10:C14"/>
    <mergeCell ref="D10:D14"/>
    <mergeCell ref="E10:E14"/>
    <mergeCell ref="F10:J10"/>
    <mergeCell ref="K10:K14"/>
    <mergeCell ref="F11:F14"/>
    <mergeCell ref="G11:J11"/>
    <mergeCell ref="G12:G14"/>
    <mergeCell ref="H12:H14"/>
    <mergeCell ref="I12:I14"/>
    <mergeCell ref="J12:J14"/>
    <mergeCell ref="A24:E24"/>
  </mergeCells>
  <printOptions horizontalCentered="1"/>
  <pageMargins left="0.5118055555555555" right="0.39375" top="0.5798611111111112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4"/>
  <sheetViews>
    <sheetView view="pageBreakPreview" zoomScaleSheetLayoutView="100" workbookViewId="0" topLeftCell="A1">
      <pane ySplit="14" topLeftCell="A261" activePane="bottomLeft" state="frozen"/>
      <selection pane="topLeft" activeCell="A1" sqref="A1"/>
      <selection pane="bottomLeft" activeCell="J4" sqref="J4"/>
    </sheetView>
  </sheetViews>
  <sheetFormatPr defaultColWidth="9.140625" defaultRowHeight="12.75" customHeight="1"/>
  <cols>
    <col min="1" max="1" width="8.7109375" style="33" customWidth="1"/>
    <col min="2" max="2" width="21.7109375" style="33" customWidth="1"/>
    <col min="3" max="4" width="8.7109375" style="33" customWidth="1"/>
    <col min="5" max="5" width="18.7109375" style="33" customWidth="1"/>
    <col min="6" max="16384" width="8.7109375" style="33" customWidth="1"/>
  </cols>
  <sheetData>
    <row r="1" ht="12.75" customHeight="1">
      <c r="O1" s="33" t="s">
        <v>68</v>
      </c>
    </row>
    <row r="2" ht="12.75" customHeight="1">
      <c r="O2" s="33" t="s">
        <v>69</v>
      </c>
    </row>
    <row r="3" ht="12.75" customHeight="1">
      <c r="O3" s="33" t="s">
        <v>2</v>
      </c>
    </row>
    <row r="4" ht="12.75" customHeight="1">
      <c r="O4" s="33" t="s">
        <v>70</v>
      </c>
    </row>
    <row r="5" spans="1:17" ht="2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4"/>
    </row>
    <row r="6" spans="1:17" ht="45.75" customHeight="1">
      <c r="A6" s="36" t="s">
        <v>71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2.75" customHeight="1">
      <c r="A8" s="37" t="s">
        <v>6</v>
      </c>
      <c r="B8" s="38" t="s">
        <v>72</v>
      </c>
      <c r="C8" s="39" t="s">
        <v>73</v>
      </c>
      <c r="D8" s="39" t="s">
        <v>74</v>
      </c>
      <c r="E8" s="39" t="s">
        <v>75</v>
      </c>
      <c r="F8" s="38" t="s">
        <v>76</v>
      </c>
      <c r="G8" s="38"/>
      <c r="H8" s="40" t="s">
        <v>12</v>
      </c>
      <c r="I8" s="40"/>
      <c r="J8" s="40"/>
      <c r="K8" s="40"/>
      <c r="L8" s="40"/>
      <c r="M8" s="40"/>
      <c r="N8" s="40"/>
      <c r="O8" s="40"/>
      <c r="P8" s="40"/>
      <c r="Q8" s="40"/>
    </row>
    <row r="9" spans="1:17" ht="12.75" customHeight="1">
      <c r="A9" s="37"/>
      <c r="B9" s="38"/>
      <c r="C9" s="39"/>
      <c r="D9" s="39"/>
      <c r="E9" s="39"/>
      <c r="F9" s="41" t="s">
        <v>77</v>
      </c>
      <c r="G9" s="41" t="s">
        <v>78</v>
      </c>
      <c r="H9" s="42" t="s">
        <v>79</v>
      </c>
      <c r="I9" s="42"/>
      <c r="J9" s="42"/>
      <c r="K9" s="42"/>
      <c r="L9" s="42"/>
      <c r="M9" s="42"/>
      <c r="N9" s="42"/>
      <c r="O9" s="42"/>
      <c r="P9" s="42"/>
      <c r="Q9" s="42"/>
    </row>
    <row r="10" spans="1:17" ht="12.75" customHeight="1">
      <c r="A10" s="37"/>
      <c r="B10" s="38"/>
      <c r="C10" s="39"/>
      <c r="D10" s="39"/>
      <c r="E10" s="39"/>
      <c r="F10" s="41"/>
      <c r="G10" s="41"/>
      <c r="H10" s="41" t="s">
        <v>80</v>
      </c>
      <c r="I10" s="42" t="s">
        <v>81</v>
      </c>
      <c r="J10" s="42"/>
      <c r="K10" s="42"/>
      <c r="L10" s="42"/>
      <c r="M10" s="42"/>
      <c r="N10" s="42"/>
      <c r="O10" s="42"/>
      <c r="P10" s="42"/>
      <c r="Q10" s="42"/>
    </row>
    <row r="11" spans="1:17" ht="12.75" customHeight="1">
      <c r="A11" s="37"/>
      <c r="B11" s="38"/>
      <c r="C11" s="39"/>
      <c r="D11" s="39"/>
      <c r="E11" s="39"/>
      <c r="F11" s="41"/>
      <c r="G11" s="41"/>
      <c r="H11" s="41"/>
      <c r="I11" s="43" t="s">
        <v>82</v>
      </c>
      <c r="J11" s="43"/>
      <c r="K11" s="43"/>
      <c r="L11" s="43"/>
      <c r="M11" s="42" t="s">
        <v>83</v>
      </c>
      <c r="N11" s="42"/>
      <c r="O11" s="42"/>
      <c r="P11" s="42"/>
      <c r="Q11" s="42"/>
    </row>
    <row r="12" spans="1:17" ht="12.75" customHeight="1">
      <c r="A12" s="37"/>
      <c r="B12" s="38"/>
      <c r="C12" s="39"/>
      <c r="D12" s="39"/>
      <c r="E12" s="39"/>
      <c r="F12" s="41"/>
      <c r="G12" s="41"/>
      <c r="H12" s="41"/>
      <c r="I12" s="41" t="s">
        <v>84</v>
      </c>
      <c r="J12" s="43" t="s">
        <v>85</v>
      </c>
      <c r="K12" s="43"/>
      <c r="L12" s="43"/>
      <c r="M12" s="41" t="s">
        <v>86</v>
      </c>
      <c r="N12" s="44" t="s">
        <v>85</v>
      </c>
      <c r="O12" s="44"/>
      <c r="P12" s="44"/>
      <c r="Q12" s="44"/>
    </row>
    <row r="13" spans="1:17" ht="67.5" customHeight="1">
      <c r="A13" s="37"/>
      <c r="B13" s="38"/>
      <c r="C13" s="39"/>
      <c r="D13" s="39"/>
      <c r="E13" s="39"/>
      <c r="F13" s="41"/>
      <c r="G13" s="41"/>
      <c r="H13" s="41"/>
      <c r="I13" s="41"/>
      <c r="J13" s="41" t="s">
        <v>87</v>
      </c>
      <c r="K13" s="41" t="s">
        <v>88</v>
      </c>
      <c r="L13" s="41" t="s">
        <v>89</v>
      </c>
      <c r="M13" s="41"/>
      <c r="N13" s="41" t="s">
        <v>90</v>
      </c>
      <c r="O13" s="41" t="s">
        <v>87</v>
      </c>
      <c r="P13" s="41" t="s">
        <v>88</v>
      </c>
      <c r="Q13" s="44" t="s">
        <v>91</v>
      </c>
    </row>
    <row r="14" spans="1:17" ht="12.75" customHeight="1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6">
        <v>12</v>
      </c>
      <c r="M14" s="46">
        <v>13</v>
      </c>
      <c r="N14" s="46">
        <v>14</v>
      </c>
      <c r="O14" s="46">
        <v>15</v>
      </c>
      <c r="P14" s="46">
        <v>16</v>
      </c>
      <c r="Q14" s="47">
        <v>17</v>
      </c>
    </row>
    <row r="15" spans="1:17" ht="13.5" customHeight="1">
      <c r="A15" s="48">
        <v>1</v>
      </c>
      <c r="B15" s="49" t="s">
        <v>92</v>
      </c>
      <c r="C15" s="50" t="s">
        <v>48</v>
      </c>
      <c r="D15" s="50"/>
      <c r="E15" s="51">
        <f>E20+E28+E36+E45+E53+E61+E69+E77+E85+E93+E101+E109+E117+E125+E134+E143+E152+E161+E170+E179+E188+E215+E197+E206+E224+E233+E242+E251++E260+E269</f>
        <v>4295660</v>
      </c>
      <c r="F15" s="52">
        <f aca="true" t="shared" si="0" ref="F15:Q15">F20+F28+F36+F45+F53+F61+F69+F77+F85+F93+F101+F109+F117+F125+F134+F143+F152+F161+F170+F179+F188+F215+F197+F206+F224+F233+F242+F251++F260+F269</f>
        <v>912405</v>
      </c>
      <c r="G15" s="52">
        <f t="shared" si="0"/>
        <v>3589911</v>
      </c>
      <c r="H15" s="52">
        <f t="shared" si="0"/>
        <v>2648906</v>
      </c>
      <c r="I15" s="52">
        <f t="shared" si="0"/>
        <v>486809</v>
      </c>
      <c r="J15" s="52">
        <f t="shared" si="0"/>
        <v>0</v>
      </c>
      <c r="K15" s="52">
        <f t="shared" si="0"/>
        <v>0</v>
      </c>
      <c r="L15" s="52">
        <f>L20+L28+L36+L45+L53+L61+L69+L77+L85+L93+L101+L109+L117+L125+L134+L143+L152+L161+L170+L179+L188+L215+L197+L206+L224+L233+L242+L251++L260+L269</f>
        <v>486809</v>
      </c>
      <c r="M15" s="52">
        <f t="shared" si="0"/>
        <v>2162097</v>
      </c>
      <c r="N15" s="52">
        <f>N20+N28+N36+N45+N53+N61+N69+N77+N85+N93+N101+N109+N117+N125+N134+N143+N152+N161+N170+N179+N188+N215+N197+N206+N224+N233+N242+N251++N260+N269</f>
        <v>0</v>
      </c>
      <c r="O15" s="52">
        <f t="shared" si="0"/>
        <v>0</v>
      </c>
      <c r="P15" s="52">
        <f t="shared" si="0"/>
        <v>0</v>
      </c>
      <c r="Q15" s="52">
        <f t="shared" si="0"/>
        <v>2162097</v>
      </c>
    </row>
    <row r="16" spans="1:17" ht="12.75" customHeight="1">
      <c r="A16" s="53" t="s">
        <v>93</v>
      </c>
      <c r="B16" s="54" t="s">
        <v>94</v>
      </c>
      <c r="C16" s="55" t="s">
        <v>95</v>
      </c>
      <c r="D16" s="55"/>
      <c r="E16" s="55"/>
      <c r="F16" s="55"/>
      <c r="G16" s="55"/>
      <c r="H16" s="55"/>
      <c r="I16" s="55"/>
      <c r="J16" s="55"/>
      <c r="K16" s="56"/>
      <c r="L16" s="56"/>
      <c r="M16" s="56"/>
      <c r="N16" s="56"/>
      <c r="O16" s="56"/>
      <c r="P16" s="56"/>
      <c r="Q16" s="57"/>
    </row>
    <row r="17" spans="1:17" ht="12.75" customHeight="1">
      <c r="A17" s="53"/>
      <c r="B17" s="58" t="s">
        <v>96</v>
      </c>
      <c r="C17" s="59" t="s">
        <v>97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12.75" customHeight="1">
      <c r="A18" s="53"/>
      <c r="B18" s="58" t="s">
        <v>98</v>
      </c>
      <c r="C18" s="60" t="s">
        <v>99</v>
      </c>
      <c r="D18" s="61"/>
      <c r="E18" s="61"/>
      <c r="F18" s="61"/>
      <c r="G18" s="61"/>
      <c r="H18" s="61"/>
      <c r="I18" s="61"/>
      <c r="J18" s="61"/>
      <c r="K18" s="61"/>
      <c r="L18" s="62"/>
      <c r="M18" s="62"/>
      <c r="N18" s="62"/>
      <c r="O18" s="62"/>
      <c r="P18" s="62"/>
      <c r="Q18" s="63"/>
    </row>
    <row r="19" spans="1:17" ht="12.75" customHeight="1">
      <c r="A19" s="53"/>
      <c r="B19" s="64" t="s">
        <v>100</v>
      </c>
      <c r="C19" s="65" t="s">
        <v>101</v>
      </c>
      <c r="D19" s="65"/>
      <c r="E19" s="65"/>
      <c r="F19" s="65"/>
      <c r="G19" s="65"/>
      <c r="H19" s="65"/>
      <c r="I19" s="65"/>
      <c r="J19" s="65"/>
      <c r="K19" s="62"/>
      <c r="L19" s="62"/>
      <c r="M19" s="62"/>
      <c r="N19" s="62"/>
      <c r="O19" s="62"/>
      <c r="P19" s="62"/>
      <c r="Q19" s="63"/>
    </row>
    <row r="20" spans="1:17" ht="12.75" customHeight="1">
      <c r="A20" s="53"/>
      <c r="B20" s="66" t="s">
        <v>102</v>
      </c>
      <c r="C20" s="67"/>
      <c r="D20" s="67"/>
      <c r="E20" s="68">
        <v>206656</v>
      </c>
      <c r="F20" s="68">
        <v>206656</v>
      </c>
      <c r="G20" s="68">
        <v>206656</v>
      </c>
      <c r="H20" s="68">
        <f>H21</f>
        <v>90024</v>
      </c>
      <c r="I20" s="68">
        <f aca="true" t="shared" si="1" ref="I20:Q20">I21</f>
        <v>13504</v>
      </c>
      <c r="J20" s="68">
        <f t="shared" si="1"/>
        <v>0</v>
      </c>
      <c r="K20" s="68">
        <f t="shared" si="1"/>
        <v>0</v>
      </c>
      <c r="L20" s="68">
        <f t="shared" si="1"/>
        <v>13504</v>
      </c>
      <c r="M20" s="68">
        <f t="shared" si="1"/>
        <v>76520</v>
      </c>
      <c r="N20" s="68">
        <f t="shared" si="1"/>
        <v>0</v>
      </c>
      <c r="O20" s="68">
        <f t="shared" si="1"/>
        <v>0</v>
      </c>
      <c r="P20" s="68">
        <f t="shared" si="1"/>
        <v>0</v>
      </c>
      <c r="Q20" s="69">
        <f t="shared" si="1"/>
        <v>76520</v>
      </c>
    </row>
    <row r="21" spans="1:17" ht="12.75" customHeight="1">
      <c r="A21" s="53"/>
      <c r="B21" s="54" t="s">
        <v>103</v>
      </c>
      <c r="C21" s="70"/>
      <c r="D21" s="70"/>
      <c r="E21" s="71">
        <f>F21+G21</f>
        <v>90024</v>
      </c>
      <c r="F21" s="71">
        <f>I21</f>
        <v>13504</v>
      </c>
      <c r="G21" s="71">
        <f>M21</f>
        <v>76520</v>
      </c>
      <c r="H21" s="72">
        <f>I21+M21</f>
        <v>90024</v>
      </c>
      <c r="I21" s="72">
        <f>SUM(J21:L21)</f>
        <v>13504</v>
      </c>
      <c r="J21" s="72"/>
      <c r="K21" s="72"/>
      <c r="L21" s="72">
        <v>13504</v>
      </c>
      <c r="M21" s="72">
        <f>SUM(N21:Q21)</f>
        <v>76520</v>
      </c>
      <c r="N21" s="72"/>
      <c r="O21" s="72"/>
      <c r="P21" s="72"/>
      <c r="Q21" s="73">
        <v>76520</v>
      </c>
    </row>
    <row r="22" spans="1:17" ht="12.75" customHeight="1">
      <c r="A22" s="53"/>
      <c r="B22" s="58" t="s">
        <v>16</v>
      </c>
      <c r="C22" s="70"/>
      <c r="D22" s="70"/>
      <c r="E22" s="71"/>
      <c r="F22" s="74"/>
      <c r="G22" s="71"/>
      <c r="H22" s="72"/>
      <c r="I22" s="72"/>
      <c r="J22" s="75"/>
      <c r="K22" s="75"/>
      <c r="L22" s="75"/>
      <c r="M22" s="72"/>
      <c r="N22" s="75"/>
      <c r="O22" s="75"/>
      <c r="P22" s="75"/>
      <c r="Q22" s="76"/>
    </row>
    <row r="23" spans="1:17" ht="13.5" customHeight="1">
      <c r="A23" s="53"/>
      <c r="B23" s="77" t="s">
        <v>17</v>
      </c>
      <c r="C23" s="70"/>
      <c r="D23" s="70"/>
      <c r="E23" s="74"/>
      <c r="F23" s="74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ht="12.75" customHeight="1">
      <c r="A24" s="53" t="s">
        <v>104</v>
      </c>
      <c r="B24" s="54" t="s">
        <v>94</v>
      </c>
      <c r="C24" s="55" t="s">
        <v>95</v>
      </c>
      <c r="D24" s="55"/>
      <c r="E24" s="55"/>
      <c r="F24" s="55"/>
      <c r="G24" s="55"/>
      <c r="H24" s="55"/>
      <c r="I24" s="55"/>
      <c r="J24" s="55"/>
      <c r="K24" s="56"/>
      <c r="L24" s="56"/>
      <c r="M24" s="56"/>
      <c r="N24" s="56"/>
      <c r="O24" s="56"/>
      <c r="P24" s="56"/>
      <c r="Q24" s="57"/>
    </row>
    <row r="25" spans="1:17" ht="12.75" customHeight="1">
      <c r="A25" s="53"/>
      <c r="B25" s="58" t="s">
        <v>96</v>
      </c>
      <c r="C25" s="59" t="s">
        <v>97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12.75" customHeight="1">
      <c r="A26" s="53"/>
      <c r="B26" s="58" t="s">
        <v>98</v>
      </c>
      <c r="C26" s="65" t="s">
        <v>105</v>
      </c>
      <c r="D26" s="65"/>
      <c r="E26" s="65"/>
      <c r="F26" s="65"/>
      <c r="G26" s="65"/>
      <c r="H26" s="65"/>
      <c r="I26" s="65"/>
      <c r="J26" s="65"/>
      <c r="K26" s="65"/>
      <c r="L26" s="62"/>
      <c r="M26" s="62"/>
      <c r="N26" s="62"/>
      <c r="O26" s="62"/>
      <c r="P26" s="62"/>
      <c r="Q26" s="63"/>
    </row>
    <row r="27" spans="1:17" ht="12.75" customHeight="1">
      <c r="A27" s="53"/>
      <c r="B27" s="64" t="s">
        <v>100</v>
      </c>
      <c r="C27" s="78" t="s">
        <v>106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62"/>
      <c r="O27" s="62"/>
      <c r="P27" s="62"/>
      <c r="Q27" s="63"/>
    </row>
    <row r="28" spans="1:17" ht="12.75" customHeight="1">
      <c r="A28" s="53"/>
      <c r="B28" s="66" t="s">
        <v>102</v>
      </c>
      <c r="C28" s="67"/>
      <c r="D28" s="67"/>
      <c r="E28" s="68">
        <v>99671</v>
      </c>
      <c r="F28" s="68">
        <v>13639</v>
      </c>
      <c r="G28" s="68">
        <v>86032</v>
      </c>
      <c r="H28" s="68">
        <f>H29</f>
        <v>2083</v>
      </c>
      <c r="I28" s="68">
        <f aca="true" t="shared" si="2" ref="I28:Q28">I29</f>
        <v>312</v>
      </c>
      <c r="J28" s="68">
        <f t="shared" si="2"/>
        <v>0</v>
      </c>
      <c r="K28" s="68">
        <f t="shared" si="2"/>
        <v>0</v>
      </c>
      <c r="L28" s="68">
        <f t="shared" si="2"/>
        <v>312</v>
      </c>
      <c r="M28" s="68">
        <f t="shared" si="2"/>
        <v>1771</v>
      </c>
      <c r="N28" s="68">
        <f t="shared" si="2"/>
        <v>0</v>
      </c>
      <c r="O28" s="68">
        <f t="shared" si="2"/>
        <v>0</v>
      </c>
      <c r="P28" s="68">
        <f t="shared" si="2"/>
        <v>0</v>
      </c>
      <c r="Q28" s="69">
        <f t="shared" si="2"/>
        <v>1771</v>
      </c>
    </row>
    <row r="29" spans="1:17" ht="12.75" customHeight="1">
      <c r="A29" s="53"/>
      <c r="B29" s="54" t="s">
        <v>103</v>
      </c>
      <c r="C29" s="70"/>
      <c r="D29" s="70"/>
      <c r="E29" s="71">
        <f>G29+F29</f>
        <v>2083</v>
      </c>
      <c r="F29" s="71">
        <f>I29</f>
        <v>312</v>
      </c>
      <c r="G29" s="71">
        <f>M29</f>
        <v>1771</v>
      </c>
      <c r="H29" s="72">
        <f>I29+M29</f>
        <v>2083</v>
      </c>
      <c r="I29" s="72">
        <f>SUM(J29:L29)</f>
        <v>312</v>
      </c>
      <c r="J29" s="72"/>
      <c r="K29" s="72"/>
      <c r="L29" s="72">
        <v>312</v>
      </c>
      <c r="M29" s="72">
        <f>SUM(N29:Q29)</f>
        <v>1771</v>
      </c>
      <c r="N29" s="72"/>
      <c r="O29" s="72"/>
      <c r="P29" s="72"/>
      <c r="Q29" s="73">
        <v>1771</v>
      </c>
    </row>
    <row r="30" spans="1:17" ht="12.75" customHeight="1">
      <c r="A30" s="53"/>
      <c r="B30" s="58" t="s">
        <v>16</v>
      </c>
      <c r="C30" s="70"/>
      <c r="D30" s="70"/>
      <c r="E30" s="71"/>
      <c r="F30" s="74"/>
      <c r="G30" s="71"/>
      <c r="H30" s="72"/>
      <c r="I30" s="72"/>
      <c r="J30" s="75"/>
      <c r="K30" s="75"/>
      <c r="L30" s="75"/>
      <c r="M30" s="72"/>
      <c r="N30" s="75"/>
      <c r="O30" s="75"/>
      <c r="P30" s="75"/>
      <c r="Q30" s="76"/>
    </row>
    <row r="31" spans="1:17" ht="13.5" customHeight="1">
      <c r="A31" s="53"/>
      <c r="B31" s="77" t="s">
        <v>17</v>
      </c>
      <c r="C31" s="70"/>
      <c r="D31" s="70"/>
      <c r="E31" s="74"/>
      <c r="F31" s="74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2" spans="1:17" ht="12.75" customHeight="1">
      <c r="A32" s="53" t="s">
        <v>107</v>
      </c>
      <c r="B32" s="54" t="s">
        <v>94</v>
      </c>
      <c r="C32" s="55" t="s">
        <v>95</v>
      </c>
      <c r="D32" s="55"/>
      <c r="E32" s="55"/>
      <c r="F32" s="55"/>
      <c r="G32" s="55"/>
      <c r="H32" s="55"/>
      <c r="I32" s="55"/>
      <c r="J32" s="55"/>
      <c r="K32" s="56"/>
      <c r="L32" s="56"/>
      <c r="M32" s="56"/>
      <c r="N32" s="56"/>
      <c r="O32" s="56"/>
      <c r="P32" s="56"/>
      <c r="Q32" s="57"/>
    </row>
    <row r="33" spans="1:17" ht="12.75" customHeight="1">
      <c r="A33" s="53"/>
      <c r="B33" s="58" t="s">
        <v>96</v>
      </c>
      <c r="C33" s="59" t="s">
        <v>97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.75" customHeight="1">
      <c r="A34" s="53"/>
      <c r="B34" s="58" t="s">
        <v>98</v>
      </c>
      <c r="C34" s="65" t="s">
        <v>105</v>
      </c>
      <c r="D34" s="65"/>
      <c r="E34" s="65"/>
      <c r="F34" s="65"/>
      <c r="G34" s="65"/>
      <c r="H34" s="65"/>
      <c r="I34" s="65"/>
      <c r="J34" s="65"/>
      <c r="K34" s="65"/>
      <c r="L34" s="62"/>
      <c r="M34" s="62"/>
      <c r="N34" s="62"/>
      <c r="O34" s="62"/>
      <c r="P34" s="62"/>
      <c r="Q34" s="63"/>
    </row>
    <row r="35" spans="1:17" ht="12.75" customHeight="1">
      <c r="A35" s="53"/>
      <c r="B35" s="64" t="s">
        <v>100</v>
      </c>
      <c r="C35" s="79" t="s">
        <v>108</v>
      </c>
      <c r="D35" s="80"/>
      <c r="E35" s="80"/>
      <c r="F35" s="80"/>
      <c r="G35" s="80"/>
      <c r="H35" s="80"/>
      <c r="I35" s="80"/>
      <c r="J35" s="80"/>
      <c r="K35" s="62"/>
      <c r="L35" s="62"/>
      <c r="M35" s="62"/>
      <c r="N35" s="62"/>
      <c r="O35" s="62"/>
      <c r="P35" s="62"/>
      <c r="Q35" s="63"/>
    </row>
    <row r="36" spans="1:17" ht="12.75" customHeight="1">
      <c r="A36" s="53"/>
      <c r="B36" s="66" t="s">
        <v>102</v>
      </c>
      <c r="C36" s="67"/>
      <c r="D36" s="67"/>
      <c r="E36" s="68">
        <v>403302</v>
      </c>
      <c r="F36" s="68">
        <v>51421</v>
      </c>
      <c r="G36" s="68">
        <v>351881</v>
      </c>
      <c r="H36" s="68">
        <f>H37</f>
        <v>295105</v>
      </c>
      <c r="I36" s="68">
        <f aca="true" t="shared" si="3" ref="I36:Q36">I37</f>
        <v>44266</v>
      </c>
      <c r="J36" s="68">
        <f t="shared" si="3"/>
        <v>0</v>
      </c>
      <c r="K36" s="68">
        <f t="shared" si="3"/>
        <v>0</v>
      </c>
      <c r="L36" s="68">
        <f t="shared" si="3"/>
        <v>44266</v>
      </c>
      <c r="M36" s="68">
        <f t="shared" si="3"/>
        <v>250839</v>
      </c>
      <c r="N36" s="68">
        <f t="shared" si="3"/>
        <v>0</v>
      </c>
      <c r="O36" s="68">
        <f t="shared" si="3"/>
        <v>0</v>
      </c>
      <c r="P36" s="68">
        <f t="shared" si="3"/>
        <v>0</v>
      </c>
      <c r="Q36" s="69">
        <f t="shared" si="3"/>
        <v>250839</v>
      </c>
    </row>
    <row r="37" spans="1:17" ht="12.75" customHeight="1">
      <c r="A37" s="53"/>
      <c r="B37" s="54" t="s">
        <v>103</v>
      </c>
      <c r="C37" s="70"/>
      <c r="D37" s="70"/>
      <c r="E37" s="71">
        <f>F37+G37</f>
        <v>295105</v>
      </c>
      <c r="F37" s="71">
        <f>I37</f>
        <v>44266</v>
      </c>
      <c r="G37" s="71">
        <f>M37</f>
        <v>250839</v>
      </c>
      <c r="H37" s="72">
        <f>I37+M37</f>
        <v>295105</v>
      </c>
      <c r="I37" s="72">
        <f>SUM(J37:L37)</f>
        <v>44266</v>
      </c>
      <c r="J37" s="72"/>
      <c r="K37" s="72"/>
      <c r="L37" s="72">
        <v>44266</v>
      </c>
      <c r="M37" s="72">
        <f>SUM(N37:Q37)</f>
        <v>250839</v>
      </c>
      <c r="N37" s="72"/>
      <c r="O37" s="72"/>
      <c r="P37" s="72"/>
      <c r="Q37" s="73">
        <v>250839</v>
      </c>
    </row>
    <row r="38" spans="1:17" ht="12.75" customHeight="1">
      <c r="A38" s="53"/>
      <c r="B38" s="58" t="s">
        <v>16</v>
      </c>
      <c r="C38" s="70"/>
      <c r="D38" s="70"/>
      <c r="E38" s="71"/>
      <c r="F38" s="74"/>
      <c r="G38" s="71"/>
      <c r="H38" s="72"/>
      <c r="I38" s="72"/>
      <c r="J38" s="75"/>
      <c r="K38" s="75"/>
      <c r="L38" s="75"/>
      <c r="M38" s="72"/>
      <c r="N38" s="75"/>
      <c r="O38" s="75"/>
      <c r="P38" s="75"/>
      <c r="Q38" s="76"/>
    </row>
    <row r="39" spans="1:17" ht="13.5" customHeight="1">
      <c r="A39" s="53"/>
      <c r="B39" s="77" t="s">
        <v>17</v>
      </c>
      <c r="C39" s="70"/>
      <c r="D39" s="70"/>
      <c r="E39" s="74"/>
      <c r="F39" s="74"/>
      <c r="G39" s="74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40" spans="1:17" ht="12.75" customHeight="1">
      <c r="A40" s="81" t="s">
        <v>109</v>
      </c>
      <c r="B40" s="54" t="s">
        <v>94</v>
      </c>
      <c r="C40" s="55" t="s">
        <v>95</v>
      </c>
      <c r="D40" s="55"/>
      <c r="E40" s="55"/>
      <c r="F40" s="55"/>
      <c r="G40" s="55"/>
      <c r="H40" s="55"/>
      <c r="I40" s="55"/>
      <c r="J40" s="55"/>
      <c r="K40" s="56"/>
      <c r="L40" s="56"/>
      <c r="M40" s="56"/>
      <c r="N40" s="56"/>
      <c r="O40" s="56"/>
      <c r="P40" s="56"/>
      <c r="Q40" s="57"/>
    </row>
    <row r="41" spans="1:17" ht="12.75" customHeight="1">
      <c r="A41" s="81"/>
      <c r="B41" s="58" t="s">
        <v>96</v>
      </c>
      <c r="C41" s="59" t="s">
        <v>97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17" ht="12.75" customHeight="1">
      <c r="A42" s="81"/>
      <c r="B42" s="58" t="s">
        <v>98</v>
      </c>
      <c r="C42" s="65" t="s">
        <v>105</v>
      </c>
      <c r="D42" s="65"/>
      <c r="E42" s="65"/>
      <c r="F42" s="65"/>
      <c r="G42" s="65"/>
      <c r="H42" s="65"/>
      <c r="I42" s="65"/>
      <c r="J42" s="65"/>
      <c r="K42" s="65"/>
      <c r="L42" s="62"/>
      <c r="M42" s="62"/>
      <c r="N42" s="62"/>
      <c r="O42" s="62"/>
      <c r="P42" s="62"/>
      <c r="Q42" s="63"/>
    </row>
    <row r="43" spans="1:17" ht="12.75" customHeight="1">
      <c r="A43" s="81"/>
      <c r="B43" s="58" t="s">
        <v>110</v>
      </c>
      <c r="C43" s="65"/>
      <c r="D43" s="82"/>
      <c r="E43" s="82"/>
      <c r="F43" s="82"/>
      <c r="G43" s="82"/>
      <c r="H43" s="82"/>
      <c r="I43" s="82"/>
      <c r="J43" s="82"/>
      <c r="K43" s="82"/>
      <c r="L43" s="62"/>
      <c r="M43" s="62"/>
      <c r="N43" s="62"/>
      <c r="O43" s="62"/>
      <c r="P43" s="62"/>
      <c r="Q43" s="63"/>
    </row>
    <row r="44" spans="1:17" ht="12.75" customHeight="1">
      <c r="A44" s="81"/>
      <c r="B44" s="64" t="s">
        <v>100</v>
      </c>
      <c r="C44" s="79" t="s">
        <v>111</v>
      </c>
      <c r="D44" s="80"/>
      <c r="E44" s="80"/>
      <c r="F44" s="80"/>
      <c r="G44" s="80"/>
      <c r="H44" s="80"/>
      <c r="I44" s="80"/>
      <c r="J44" s="80"/>
      <c r="K44" s="62"/>
      <c r="L44" s="62"/>
      <c r="M44" s="62"/>
      <c r="N44" s="62"/>
      <c r="O44" s="62"/>
      <c r="P44" s="62"/>
      <c r="Q44" s="63"/>
    </row>
    <row r="45" spans="1:17" ht="12.75" customHeight="1">
      <c r="A45" s="81"/>
      <c r="B45" s="66" t="s">
        <v>102</v>
      </c>
      <c r="C45" s="67"/>
      <c r="D45" s="67"/>
      <c r="E45" s="68">
        <f>E46</f>
        <v>104000</v>
      </c>
      <c r="F45" s="68">
        <f aca="true" t="shared" si="4" ref="F45:Q45">F46</f>
        <v>15600</v>
      </c>
      <c r="G45" s="68">
        <f t="shared" si="4"/>
        <v>88400</v>
      </c>
      <c r="H45" s="68">
        <f t="shared" si="4"/>
        <v>104000</v>
      </c>
      <c r="I45" s="68">
        <f t="shared" si="4"/>
        <v>15600</v>
      </c>
      <c r="J45" s="68">
        <f t="shared" si="4"/>
        <v>0</v>
      </c>
      <c r="K45" s="68">
        <f t="shared" si="4"/>
        <v>0</v>
      </c>
      <c r="L45" s="68">
        <f t="shared" si="4"/>
        <v>15600</v>
      </c>
      <c r="M45" s="68">
        <f t="shared" si="4"/>
        <v>88400</v>
      </c>
      <c r="N45" s="68">
        <f t="shared" si="4"/>
        <v>0</v>
      </c>
      <c r="O45" s="68">
        <f t="shared" si="4"/>
        <v>0</v>
      </c>
      <c r="P45" s="68">
        <f t="shared" si="4"/>
        <v>0</v>
      </c>
      <c r="Q45" s="69">
        <f t="shared" si="4"/>
        <v>88400</v>
      </c>
    </row>
    <row r="46" spans="1:17" ht="12.75" customHeight="1">
      <c r="A46" s="81"/>
      <c r="B46" s="54" t="s">
        <v>103</v>
      </c>
      <c r="C46" s="83"/>
      <c r="D46" s="83"/>
      <c r="E46" s="71">
        <f>F46+G46</f>
        <v>104000</v>
      </c>
      <c r="F46" s="71">
        <f>I46</f>
        <v>15600</v>
      </c>
      <c r="G46" s="71">
        <f>M46</f>
        <v>88400</v>
      </c>
      <c r="H46" s="72">
        <f>I46+M46</f>
        <v>104000</v>
      </c>
      <c r="I46" s="72">
        <f>SUM(J46:L46)</f>
        <v>15600</v>
      </c>
      <c r="J46" s="72"/>
      <c r="K46" s="72"/>
      <c r="L46" s="72">
        <v>15600</v>
      </c>
      <c r="M46" s="72">
        <f>SUM(N46:Q46)</f>
        <v>88400</v>
      </c>
      <c r="N46" s="72"/>
      <c r="O46" s="72"/>
      <c r="P46" s="72"/>
      <c r="Q46" s="73">
        <v>88400</v>
      </c>
    </row>
    <row r="47" spans="1:17" ht="12.75" customHeight="1">
      <c r="A47" s="81"/>
      <c r="B47" s="58" t="s">
        <v>16</v>
      </c>
      <c r="C47" s="83"/>
      <c r="D47" s="83"/>
      <c r="E47" s="71"/>
      <c r="F47" s="74"/>
      <c r="G47" s="71"/>
      <c r="H47" s="72"/>
      <c r="I47" s="72"/>
      <c r="J47" s="75"/>
      <c r="K47" s="75"/>
      <c r="L47" s="75"/>
      <c r="M47" s="72"/>
      <c r="N47" s="75"/>
      <c r="O47" s="75"/>
      <c r="P47" s="75"/>
      <c r="Q47" s="76"/>
    </row>
    <row r="48" spans="1:17" ht="13.5" customHeight="1">
      <c r="A48" s="81"/>
      <c r="B48" s="77" t="s">
        <v>112</v>
      </c>
      <c r="C48" s="83"/>
      <c r="D48" s="83"/>
      <c r="E48" s="84"/>
      <c r="F48" s="84"/>
      <c r="G48" s="84"/>
      <c r="H48" s="85"/>
      <c r="I48" s="85"/>
      <c r="J48" s="85"/>
      <c r="K48" s="85"/>
      <c r="L48" s="85"/>
      <c r="M48" s="85"/>
      <c r="N48" s="85"/>
      <c r="O48" s="85"/>
      <c r="P48" s="85"/>
      <c r="Q48" s="86"/>
    </row>
    <row r="49" spans="1:17" ht="12.75" customHeight="1" hidden="1">
      <c r="A49" s="53" t="s">
        <v>113</v>
      </c>
      <c r="B49" s="54" t="s">
        <v>94</v>
      </c>
      <c r="C49" s="55"/>
      <c r="D49" s="55"/>
      <c r="E49" s="55"/>
      <c r="F49" s="55"/>
      <c r="G49" s="55"/>
      <c r="H49" s="55"/>
      <c r="I49" s="55"/>
      <c r="J49" s="55"/>
      <c r="K49" s="56"/>
      <c r="L49" s="56"/>
      <c r="M49" s="56"/>
      <c r="N49" s="56"/>
      <c r="O49" s="56"/>
      <c r="P49" s="56"/>
      <c r="Q49" s="57"/>
    </row>
    <row r="50" spans="1:17" ht="12.75" customHeight="1" hidden="1">
      <c r="A50" s="53"/>
      <c r="B50" s="58" t="s">
        <v>96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ht="12.75" customHeight="1" hidden="1">
      <c r="A51" s="53"/>
      <c r="B51" s="58" t="s">
        <v>98</v>
      </c>
      <c r="C51" s="65"/>
      <c r="D51" s="65"/>
      <c r="E51" s="65"/>
      <c r="F51" s="65"/>
      <c r="G51" s="65"/>
      <c r="H51" s="65"/>
      <c r="I51" s="65"/>
      <c r="J51" s="65"/>
      <c r="K51" s="65"/>
      <c r="L51" s="62"/>
      <c r="M51" s="62"/>
      <c r="N51" s="62"/>
      <c r="O51" s="62"/>
      <c r="P51" s="62"/>
      <c r="Q51" s="63"/>
    </row>
    <row r="52" spans="1:17" ht="12.75" customHeight="1" hidden="1">
      <c r="A52" s="53"/>
      <c r="B52" s="64" t="s">
        <v>100</v>
      </c>
      <c r="C52" s="79"/>
      <c r="D52" s="80"/>
      <c r="E52" s="80"/>
      <c r="F52" s="80"/>
      <c r="G52" s="80"/>
      <c r="H52" s="80"/>
      <c r="I52" s="80"/>
      <c r="J52" s="80"/>
      <c r="K52" s="62"/>
      <c r="L52" s="62"/>
      <c r="M52" s="62"/>
      <c r="N52" s="62"/>
      <c r="O52" s="62"/>
      <c r="P52" s="62"/>
      <c r="Q52" s="63"/>
    </row>
    <row r="53" spans="1:17" ht="12.75" customHeight="1" hidden="1">
      <c r="A53" s="53"/>
      <c r="B53" s="66" t="s">
        <v>102</v>
      </c>
      <c r="C53" s="67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</row>
    <row r="54" spans="1:17" ht="12.75" customHeight="1" hidden="1">
      <c r="A54" s="53"/>
      <c r="B54" s="54" t="s">
        <v>103</v>
      </c>
      <c r="C54" s="70"/>
      <c r="D54" s="70"/>
      <c r="E54" s="71"/>
      <c r="F54" s="71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3"/>
    </row>
    <row r="55" spans="1:17" ht="12.75" customHeight="1" hidden="1">
      <c r="A55" s="53"/>
      <c r="B55" s="58" t="s">
        <v>16</v>
      </c>
      <c r="C55" s="70"/>
      <c r="D55" s="70"/>
      <c r="E55" s="71"/>
      <c r="F55" s="74"/>
      <c r="G55" s="71"/>
      <c r="H55" s="72"/>
      <c r="I55" s="72"/>
      <c r="J55" s="75"/>
      <c r="K55" s="75"/>
      <c r="L55" s="75"/>
      <c r="M55" s="72"/>
      <c r="N55" s="75"/>
      <c r="O55" s="75"/>
      <c r="P55" s="75"/>
      <c r="Q55" s="76"/>
    </row>
    <row r="56" spans="1:17" ht="12.75" customHeight="1" hidden="1">
      <c r="A56" s="53"/>
      <c r="B56" s="77" t="s">
        <v>17</v>
      </c>
      <c r="C56" s="70"/>
      <c r="D56" s="70"/>
      <c r="E56" s="74"/>
      <c r="F56" s="74"/>
      <c r="G56" s="74"/>
      <c r="H56" s="75"/>
      <c r="I56" s="75"/>
      <c r="J56" s="75"/>
      <c r="K56" s="75"/>
      <c r="L56" s="75"/>
      <c r="M56" s="75"/>
      <c r="N56" s="75"/>
      <c r="O56" s="75"/>
      <c r="P56" s="75"/>
      <c r="Q56" s="76"/>
    </row>
    <row r="57" spans="1:17" ht="12.75" customHeight="1" hidden="1">
      <c r="A57" s="53" t="s">
        <v>114</v>
      </c>
      <c r="B57" s="54" t="s">
        <v>94</v>
      </c>
      <c r="C57" s="55"/>
      <c r="D57" s="55"/>
      <c r="E57" s="55"/>
      <c r="F57" s="55"/>
      <c r="G57" s="55"/>
      <c r="H57" s="55"/>
      <c r="I57" s="55"/>
      <c r="J57" s="55"/>
      <c r="K57" s="56"/>
      <c r="L57" s="56"/>
      <c r="M57" s="56"/>
      <c r="N57" s="56"/>
      <c r="O57" s="56"/>
      <c r="P57" s="56"/>
      <c r="Q57" s="57"/>
    </row>
    <row r="58" spans="1:17" ht="12.75" customHeight="1" hidden="1">
      <c r="A58" s="53"/>
      <c r="B58" s="58" t="s">
        <v>96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ht="12.75" customHeight="1" hidden="1">
      <c r="A59" s="53"/>
      <c r="B59" s="58" t="s">
        <v>98</v>
      </c>
      <c r="C59" s="65"/>
      <c r="D59" s="65"/>
      <c r="E59" s="65"/>
      <c r="F59" s="65"/>
      <c r="G59" s="65"/>
      <c r="H59" s="65"/>
      <c r="I59" s="65"/>
      <c r="J59" s="65"/>
      <c r="K59" s="65"/>
      <c r="L59" s="62"/>
      <c r="M59" s="62"/>
      <c r="N59" s="62"/>
      <c r="O59" s="62"/>
      <c r="P59" s="62"/>
      <c r="Q59" s="63"/>
    </row>
    <row r="60" spans="1:17" ht="12.75" customHeight="1" hidden="1">
      <c r="A60" s="53"/>
      <c r="B60" s="64" t="s">
        <v>100</v>
      </c>
      <c r="C60" s="79"/>
      <c r="D60" s="80"/>
      <c r="E60" s="80"/>
      <c r="F60" s="80"/>
      <c r="G60" s="80"/>
      <c r="H60" s="80"/>
      <c r="I60" s="80"/>
      <c r="J60" s="80"/>
      <c r="K60" s="62"/>
      <c r="L60" s="62"/>
      <c r="M60" s="62"/>
      <c r="N60" s="62"/>
      <c r="O60" s="62"/>
      <c r="P60" s="62"/>
      <c r="Q60" s="63"/>
    </row>
    <row r="61" spans="1:17" ht="12.75" customHeight="1" hidden="1">
      <c r="A61" s="53"/>
      <c r="B61" s="66" t="s">
        <v>102</v>
      </c>
      <c r="C61" s="67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9"/>
    </row>
    <row r="62" spans="1:17" ht="12.75" customHeight="1" hidden="1">
      <c r="A62" s="53"/>
      <c r="B62" s="54" t="s">
        <v>115</v>
      </c>
      <c r="C62" s="70"/>
      <c r="D62" s="70"/>
      <c r="E62" s="71"/>
      <c r="F62" s="71"/>
      <c r="G62" s="71"/>
      <c r="H62" s="72"/>
      <c r="I62" s="72"/>
      <c r="J62" s="72"/>
      <c r="K62" s="72"/>
      <c r="L62" s="72"/>
      <c r="M62" s="72"/>
      <c r="N62" s="72"/>
      <c r="O62" s="72"/>
      <c r="P62" s="72"/>
      <c r="Q62" s="73"/>
    </row>
    <row r="63" spans="1:17" ht="12.75" customHeight="1" hidden="1">
      <c r="A63" s="53"/>
      <c r="B63" s="58" t="s">
        <v>79</v>
      </c>
      <c r="C63" s="70"/>
      <c r="D63" s="70"/>
      <c r="E63" s="71"/>
      <c r="F63" s="74"/>
      <c r="G63" s="71"/>
      <c r="H63" s="72"/>
      <c r="I63" s="72"/>
      <c r="J63" s="75"/>
      <c r="K63" s="75"/>
      <c r="L63" s="75"/>
      <c r="M63" s="72"/>
      <c r="N63" s="75"/>
      <c r="O63" s="75"/>
      <c r="P63" s="75"/>
      <c r="Q63" s="76"/>
    </row>
    <row r="64" spans="1:17" ht="12.75" customHeight="1" hidden="1">
      <c r="A64" s="53"/>
      <c r="B64" s="77" t="s">
        <v>16</v>
      </c>
      <c r="C64" s="70"/>
      <c r="D64" s="70"/>
      <c r="E64" s="74"/>
      <c r="F64" s="74"/>
      <c r="G64" s="74"/>
      <c r="H64" s="75"/>
      <c r="I64" s="75"/>
      <c r="J64" s="75"/>
      <c r="K64" s="75"/>
      <c r="L64" s="75"/>
      <c r="M64" s="75"/>
      <c r="N64" s="75"/>
      <c r="O64" s="75"/>
      <c r="P64" s="75"/>
      <c r="Q64" s="76"/>
    </row>
    <row r="65" spans="1:17" ht="12.75" customHeight="1" hidden="1">
      <c r="A65" s="53" t="s">
        <v>116</v>
      </c>
      <c r="B65" s="54" t="s">
        <v>94</v>
      </c>
      <c r="C65" s="55"/>
      <c r="D65" s="55"/>
      <c r="E65" s="55"/>
      <c r="F65" s="55"/>
      <c r="G65" s="55"/>
      <c r="H65" s="55"/>
      <c r="I65" s="55"/>
      <c r="J65" s="55"/>
      <c r="K65" s="56"/>
      <c r="L65" s="56"/>
      <c r="M65" s="56"/>
      <c r="N65" s="56"/>
      <c r="O65" s="56"/>
      <c r="P65" s="56"/>
      <c r="Q65" s="57"/>
    </row>
    <row r="66" spans="1:17" ht="12.75" customHeight="1" hidden="1">
      <c r="A66" s="53"/>
      <c r="B66" s="58" t="s">
        <v>96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7" ht="12.75" customHeight="1" hidden="1">
      <c r="A67" s="53"/>
      <c r="B67" s="58" t="s">
        <v>98</v>
      </c>
      <c r="C67" s="65"/>
      <c r="D67" s="65"/>
      <c r="E67" s="65"/>
      <c r="F67" s="65"/>
      <c r="G67" s="65"/>
      <c r="H67" s="65"/>
      <c r="I67" s="65"/>
      <c r="J67" s="65"/>
      <c r="K67" s="65"/>
      <c r="L67" s="62"/>
      <c r="M67" s="62"/>
      <c r="N67" s="62"/>
      <c r="O67" s="62"/>
      <c r="P67" s="62"/>
      <c r="Q67" s="63"/>
    </row>
    <row r="68" spans="1:17" ht="12.75" customHeight="1" hidden="1">
      <c r="A68" s="53"/>
      <c r="B68" s="64" t="s">
        <v>100</v>
      </c>
      <c r="C68" s="79"/>
      <c r="D68" s="80"/>
      <c r="E68" s="80"/>
      <c r="F68" s="80"/>
      <c r="G68" s="80"/>
      <c r="H68" s="80"/>
      <c r="I68" s="80"/>
      <c r="J68" s="80"/>
      <c r="K68" s="62"/>
      <c r="L68" s="62"/>
      <c r="M68" s="62"/>
      <c r="N68" s="62"/>
      <c r="O68" s="62"/>
      <c r="P68" s="62"/>
      <c r="Q68" s="63"/>
    </row>
    <row r="69" spans="1:17" ht="12.75" customHeight="1" hidden="1">
      <c r="A69" s="53"/>
      <c r="B69" s="66" t="s">
        <v>102</v>
      </c>
      <c r="C69" s="67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</row>
    <row r="70" spans="1:17" ht="12.75" customHeight="1" hidden="1">
      <c r="A70" s="53"/>
      <c r="B70" s="54" t="s">
        <v>115</v>
      </c>
      <c r="C70" s="70"/>
      <c r="D70" s="70"/>
      <c r="E70" s="71"/>
      <c r="F70" s="71"/>
      <c r="G70" s="71"/>
      <c r="H70" s="72"/>
      <c r="I70" s="72"/>
      <c r="J70" s="72"/>
      <c r="K70" s="72"/>
      <c r="L70" s="72"/>
      <c r="M70" s="72"/>
      <c r="N70" s="72"/>
      <c r="O70" s="72"/>
      <c r="P70" s="72"/>
      <c r="Q70" s="73"/>
    </row>
    <row r="71" spans="1:17" ht="12.75" customHeight="1" hidden="1">
      <c r="A71" s="53"/>
      <c r="B71" s="58" t="s">
        <v>79</v>
      </c>
      <c r="C71" s="70"/>
      <c r="D71" s="70"/>
      <c r="E71" s="71"/>
      <c r="F71" s="74"/>
      <c r="G71" s="71"/>
      <c r="H71" s="72"/>
      <c r="I71" s="72"/>
      <c r="J71" s="75"/>
      <c r="K71" s="75"/>
      <c r="L71" s="75"/>
      <c r="M71" s="72"/>
      <c r="N71" s="75"/>
      <c r="O71" s="75"/>
      <c r="P71" s="75"/>
      <c r="Q71" s="76"/>
    </row>
    <row r="72" spans="1:17" ht="12.75" customHeight="1" hidden="1">
      <c r="A72" s="53"/>
      <c r="B72" s="77" t="s">
        <v>16</v>
      </c>
      <c r="C72" s="70"/>
      <c r="D72" s="70"/>
      <c r="E72" s="74"/>
      <c r="F72" s="7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6"/>
    </row>
    <row r="73" spans="1:17" ht="12.75" customHeight="1" hidden="1">
      <c r="A73" s="53" t="s">
        <v>117</v>
      </c>
      <c r="B73" s="54" t="s">
        <v>94</v>
      </c>
      <c r="C73" s="55"/>
      <c r="D73" s="55"/>
      <c r="E73" s="55"/>
      <c r="F73" s="55"/>
      <c r="G73" s="55"/>
      <c r="H73" s="55"/>
      <c r="I73" s="55"/>
      <c r="J73" s="55"/>
      <c r="K73" s="56"/>
      <c r="L73" s="56"/>
      <c r="M73" s="56"/>
      <c r="N73" s="56"/>
      <c r="O73" s="56"/>
      <c r="P73" s="56"/>
      <c r="Q73" s="57"/>
    </row>
    <row r="74" spans="1:17" ht="12.75" customHeight="1" hidden="1">
      <c r="A74" s="53"/>
      <c r="B74" s="58" t="s">
        <v>96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ht="12.75" customHeight="1" hidden="1">
      <c r="A75" s="53"/>
      <c r="B75" s="58" t="s">
        <v>98</v>
      </c>
      <c r="C75" s="65"/>
      <c r="D75" s="65"/>
      <c r="E75" s="65"/>
      <c r="F75" s="65"/>
      <c r="G75" s="65"/>
      <c r="H75" s="65"/>
      <c r="I75" s="65"/>
      <c r="J75" s="65"/>
      <c r="K75" s="65"/>
      <c r="L75" s="62"/>
      <c r="M75" s="62"/>
      <c r="N75" s="62"/>
      <c r="O75" s="62"/>
      <c r="P75" s="62"/>
      <c r="Q75" s="63"/>
    </row>
    <row r="76" spans="1:17" ht="12.75" customHeight="1" hidden="1">
      <c r="A76" s="53"/>
      <c r="B76" s="64" t="s">
        <v>100</v>
      </c>
      <c r="C76" s="79"/>
      <c r="D76" s="80"/>
      <c r="E76" s="80"/>
      <c r="F76" s="80"/>
      <c r="G76" s="80"/>
      <c r="H76" s="80"/>
      <c r="I76" s="80"/>
      <c r="J76" s="80"/>
      <c r="K76" s="62"/>
      <c r="L76" s="62"/>
      <c r="M76" s="62"/>
      <c r="N76" s="62"/>
      <c r="O76" s="62"/>
      <c r="P76" s="62"/>
      <c r="Q76" s="63"/>
    </row>
    <row r="77" spans="1:17" ht="12.75" customHeight="1" hidden="1">
      <c r="A77" s="53"/>
      <c r="B77" s="66" t="s">
        <v>102</v>
      </c>
      <c r="C77" s="67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9"/>
    </row>
    <row r="78" spans="1:17" ht="12.75" customHeight="1" hidden="1">
      <c r="A78" s="53"/>
      <c r="B78" s="54" t="s">
        <v>115</v>
      </c>
      <c r="C78" s="70"/>
      <c r="D78" s="70"/>
      <c r="E78" s="71"/>
      <c r="F78" s="71"/>
      <c r="G78" s="71"/>
      <c r="H78" s="72"/>
      <c r="I78" s="72"/>
      <c r="J78" s="72"/>
      <c r="K78" s="72"/>
      <c r="L78" s="72"/>
      <c r="M78" s="72"/>
      <c r="N78" s="72"/>
      <c r="O78" s="72"/>
      <c r="P78" s="72"/>
      <c r="Q78" s="73"/>
    </row>
    <row r="79" spans="1:17" ht="12.75" customHeight="1" hidden="1">
      <c r="A79" s="53"/>
      <c r="B79" s="58" t="s">
        <v>79</v>
      </c>
      <c r="C79" s="70"/>
      <c r="D79" s="70"/>
      <c r="E79" s="71"/>
      <c r="F79" s="74"/>
      <c r="G79" s="71"/>
      <c r="H79" s="72"/>
      <c r="I79" s="72"/>
      <c r="J79" s="75"/>
      <c r="K79" s="75"/>
      <c r="L79" s="75"/>
      <c r="M79" s="72"/>
      <c r="N79" s="75"/>
      <c r="O79" s="75"/>
      <c r="P79" s="75"/>
      <c r="Q79" s="76"/>
    </row>
    <row r="80" spans="1:17" ht="12.75" customHeight="1" hidden="1">
      <c r="A80" s="53"/>
      <c r="B80" s="77" t="s">
        <v>16</v>
      </c>
      <c r="C80" s="70"/>
      <c r="D80" s="70"/>
      <c r="E80" s="74"/>
      <c r="F80" s="74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6"/>
    </row>
    <row r="81" spans="1:17" ht="12.75" customHeight="1" hidden="1">
      <c r="A81" s="53" t="s">
        <v>118</v>
      </c>
      <c r="B81" s="54" t="s">
        <v>94</v>
      </c>
      <c r="C81" s="55"/>
      <c r="D81" s="55"/>
      <c r="E81" s="55"/>
      <c r="F81" s="55"/>
      <c r="G81" s="55"/>
      <c r="H81" s="55"/>
      <c r="I81" s="55"/>
      <c r="J81" s="55"/>
      <c r="K81" s="56"/>
      <c r="L81" s="56"/>
      <c r="M81" s="56"/>
      <c r="N81" s="56"/>
      <c r="O81" s="56"/>
      <c r="P81" s="56"/>
      <c r="Q81" s="57"/>
    </row>
    <row r="82" spans="1:17" ht="12.75" customHeight="1" hidden="1">
      <c r="A82" s="53"/>
      <c r="B82" s="58" t="s">
        <v>96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1:17" ht="12.75" customHeight="1" hidden="1">
      <c r="A83" s="53"/>
      <c r="B83" s="58" t="s">
        <v>98</v>
      </c>
      <c r="C83" s="65"/>
      <c r="D83" s="65"/>
      <c r="E83" s="65"/>
      <c r="F83" s="65"/>
      <c r="G83" s="65"/>
      <c r="H83" s="65"/>
      <c r="I83" s="65"/>
      <c r="J83" s="65"/>
      <c r="K83" s="65"/>
      <c r="L83" s="62"/>
      <c r="M83" s="62"/>
      <c r="N83" s="62"/>
      <c r="O83" s="62"/>
      <c r="P83" s="62"/>
      <c r="Q83" s="63"/>
    </row>
    <row r="84" spans="1:17" ht="12.75" customHeight="1" hidden="1">
      <c r="A84" s="53"/>
      <c r="B84" s="64" t="s">
        <v>100</v>
      </c>
      <c r="C84" s="79"/>
      <c r="D84" s="80"/>
      <c r="E84" s="80"/>
      <c r="F84" s="80"/>
      <c r="G84" s="80"/>
      <c r="H84" s="80"/>
      <c r="I84" s="80"/>
      <c r="J84" s="80"/>
      <c r="K84" s="62"/>
      <c r="L84" s="62"/>
      <c r="M84" s="62"/>
      <c r="N84" s="62"/>
      <c r="O84" s="62"/>
      <c r="P84" s="62"/>
      <c r="Q84" s="63"/>
    </row>
    <row r="85" spans="1:17" ht="12.75" customHeight="1" hidden="1">
      <c r="A85" s="53"/>
      <c r="B85" s="66" t="s">
        <v>102</v>
      </c>
      <c r="C85" s="67"/>
      <c r="D85" s="67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1:17" ht="12.75" customHeight="1" hidden="1">
      <c r="A86" s="53"/>
      <c r="B86" s="54" t="s">
        <v>115</v>
      </c>
      <c r="C86" s="70"/>
      <c r="D86" s="70"/>
      <c r="E86" s="71"/>
      <c r="F86" s="71"/>
      <c r="G86" s="71"/>
      <c r="H86" s="72"/>
      <c r="I86" s="72"/>
      <c r="J86" s="72"/>
      <c r="K86" s="72"/>
      <c r="L86" s="72"/>
      <c r="M86" s="72"/>
      <c r="N86" s="72"/>
      <c r="O86" s="72"/>
      <c r="P86" s="72"/>
      <c r="Q86" s="73"/>
    </row>
    <row r="87" spans="1:17" ht="12.75" customHeight="1" hidden="1">
      <c r="A87" s="53"/>
      <c r="B87" s="58" t="s">
        <v>79</v>
      </c>
      <c r="C87" s="70"/>
      <c r="D87" s="70"/>
      <c r="E87" s="71"/>
      <c r="F87" s="74"/>
      <c r="G87" s="71"/>
      <c r="H87" s="72"/>
      <c r="I87" s="72"/>
      <c r="J87" s="75"/>
      <c r="K87" s="75"/>
      <c r="L87" s="75"/>
      <c r="M87" s="72"/>
      <c r="N87" s="75"/>
      <c r="O87" s="75"/>
      <c r="P87" s="75"/>
      <c r="Q87" s="76"/>
    </row>
    <row r="88" spans="1:17" ht="12.75" customHeight="1" hidden="1">
      <c r="A88" s="53"/>
      <c r="B88" s="77" t="s">
        <v>16</v>
      </c>
      <c r="C88" s="70"/>
      <c r="D88" s="70"/>
      <c r="E88" s="74"/>
      <c r="F88" s="74"/>
      <c r="G88" s="74"/>
      <c r="H88" s="75"/>
      <c r="I88" s="75"/>
      <c r="J88" s="75"/>
      <c r="K88" s="75"/>
      <c r="L88" s="75"/>
      <c r="M88" s="75"/>
      <c r="N88" s="75"/>
      <c r="O88" s="75"/>
      <c r="P88" s="75"/>
      <c r="Q88" s="76"/>
    </row>
    <row r="89" spans="1:17" ht="12.75" customHeight="1" hidden="1">
      <c r="A89" s="81" t="s">
        <v>119</v>
      </c>
      <c r="B89" s="87" t="s">
        <v>94</v>
      </c>
      <c r="C89" s="55"/>
      <c r="D89" s="55"/>
      <c r="E89" s="55"/>
      <c r="F89" s="55"/>
      <c r="G89" s="55"/>
      <c r="H89" s="55"/>
      <c r="I89" s="55"/>
      <c r="J89" s="55"/>
      <c r="K89" s="56"/>
      <c r="L89" s="56"/>
      <c r="M89" s="56"/>
      <c r="N89" s="56"/>
      <c r="O89" s="56"/>
      <c r="P89" s="56"/>
      <c r="Q89" s="57"/>
    </row>
    <row r="90" spans="1:17" ht="12.75" customHeight="1" hidden="1">
      <c r="A90" s="81"/>
      <c r="B90" s="58" t="s">
        <v>96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1:17" ht="12.75" customHeight="1" hidden="1">
      <c r="A91" s="81"/>
      <c r="B91" s="58" t="s">
        <v>98</v>
      </c>
      <c r="C91" s="65"/>
      <c r="D91" s="65"/>
      <c r="E91" s="65"/>
      <c r="F91" s="65"/>
      <c r="G91" s="65"/>
      <c r="H91" s="65"/>
      <c r="I91" s="65"/>
      <c r="J91" s="65"/>
      <c r="K91" s="65"/>
      <c r="L91" s="62"/>
      <c r="M91" s="62"/>
      <c r="N91" s="62"/>
      <c r="O91" s="62"/>
      <c r="P91" s="62"/>
      <c r="Q91" s="63"/>
    </row>
    <row r="92" spans="1:17" ht="12.75" customHeight="1" hidden="1">
      <c r="A92" s="81"/>
      <c r="B92" s="64" t="s">
        <v>100</v>
      </c>
      <c r="C92" s="79"/>
      <c r="D92" s="80"/>
      <c r="E92" s="80"/>
      <c r="F92" s="80"/>
      <c r="G92" s="80"/>
      <c r="H92" s="80"/>
      <c r="I92" s="80"/>
      <c r="J92" s="80"/>
      <c r="K92" s="62"/>
      <c r="L92" s="62"/>
      <c r="M92" s="62"/>
      <c r="N92" s="62"/>
      <c r="O92" s="62"/>
      <c r="P92" s="62"/>
      <c r="Q92" s="63"/>
    </row>
    <row r="93" spans="1:17" ht="12.75" customHeight="1" hidden="1">
      <c r="A93" s="81"/>
      <c r="B93" s="66" t="s">
        <v>102</v>
      </c>
      <c r="C93" s="67"/>
      <c r="D93" s="67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9"/>
    </row>
    <row r="94" spans="1:17" ht="12.75" customHeight="1" hidden="1">
      <c r="A94" s="81"/>
      <c r="B94" s="54" t="s">
        <v>115</v>
      </c>
      <c r="C94" s="83"/>
      <c r="D94" s="83"/>
      <c r="E94" s="71"/>
      <c r="F94" s="71"/>
      <c r="G94" s="71"/>
      <c r="H94" s="72"/>
      <c r="I94" s="72"/>
      <c r="J94" s="72"/>
      <c r="K94" s="72"/>
      <c r="L94" s="72"/>
      <c r="M94" s="72"/>
      <c r="N94" s="72"/>
      <c r="O94" s="72"/>
      <c r="P94" s="72"/>
      <c r="Q94" s="73"/>
    </row>
    <row r="95" spans="1:17" ht="12.75" customHeight="1" hidden="1">
      <c r="A95" s="81"/>
      <c r="B95" s="58" t="s">
        <v>79</v>
      </c>
      <c r="C95" s="83"/>
      <c r="D95" s="83"/>
      <c r="E95" s="71"/>
      <c r="F95" s="74"/>
      <c r="G95" s="71"/>
      <c r="H95" s="72"/>
      <c r="I95" s="72"/>
      <c r="J95" s="75"/>
      <c r="K95" s="75"/>
      <c r="L95" s="75"/>
      <c r="M95" s="72"/>
      <c r="N95" s="75"/>
      <c r="O95" s="75"/>
      <c r="P95" s="75"/>
      <c r="Q95" s="76"/>
    </row>
    <row r="96" spans="1:17" ht="12.75" customHeight="1" hidden="1">
      <c r="A96" s="81"/>
      <c r="B96" s="77" t="s">
        <v>16</v>
      </c>
      <c r="C96" s="83"/>
      <c r="D96" s="83"/>
      <c r="E96" s="84"/>
      <c r="F96" s="84"/>
      <c r="G96" s="84"/>
      <c r="H96" s="85"/>
      <c r="I96" s="85"/>
      <c r="J96" s="85"/>
      <c r="K96" s="85"/>
      <c r="L96" s="85"/>
      <c r="M96" s="85"/>
      <c r="N96" s="85"/>
      <c r="O96" s="85"/>
      <c r="P96" s="85"/>
      <c r="Q96" s="86"/>
    </row>
    <row r="97" spans="1:17" ht="12.75" customHeight="1" hidden="1">
      <c r="A97" s="81" t="s">
        <v>120</v>
      </c>
      <c r="B97" s="54" t="s">
        <v>94</v>
      </c>
      <c r="C97" s="65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8"/>
    </row>
    <row r="98" spans="1:17" ht="12.75" customHeight="1" hidden="1">
      <c r="A98" s="81"/>
      <c r="B98" s="58" t="s">
        <v>96</v>
      </c>
      <c r="C98" s="65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8"/>
    </row>
    <row r="99" spans="1:17" ht="12.75" customHeight="1" hidden="1">
      <c r="A99" s="81"/>
      <c r="B99" s="58" t="s">
        <v>98</v>
      </c>
      <c r="C99" s="65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8"/>
    </row>
    <row r="100" spans="1:17" ht="12.75" customHeight="1" hidden="1">
      <c r="A100" s="81"/>
      <c r="B100" s="64" t="s">
        <v>100</v>
      </c>
      <c r="C100" s="65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8"/>
    </row>
    <row r="101" spans="1:17" ht="12.75" customHeight="1" hidden="1">
      <c r="A101" s="81"/>
      <c r="B101" s="66" t="s">
        <v>102</v>
      </c>
      <c r="C101" s="89"/>
      <c r="D101" s="89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</row>
    <row r="102" spans="1:17" ht="12.75" customHeight="1" hidden="1">
      <c r="A102" s="81"/>
      <c r="B102" s="90" t="s">
        <v>115</v>
      </c>
      <c r="C102" s="83"/>
      <c r="D102" s="83"/>
      <c r="E102" s="91"/>
      <c r="F102" s="91"/>
      <c r="G102" s="91"/>
      <c r="H102" s="92"/>
      <c r="I102" s="92"/>
      <c r="J102" s="92"/>
      <c r="K102" s="92"/>
      <c r="L102" s="92"/>
      <c r="M102" s="92"/>
      <c r="N102" s="92"/>
      <c r="O102" s="92"/>
      <c r="P102" s="92"/>
      <c r="Q102" s="93"/>
    </row>
    <row r="103" spans="1:17" ht="12.75" customHeight="1" hidden="1">
      <c r="A103" s="81"/>
      <c r="B103" s="58" t="s">
        <v>79</v>
      </c>
      <c r="C103" s="83"/>
      <c r="D103" s="83"/>
      <c r="E103" s="71"/>
      <c r="F103" s="74"/>
      <c r="G103" s="71"/>
      <c r="H103" s="72"/>
      <c r="I103" s="72"/>
      <c r="J103" s="75"/>
      <c r="K103" s="75"/>
      <c r="L103" s="75"/>
      <c r="M103" s="72"/>
      <c r="N103" s="75"/>
      <c r="O103" s="75"/>
      <c r="P103" s="75"/>
      <c r="Q103" s="76"/>
    </row>
    <row r="104" spans="1:17" ht="12.75" customHeight="1" hidden="1">
      <c r="A104" s="81"/>
      <c r="B104" s="77" t="s">
        <v>16</v>
      </c>
      <c r="C104" s="83"/>
      <c r="D104" s="83"/>
      <c r="E104" s="84"/>
      <c r="F104" s="84"/>
      <c r="G104" s="84"/>
      <c r="H104" s="85"/>
      <c r="I104" s="85"/>
      <c r="J104" s="85"/>
      <c r="K104" s="85"/>
      <c r="L104" s="85"/>
      <c r="M104" s="85"/>
      <c r="N104" s="85"/>
      <c r="O104" s="85"/>
      <c r="P104" s="85"/>
      <c r="Q104" s="86"/>
    </row>
    <row r="105" spans="1:17" ht="12.75" customHeight="1" hidden="1">
      <c r="A105" s="81" t="s">
        <v>121</v>
      </c>
      <c r="B105" s="87" t="s">
        <v>94</v>
      </c>
      <c r="C105" s="55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5"/>
    </row>
    <row r="106" spans="1:17" ht="12.75" customHeight="1" hidden="1">
      <c r="A106" s="81"/>
      <c r="B106" s="58" t="s">
        <v>96</v>
      </c>
      <c r="C106" s="65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8"/>
    </row>
    <row r="107" spans="1:17" ht="12.75" customHeight="1" hidden="1">
      <c r="A107" s="81"/>
      <c r="B107" s="58" t="s">
        <v>98</v>
      </c>
      <c r="C107" s="65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8"/>
    </row>
    <row r="108" spans="1:17" ht="12.75" customHeight="1" hidden="1">
      <c r="A108" s="81"/>
      <c r="B108" s="64" t="s">
        <v>100</v>
      </c>
      <c r="C108" s="65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8"/>
    </row>
    <row r="109" spans="1:17" ht="12.75" customHeight="1" hidden="1">
      <c r="A109" s="81"/>
      <c r="B109" s="66" t="s">
        <v>102</v>
      </c>
      <c r="C109" s="89"/>
      <c r="D109" s="89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9"/>
    </row>
    <row r="110" spans="1:17" ht="12.75" customHeight="1" hidden="1">
      <c r="A110" s="81"/>
      <c r="B110" s="54" t="s">
        <v>115</v>
      </c>
      <c r="C110" s="83"/>
      <c r="D110" s="83"/>
      <c r="E110" s="71"/>
      <c r="F110" s="71"/>
      <c r="G110" s="71"/>
      <c r="H110" s="72"/>
      <c r="I110" s="72"/>
      <c r="J110" s="72"/>
      <c r="K110" s="72"/>
      <c r="L110" s="72"/>
      <c r="M110" s="72"/>
      <c r="N110" s="72"/>
      <c r="O110" s="72"/>
      <c r="P110" s="72"/>
      <c r="Q110" s="73"/>
    </row>
    <row r="111" spans="1:17" ht="12.75" customHeight="1" hidden="1">
      <c r="A111" s="81"/>
      <c r="B111" s="58" t="s">
        <v>79</v>
      </c>
      <c r="C111" s="83"/>
      <c r="D111" s="83"/>
      <c r="E111" s="71"/>
      <c r="F111" s="74"/>
      <c r="G111" s="71"/>
      <c r="H111" s="72"/>
      <c r="I111" s="72"/>
      <c r="J111" s="75"/>
      <c r="K111" s="75"/>
      <c r="L111" s="75"/>
      <c r="M111" s="72"/>
      <c r="N111" s="75"/>
      <c r="O111" s="75"/>
      <c r="P111" s="75"/>
      <c r="Q111" s="76"/>
    </row>
    <row r="112" spans="1:17" ht="12.75" customHeight="1" hidden="1">
      <c r="A112" s="81"/>
      <c r="B112" s="77" t="s">
        <v>16</v>
      </c>
      <c r="C112" s="83"/>
      <c r="D112" s="83"/>
      <c r="E112" s="84"/>
      <c r="F112" s="84"/>
      <c r="G112" s="84"/>
      <c r="H112" s="85"/>
      <c r="I112" s="85"/>
      <c r="J112" s="85"/>
      <c r="K112" s="85"/>
      <c r="L112" s="85"/>
      <c r="M112" s="85"/>
      <c r="N112" s="85"/>
      <c r="O112" s="85"/>
      <c r="P112" s="85"/>
      <c r="Q112" s="86"/>
    </row>
    <row r="113" spans="1:17" ht="12.75" customHeight="1" hidden="1">
      <c r="A113" s="81" t="s">
        <v>122</v>
      </c>
      <c r="B113" s="87" t="s">
        <v>94</v>
      </c>
      <c r="C113" s="55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5"/>
    </row>
    <row r="114" spans="1:17" ht="12.75" customHeight="1" hidden="1">
      <c r="A114" s="81"/>
      <c r="B114" s="58" t="s">
        <v>96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spans="1:17" ht="12.75" customHeight="1" hidden="1">
      <c r="A115" s="81"/>
      <c r="B115" s="58" t="s">
        <v>98</v>
      </c>
      <c r="C115" s="65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8"/>
    </row>
    <row r="116" spans="1:17" ht="12.75" customHeight="1" hidden="1">
      <c r="A116" s="81"/>
      <c r="B116" s="64" t="s">
        <v>100</v>
      </c>
      <c r="C116" s="65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8"/>
    </row>
    <row r="117" spans="1:17" ht="12.75" customHeight="1" hidden="1">
      <c r="A117" s="81"/>
      <c r="B117" s="66" t="s">
        <v>102</v>
      </c>
      <c r="C117" s="89"/>
      <c r="D117" s="89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9"/>
    </row>
    <row r="118" spans="1:17" ht="12.75" customHeight="1" hidden="1">
      <c r="A118" s="81"/>
      <c r="B118" s="54" t="s">
        <v>115</v>
      </c>
      <c r="C118" s="83"/>
      <c r="D118" s="83"/>
      <c r="E118" s="71"/>
      <c r="F118" s="71"/>
      <c r="G118" s="71"/>
      <c r="H118" s="72"/>
      <c r="I118" s="72"/>
      <c r="J118" s="72"/>
      <c r="K118" s="72"/>
      <c r="L118" s="72"/>
      <c r="M118" s="72"/>
      <c r="N118" s="72"/>
      <c r="O118" s="72"/>
      <c r="P118" s="72"/>
      <c r="Q118" s="73"/>
    </row>
    <row r="119" spans="1:17" ht="12.75" customHeight="1" hidden="1">
      <c r="A119" s="81"/>
      <c r="B119" s="58" t="s">
        <v>79</v>
      </c>
      <c r="C119" s="83"/>
      <c r="D119" s="83"/>
      <c r="E119" s="71"/>
      <c r="F119" s="74"/>
      <c r="G119" s="71"/>
      <c r="H119" s="72"/>
      <c r="I119" s="72"/>
      <c r="J119" s="75"/>
      <c r="K119" s="75"/>
      <c r="L119" s="75"/>
      <c r="M119" s="72"/>
      <c r="N119" s="75"/>
      <c r="O119" s="75"/>
      <c r="P119" s="75"/>
      <c r="Q119" s="76"/>
    </row>
    <row r="120" spans="1:17" ht="12.75" customHeight="1" hidden="1">
      <c r="A120" s="81"/>
      <c r="B120" s="77" t="s">
        <v>16</v>
      </c>
      <c r="C120" s="83"/>
      <c r="D120" s="83"/>
      <c r="E120" s="84"/>
      <c r="F120" s="84"/>
      <c r="G120" s="84"/>
      <c r="H120" s="85"/>
      <c r="I120" s="85"/>
      <c r="J120" s="85"/>
      <c r="K120" s="85"/>
      <c r="L120" s="85"/>
      <c r="M120" s="85"/>
      <c r="N120" s="85"/>
      <c r="O120" s="85"/>
      <c r="P120" s="85"/>
      <c r="Q120" s="86"/>
    </row>
    <row r="121" spans="1:17" ht="12.75" customHeight="1" hidden="1">
      <c r="A121" s="81" t="s">
        <v>123</v>
      </c>
      <c r="B121" s="87" t="s">
        <v>94</v>
      </c>
      <c r="C121" s="55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5"/>
    </row>
    <row r="122" spans="1:17" ht="12.75" customHeight="1" hidden="1">
      <c r="A122" s="81"/>
      <c r="B122" s="58" t="s">
        <v>96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1:17" ht="12.75" customHeight="1" hidden="1">
      <c r="A123" s="81"/>
      <c r="B123" s="58" t="s">
        <v>98</v>
      </c>
      <c r="C123" s="65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8"/>
    </row>
    <row r="124" spans="1:17" ht="12.75" customHeight="1" hidden="1">
      <c r="A124" s="81"/>
      <c r="B124" s="64" t="s">
        <v>100</v>
      </c>
      <c r="C124" s="65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8"/>
    </row>
    <row r="125" spans="1:17" ht="12.75" customHeight="1" hidden="1">
      <c r="A125" s="81"/>
      <c r="B125" s="66" t="s">
        <v>102</v>
      </c>
      <c r="C125" s="89"/>
      <c r="D125" s="89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9"/>
    </row>
    <row r="126" spans="1:17" ht="12.75" customHeight="1" hidden="1">
      <c r="A126" s="81"/>
      <c r="B126" s="54" t="s">
        <v>115</v>
      </c>
      <c r="C126" s="83"/>
      <c r="D126" s="83"/>
      <c r="E126" s="71"/>
      <c r="F126" s="71"/>
      <c r="G126" s="71"/>
      <c r="H126" s="72"/>
      <c r="I126" s="72"/>
      <c r="J126" s="72"/>
      <c r="K126" s="72"/>
      <c r="L126" s="72"/>
      <c r="M126" s="72"/>
      <c r="N126" s="72"/>
      <c r="O126" s="72"/>
      <c r="P126" s="72"/>
      <c r="Q126" s="73"/>
    </row>
    <row r="127" spans="1:17" ht="12.75" customHeight="1" hidden="1">
      <c r="A127" s="81"/>
      <c r="B127" s="58" t="s">
        <v>79</v>
      </c>
      <c r="C127" s="83"/>
      <c r="D127" s="83"/>
      <c r="E127" s="71"/>
      <c r="F127" s="74"/>
      <c r="G127" s="71"/>
      <c r="H127" s="72"/>
      <c r="I127" s="72"/>
      <c r="J127" s="75"/>
      <c r="K127" s="75"/>
      <c r="L127" s="75"/>
      <c r="M127" s="72"/>
      <c r="N127" s="75"/>
      <c r="O127" s="75"/>
      <c r="P127" s="75"/>
      <c r="Q127" s="76"/>
    </row>
    <row r="128" spans="1:17" ht="12.75" customHeight="1" hidden="1">
      <c r="A128" s="81"/>
      <c r="B128" s="77" t="s">
        <v>16</v>
      </c>
      <c r="C128" s="83"/>
      <c r="D128" s="83"/>
      <c r="E128" s="84"/>
      <c r="F128" s="84"/>
      <c r="G128" s="84"/>
      <c r="H128" s="85"/>
      <c r="I128" s="85"/>
      <c r="J128" s="85"/>
      <c r="K128" s="85"/>
      <c r="L128" s="85"/>
      <c r="M128" s="85"/>
      <c r="N128" s="85"/>
      <c r="O128" s="85"/>
      <c r="P128" s="85"/>
      <c r="Q128" s="86"/>
    </row>
    <row r="129" spans="1:17" ht="12.75" customHeight="1" hidden="1">
      <c r="A129" s="81" t="s">
        <v>124</v>
      </c>
      <c r="B129" s="87" t="s">
        <v>94</v>
      </c>
      <c r="C129" s="55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5"/>
    </row>
    <row r="130" spans="1:17" ht="12.75" customHeight="1" hidden="1">
      <c r="A130" s="81"/>
      <c r="B130" s="58" t="s">
        <v>96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1:17" ht="12.75" customHeight="1" hidden="1">
      <c r="A131" s="81"/>
      <c r="B131" s="58" t="s">
        <v>98</v>
      </c>
      <c r="C131" s="65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8"/>
    </row>
    <row r="132" spans="1:17" ht="12.75" customHeight="1" hidden="1">
      <c r="A132" s="81"/>
      <c r="B132" s="58" t="s">
        <v>110</v>
      </c>
      <c r="C132" s="65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8"/>
    </row>
    <row r="133" spans="1:17" ht="12.75" customHeight="1" hidden="1">
      <c r="A133" s="81"/>
      <c r="B133" s="64" t="s">
        <v>100</v>
      </c>
      <c r="C133" s="65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8"/>
    </row>
    <row r="134" spans="1:17" ht="12.75" customHeight="1" hidden="1">
      <c r="A134" s="81"/>
      <c r="B134" s="66" t="s">
        <v>102</v>
      </c>
      <c r="C134" s="89"/>
      <c r="D134" s="89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9"/>
    </row>
    <row r="135" spans="1:17" ht="12.75" customHeight="1" hidden="1">
      <c r="A135" s="81"/>
      <c r="B135" s="54" t="s">
        <v>115</v>
      </c>
      <c r="C135" s="83"/>
      <c r="D135" s="83"/>
      <c r="E135" s="71"/>
      <c r="F135" s="71"/>
      <c r="G135" s="71"/>
      <c r="H135" s="72"/>
      <c r="I135" s="72"/>
      <c r="J135" s="72"/>
      <c r="K135" s="72"/>
      <c r="L135" s="72"/>
      <c r="M135" s="72"/>
      <c r="N135" s="72"/>
      <c r="O135" s="72"/>
      <c r="P135" s="72"/>
      <c r="Q135" s="73"/>
    </row>
    <row r="136" spans="1:17" ht="12.75" customHeight="1" hidden="1">
      <c r="A136" s="81"/>
      <c r="B136" s="58" t="s">
        <v>79</v>
      </c>
      <c r="C136" s="83"/>
      <c r="D136" s="83"/>
      <c r="E136" s="71"/>
      <c r="F136" s="74"/>
      <c r="G136" s="71"/>
      <c r="H136" s="72"/>
      <c r="I136" s="72"/>
      <c r="J136" s="75"/>
      <c r="K136" s="75"/>
      <c r="L136" s="75"/>
      <c r="M136" s="72"/>
      <c r="N136" s="75"/>
      <c r="O136" s="75"/>
      <c r="P136" s="75"/>
      <c r="Q136" s="76"/>
    </row>
    <row r="137" spans="1:17" ht="12.75" customHeight="1" hidden="1">
      <c r="A137" s="81"/>
      <c r="B137" s="77" t="s">
        <v>16</v>
      </c>
      <c r="C137" s="83"/>
      <c r="D137" s="83"/>
      <c r="E137" s="84"/>
      <c r="F137" s="84"/>
      <c r="G137" s="84"/>
      <c r="H137" s="85"/>
      <c r="I137" s="85"/>
      <c r="J137" s="85"/>
      <c r="K137" s="85"/>
      <c r="L137" s="85"/>
      <c r="M137" s="85"/>
      <c r="N137" s="85"/>
      <c r="O137" s="85"/>
      <c r="P137" s="85"/>
      <c r="Q137" s="86"/>
    </row>
    <row r="138" spans="1:17" ht="12.75" customHeight="1">
      <c r="A138" s="81" t="s">
        <v>113</v>
      </c>
      <c r="B138" s="54" t="s">
        <v>94</v>
      </c>
      <c r="C138" s="55" t="s">
        <v>95</v>
      </c>
      <c r="D138" s="55"/>
      <c r="E138" s="55"/>
      <c r="F138" s="55"/>
      <c r="G138" s="55"/>
      <c r="H138" s="55"/>
      <c r="I138" s="55"/>
      <c r="J138" s="55"/>
      <c r="K138" s="56"/>
      <c r="L138" s="56"/>
      <c r="M138" s="56"/>
      <c r="N138" s="56"/>
      <c r="O138" s="56"/>
      <c r="P138" s="56"/>
      <c r="Q138" s="57"/>
    </row>
    <row r="139" spans="1:17" ht="12.75" customHeight="1">
      <c r="A139" s="81"/>
      <c r="B139" s="58" t="s">
        <v>96</v>
      </c>
      <c r="C139" s="59" t="s">
        <v>97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spans="1:17" ht="12.75" customHeight="1">
      <c r="A140" s="81"/>
      <c r="B140" s="58" t="s">
        <v>98</v>
      </c>
      <c r="C140" s="65" t="s">
        <v>125</v>
      </c>
      <c r="D140" s="65"/>
      <c r="E140" s="65"/>
      <c r="F140" s="65"/>
      <c r="G140" s="65"/>
      <c r="H140" s="65"/>
      <c r="I140" s="65"/>
      <c r="J140" s="65"/>
      <c r="K140" s="65"/>
      <c r="L140" s="62"/>
      <c r="M140" s="62"/>
      <c r="N140" s="62"/>
      <c r="O140" s="62"/>
      <c r="P140" s="62"/>
      <c r="Q140" s="63"/>
    </row>
    <row r="141" spans="1:17" ht="12.75" customHeight="1">
      <c r="A141" s="81"/>
      <c r="B141" s="58" t="s">
        <v>110</v>
      </c>
      <c r="C141" s="65"/>
      <c r="D141" s="82"/>
      <c r="E141" s="82"/>
      <c r="F141" s="82"/>
      <c r="G141" s="82"/>
      <c r="H141" s="82"/>
      <c r="I141" s="82"/>
      <c r="J141" s="82"/>
      <c r="K141" s="82"/>
      <c r="L141" s="62"/>
      <c r="M141" s="62"/>
      <c r="N141" s="62"/>
      <c r="O141" s="62"/>
      <c r="P141" s="62"/>
      <c r="Q141" s="63"/>
    </row>
    <row r="142" spans="1:17" ht="12.75" customHeight="1">
      <c r="A142" s="81"/>
      <c r="B142" s="64" t="s">
        <v>100</v>
      </c>
      <c r="C142" s="79" t="s">
        <v>126</v>
      </c>
      <c r="D142" s="80"/>
      <c r="E142" s="80"/>
      <c r="F142" s="80"/>
      <c r="G142" s="80"/>
      <c r="H142" s="80"/>
      <c r="I142" s="80"/>
      <c r="J142" s="80"/>
      <c r="K142" s="62"/>
      <c r="L142" s="62"/>
      <c r="M142" s="62"/>
      <c r="N142" s="62"/>
      <c r="O142" s="62"/>
      <c r="P142" s="62"/>
      <c r="Q142" s="63"/>
    </row>
    <row r="143" spans="1:17" ht="12.75" customHeight="1">
      <c r="A143" s="81"/>
      <c r="B143" s="66" t="s">
        <v>102</v>
      </c>
      <c r="C143" s="67"/>
      <c r="D143" s="67"/>
      <c r="E143" s="68">
        <v>48839</v>
      </c>
      <c r="F143" s="68">
        <v>7326</v>
      </c>
      <c r="G143" s="68">
        <v>41513</v>
      </c>
      <c r="H143" s="68">
        <f aca="true" t="shared" si="5" ref="H143:Q143">H144</f>
        <v>13857</v>
      </c>
      <c r="I143" s="68">
        <f t="shared" si="5"/>
        <v>2079</v>
      </c>
      <c r="J143" s="68">
        <f t="shared" si="5"/>
        <v>0</v>
      </c>
      <c r="K143" s="68">
        <f t="shared" si="5"/>
        <v>0</v>
      </c>
      <c r="L143" s="68">
        <f t="shared" si="5"/>
        <v>2079</v>
      </c>
      <c r="M143" s="68">
        <f t="shared" si="5"/>
        <v>11778</v>
      </c>
      <c r="N143" s="68">
        <f t="shared" si="5"/>
        <v>0</v>
      </c>
      <c r="O143" s="68">
        <f t="shared" si="5"/>
        <v>0</v>
      </c>
      <c r="P143" s="68">
        <f t="shared" si="5"/>
        <v>0</v>
      </c>
      <c r="Q143" s="69">
        <f t="shared" si="5"/>
        <v>11778</v>
      </c>
    </row>
    <row r="144" spans="1:17" ht="12.75" customHeight="1">
      <c r="A144" s="81"/>
      <c r="B144" s="54" t="s">
        <v>103</v>
      </c>
      <c r="C144" s="83"/>
      <c r="D144" s="83"/>
      <c r="E144" s="71">
        <f>F144+G144</f>
        <v>13857</v>
      </c>
      <c r="F144" s="71">
        <f>I144</f>
        <v>2079</v>
      </c>
      <c r="G144" s="71">
        <f>M144</f>
        <v>11778</v>
      </c>
      <c r="H144" s="72">
        <f>I144+M144</f>
        <v>13857</v>
      </c>
      <c r="I144" s="72">
        <f>SUM(J144:L144)</f>
        <v>2079</v>
      </c>
      <c r="J144" s="72"/>
      <c r="K144" s="72"/>
      <c r="L144" s="72">
        <v>2079</v>
      </c>
      <c r="M144" s="72">
        <f>SUM(N144:Q144)</f>
        <v>11778</v>
      </c>
      <c r="N144" s="72"/>
      <c r="O144" s="72"/>
      <c r="P144" s="72"/>
      <c r="Q144" s="73">
        <v>11778</v>
      </c>
    </row>
    <row r="145" spans="1:17" ht="12.75" customHeight="1">
      <c r="A145" s="81"/>
      <c r="B145" s="58" t="s">
        <v>16</v>
      </c>
      <c r="C145" s="83"/>
      <c r="D145" s="83"/>
      <c r="E145" s="71"/>
      <c r="F145" s="74"/>
      <c r="G145" s="71"/>
      <c r="H145" s="72"/>
      <c r="I145" s="72"/>
      <c r="J145" s="75"/>
      <c r="K145" s="75"/>
      <c r="L145" s="75"/>
      <c r="M145" s="72"/>
      <c r="N145" s="75"/>
      <c r="O145" s="75"/>
      <c r="P145" s="75"/>
      <c r="Q145" s="76"/>
    </row>
    <row r="146" spans="1:17" ht="13.5" customHeight="1">
      <c r="A146" s="81"/>
      <c r="B146" s="77" t="s">
        <v>112</v>
      </c>
      <c r="C146" s="83"/>
      <c r="D146" s="83"/>
      <c r="E146" s="84"/>
      <c r="F146" s="84"/>
      <c r="G146" s="84"/>
      <c r="H146" s="85"/>
      <c r="I146" s="85"/>
      <c r="J146" s="85"/>
      <c r="K146" s="85"/>
      <c r="L146" s="85"/>
      <c r="M146" s="85"/>
      <c r="N146" s="85"/>
      <c r="O146" s="85"/>
      <c r="P146" s="85"/>
      <c r="Q146" s="86"/>
    </row>
    <row r="147" spans="1:17" ht="12.75" customHeight="1">
      <c r="A147" s="81" t="s">
        <v>114</v>
      </c>
      <c r="B147" s="54" t="s">
        <v>94</v>
      </c>
      <c r="C147" s="55" t="s">
        <v>95</v>
      </c>
      <c r="D147" s="55"/>
      <c r="E147" s="55"/>
      <c r="F147" s="55"/>
      <c r="G147" s="55"/>
      <c r="H147" s="55"/>
      <c r="I147" s="55"/>
      <c r="J147" s="55"/>
      <c r="K147" s="56"/>
      <c r="L147" s="56"/>
      <c r="M147" s="56"/>
      <c r="N147" s="56"/>
      <c r="O147" s="56"/>
      <c r="P147" s="56"/>
      <c r="Q147" s="57"/>
    </row>
    <row r="148" spans="1:17" ht="12.75" customHeight="1">
      <c r="A148" s="81"/>
      <c r="B148" s="58" t="s">
        <v>96</v>
      </c>
      <c r="C148" s="59" t="s">
        <v>97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spans="1:17" ht="12.75" customHeight="1">
      <c r="A149" s="81"/>
      <c r="B149" s="58" t="s">
        <v>98</v>
      </c>
      <c r="C149" s="65" t="s">
        <v>125</v>
      </c>
      <c r="D149" s="65"/>
      <c r="E149" s="65"/>
      <c r="F149" s="65"/>
      <c r="G149" s="65"/>
      <c r="H149" s="65"/>
      <c r="I149" s="65"/>
      <c r="J149" s="65"/>
      <c r="K149" s="65"/>
      <c r="L149" s="62"/>
      <c r="M149" s="62"/>
      <c r="N149" s="62"/>
      <c r="O149" s="62"/>
      <c r="P149" s="62"/>
      <c r="Q149" s="63"/>
    </row>
    <row r="150" spans="1:17" ht="12.75" customHeight="1">
      <c r="A150" s="81"/>
      <c r="B150" s="58" t="s">
        <v>110</v>
      </c>
      <c r="C150" s="65"/>
      <c r="D150" s="82"/>
      <c r="E150" s="82"/>
      <c r="F150" s="82"/>
      <c r="G150" s="82"/>
      <c r="H150" s="82"/>
      <c r="I150" s="82"/>
      <c r="J150" s="82"/>
      <c r="K150" s="82"/>
      <c r="L150" s="62"/>
      <c r="M150" s="62"/>
      <c r="N150" s="62"/>
      <c r="O150" s="62"/>
      <c r="P150" s="62"/>
      <c r="Q150" s="63"/>
    </row>
    <row r="151" spans="1:17" ht="12.75" customHeight="1">
      <c r="A151" s="81"/>
      <c r="B151" s="64" t="s">
        <v>100</v>
      </c>
      <c r="C151" s="79" t="s">
        <v>127</v>
      </c>
      <c r="D151" s="80"/>
      <c r="E151" s="80"/>
      <c r="F151" s="80"/>
      <c r="G151" s="80"/>
      <c r="H151" s="80"/>
      <c r="I151" s="80"/>
      <c r="J151" s="80"/>
      <c r="K151" s="62"/>
      <c r="L151" s="62"/>
      <c r="M151" s="62"/>
      <c r="N151" s="62"/>
      <c r="O151" s="62"/>
      <c r="P151" s="62"/>
      <c r="Q151" s="63"/>
    </row>
    <row r="152" spans="1:17" ht="12.75" customHeight="1">
      <c r="A152" s="81"/>
      <c r="B152" s="66" t="s">
        <v>102</v>
      </c>
      <c r="C152" s="67"/>
      <c r="D152" s="67"/>
      <c r="E152" s="68">
        <v>49499</v>
      </c>
      <c r="F152" s="68">
        <v>7424</v>
      </c>
      <c r="G152" s="68">
        <v>42075</v>
      </c>
      <c r="H152" s="68">
        <f aca="true" t="shared" si="6" ref="H152:Q152">H153</f>
        <v>15734</v>
      </c>
      <c r="I152" s="68">
        <f t="shared" si="6"/>
        <v>2360</v>
      </c>
      <c r="J152" s="68">
        <f t="shared" si="6"/>
        <v>0</v>
      </c>
      <c r="K152" s="68">
        <f t="shared" si="6"/>
        <v>0</v>
      </c>
      <c r="L152" s="68">
        <f t="shared" si="6"/>
        <v>2360</v>
      </c>
      <c r="M152" s="68">
        <f t="shared" si="6"/>
        <v>13374</v>
      </c>
      <c r="N152" s="68">
        <f t="shared" si="6"/>
        <v>0</v>
      </c>
      <c r="O152" s="68">
        <f t="shared" si="6"/>
        <v>0</v>
      </c>
      <c r="P152" s="68">
        <f t="shared" si="6"/>
        <v>0</v>
      </c>
      <c r="Q152" s="69">
        <f t="shared" si="6"/>
        <v>13374</v>
      </c>
    </row>
    <row r="153" spans="1:17" ht="12.75" customHeight="1">
      <c r="A153" s="81"/>
      <c r="B153" s="54" t="s">
        <v>103</v>
      </c>
      <c r="C153" s="83"/>
      <c r="D153" s="83"/>
      <c r="E153" s="71">
        <f>F153+G153</f>
        <v>15734</v>
      </c>
      <c r="F153" s="71">
        <f>I153</f>
        <v>2360</v>
      </c>
      <c r="G153" s="71">
        <f>M153</f>
        <v>13374</v>
      </c>
      <c r="H153" s="72">
        <f>I153+M153</f>
        <v>15734</v>
      </c>
      <c r="I153" s="72">
        <f>SUM(J153:L153)</f>
        <v>2360</v>
      </c>
      <c r="J153" s="72">
        <v>0</v>
      </c>
      <c r="K153" s="72"/>
      <c r="L153" s="72">
        <v>2360</v>
      </c>
      <c r="M153" s="72">
        <f>SUM(N153:Q153)</f>
        <v>13374</v>
      </c>
      <c r="N153" s="72">
        <v>0</v>
      </c>
      <c r="O153" s="72"/>
      <c r="P153" s="72"/>
      <c r="Q153" s="73">
        <v>13374</v>
      </c>
    </row>
    <row r="154" spans="1:17" ht="12.75" customHeight="1">
      <c r="A154" s="81"/>
      <c r="B154" s="58" t="s">
        <v>16</v>
      </c>
      <c r="C154" s="83"/>
      <c r="D154" s="83"/>
      <c r="E154" s="71"/>
      <c r="F154" s="74"/>
      <c r="G154" s="71"/>
      <c r="H154" s="72"/>
      <c r="I154" s="72"/>
      <c r="J154" s="75"/>
      <c r="K154" s="75"/>
      <c r="L154" s="75"/>
      <c r="M154" s="72"/>
      <c r="N154" s="75"/>
      <c r="O154" s="75"/>
      <c r="P154" s="75"/>
      <c r="Q154" s="76"/>
    </row>
    <row r="155" spans="1:17" ht="13.5" customHeight="1">
      <c r="A155" s="81"/>
      <c r="B155" s="77" t="s">
        <v>112</v>
      </c>
      <c r="C155" s="83"/>
      <c r="D155" s="83"/>
      <c r="E155" s="84"/>
      <c r="F155" s="84"/>
      <c r="G155" s="84"/>
      <c r="H155" s="85"/>
      <c r="I155" s="85"/>
      <c r="J155" s="85"/>
      <c r="K155" s="85"/>
      <c r="L155" s="85"/>
      <c r="M155" s="85"/>
      <c r="N155" s="85"/>
      <c r="O155" s="85"/>
      <c r="P155" s="85"/>
      <c r="Q155" s="86"/>
    </row>
    <row r="156" spans="1:17" ht="12.75" customHeight="1">
      <c r="A156" s="81" t="s">
        <v>116</v>
      </c>
      <c r="B156" s="54" t="s">
        <v>94</v>
      </c>
      <c r="C156" s="55" t="s">
        <v>95</v>
      </c>
      <c r="D156" s="55"/>
      <c r="E156" s="55"/>
      <c r="F156" s="55"/>
      <c r="G156" s="55"/>
      <c r="H156" s="55"/>
      <c r="I156" s="55"/>
      <c r="J156" s="55"/>
      <c r="K156" s="56"/>
      <c r="L156" s="56"/>
      <c r="M156" s="56"/>
      <c r="N156" s="56"/>
      <c r="O156" s="56"/>
      <c r="P156" s="56"/>
      <c r="Q156" s="57"/>
    </row>
    <row r="157" spans="1:17" ht="12.75" customHeight="1">
      <c r="A157" s="81"/>
      <c r="B157" s="58" t="s">
        <v>96</v>
      </c>
      <c r="C157" s="59" t="s">
        <v>97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ht="12.75" customHeight="1">
      <c r="A158" s="81"/>
      <c r="B158" s="58" t="s">
        <v>98</v>
      </c>
      <c r="C158" s="65" t="s">
        <v>128</v>
      </c>
      <c r="D158" s="65"/>
      <c r="E158" s="65"/>
      <c r="F158" s="65"/>
      <c r="G158" s="65"/>
      <c r="H158" s="65"/>
      <c r="I158" s="65"/>
      <c r="J158" s="65"/>
      <c r="K158" s="65"/>
      <c r="L158" s="62"/>
      <c r="M158" s="62"/>
      <c r="N158" s="62"/>
      <c r="O158" s="62"/>
      <c r="P158" s="62"/>
      <c r="Q158" s="63"/>
    </row>
    <row r="159" spans="1:17" ht="12.75" customHeight="1">
      <c r="A159" s="81"/>
      <c r="B159" s="58" t="s">
        <v>110</v>
      </c>
      <c r="C159" s="65"/>
      <c r="D159" s="82"/>
      <c r="E159" s="82"/>
      <c r="F159" s="82"/>
      <c r="G159" s="82"/>
      <c r="H159" s="82"/>
      <c r="I159" s="82"/>
      <c r="J159" s="82"/>
      <c r="K159" s="82"/>
      <c r="L159" s="62"/>
      <c r="M159" s="62"/>
      <c r="N159" s="62"/>
      <c r="O159" s="62"/>
      <c r="P159" s="62"/>
      <c r="Q159" s="63"/>
    </row>
    <row r="160" spans="1:17" ht="12.75" customHeight="1">
      <c r="A160" s="81"/>
      <c r="B160" s="64" t="s">
        <v>100</v>
      </c>
      <c r="C160" s="79" t="s">
        <v>129</v>
      </c>
      <c r="D160" s="80"/>
      <c r="E160" s="80"/>
      <c r="F160" s="80"/>
      <c r="G160" s="80"/>
      <c r="H160" s="80"/>
      <c r="I160" s="80"/>
      <c r="J160" s="80"/>
      <c r="K160" s="62"/>
      <c r="L160" s="62"/>
      <c r="M160" s="62"/>
      <c r="N160" s="62"/>
      <c r="O160" s="62"/>
      <c r="P160" s="62"/>
      <c r="Q160" s="63"/>
    </row>
    <row r="161" spans="1:17" ht="12.75" customHeight="1">
      <c r="A161" s="81"/>
      <c r="B161" s="66" t="s">
        <v>102</v>
      </c>
      <c r="C161" s="67"/>
      <c r="D161" s="67"/>
      <c r="E161" s="68">
        <v>201591</v>
      </c>
      <c r="F161" s="68">
        <v>13491</v>
      </c>
      <c r="G161" s="68">
        <v>188100</v>
      </c>
      <c r="H161" s="68">
        <f aca="true" t="shared" si="7" ref="H161:Q161">H162</f>
        <v>111648</v>
      </c>
      <c r="I161" s="68">
        <f t="shared" si="7"/>
        <v>16747</v>
      </c>
      <c r="J161" s="68">
        <f t="shared" si="7"/>
        <v>0</v>
      </c>
      <c r="K161" s="68">
        <f t="shared" si="7"/>
        <v>0</v>
      </c>
      <c r="L161" s="68">
        <f t="shared" si="7"/>
        <v>16747</v>
      </c>
      <c r="M161" s="68">
        <f t="shared" si="7"/>
        <v>94901</v>
      </c>
      <c r="N161" s="68">
        <f t="shared" si="7"/>
        <v>0</v>
      </c>
      <c r="O161" s="68">
        <f t="shared" si="7"/>
        <v>0</v>
      </c>
      <c r="P161" s="68">
        <f t="shared" si="7"/>
        <v>0</v>
      </c>
      <c r="Q161" s="69">
        <f t="shared" si="7"/>
        <v>94901</v>
      </c>
    </row>
    <row r="162" spans="1:17" ht="12.75" customHeight="1">
      <c r="A162" s="81"/>
      <c r="B162" s="54" t="s">
        <v>103</v>
      </c>
      <c r="C162" s="83"/>
      <c r="D162" s="83"/>
      <c r="E162" s="71">
        <f>F162+G162</f>
        <v>111648</v>
      </c>
      <c r="F162" s="71">
        <f>I162</f>
        <v>16747</v>
      </c>
      <c r="G162" s="71">
        <f>Q162</f>
        <v>94901</v>
      </c>
      <c r="H162" s="72">
        <f>I162+M162</f>
        <v>111648</v>
      </c>
      <c r="I162" s="72">
        <f>SUM(J162:L162)</f>
        <v>16747</v>
      </c>
      <c r="J162" s="72"/>
      <c r="K162" s="72"/>
      <c r="L162" s="72">
        <v>16747</v>
      </c>
      <c r="M162" s="72">
        <f>SUM(N162:Q162)</f>
        <v>94901</v>
      </c>
      <c r="N162" s="72">
        <v>0</v>
      </c>
      <c r="O162" s="72"/>
      <c r="P162" s="72"/>
      <c r="Q162" s="73">
        <v>94901</v>
      </c>
    </row>
    <row r="163" spans="1:17" ht="12.75" customHeight="1">
      <c r="A163" s="81"/>
      <c r="B163" s="58" t="s">
        <v>16</v>
      </c>
      <c r="C163" s="83"/>
      <c r="D163" s="83"/>
      <c r="E163" s="71"/>
      <c r="F163" s="74"/>
      <c r="G163" s="71"/>
      <c r="H163" s="72"/>
      <c r="I163" s="72"/>
      <c r="J163" s="75"/>
      <c r="K163" s="75"/>
      <c r="L163" s="75"/>
      <c r="M163" s="72"/>
      <c r="N163" s="75"/>
      <c r="O163" s="75"/>
      <c r="P163" s="75"/>
      <c r="Q163" s="76"/>
    </row>
    <row r="164" spans="1:17" ht="13.5" customHeight="1">
      <c r="A164" s="81"/>
      <c r="B164" s="77" t="s">
        <v>112</v>
      </c>
      <c r="C164" s="83"/>
      <c r="D164" s="83"/>
      <c r="E164" s="84"/>
      <c r="F164" s="84"/>
      <c r="G164" s="84"/>
      <c r="H164" s="85"/>
      <c r="I164" s="85"/>
      <c r="J164" s="85"/>
      <c r="K164" s="85"/>
      <c r="L164" s="85"/>
      <c r="M164" s="85"/>
      <c r="N164" s="85"/>
      <c r="O164" s="85"/>
      <c r="P164" s="85"/>
      <c r="Q164" s="86"/>
    </row>
    <row r="165" spans="1:17" ht="12.75" customHeight="1">
      <c r="A165" s="81" t="s">
        <v>117</v>
      </c>
      <c r="B165" s="54" t="s">
        <v>94</v>
      </c>
      <c r="C165" s="55" t="s">
        <v>130</v>
      </c>
      <c r="D165" s="55"/>
      <c r="E165" s="55"/>
      <c r="F165" s="55"/>
      <c r="G165" s="55"/>
      <c r="H165" s="55"/>
      <c r="I165" s="55"/>
      <c r="J165" s="55"/>
      <c r="K165" s="56"/>
      <c r="L165" s="56"/>
      <c r="M165" s="56"/>
      <c r="N165" s="56"/>
      <c r="O165" s="56"/>
      <c r="P165" s="56"/>
      <c r="Q165" s="57"/>
    </row>
    <row r="166" spans="1:17" ht="12.75" customHeight="1">
      <c r="A166" s="81"/>
      <c r="B166" s="58" t="s">
        <v>96</v>
      </c>
      <c r="C166" s="59" t="s">
        <v>131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1:17" ht="12.75" customHeight="1">
      <c r="A167" s="81"/>
      <c r="B167" s="58" t="s">
        <v>98</v>
      </c>
      <c r="C167" s="65" t="s">
        <v>132</v>
      </c>
      <c r="D167" s="65"/>
      <c r="E167" s="65"/>
      <c r="F167" s="65"/>
      <c r="G167" s="65"/>
      <c r="H167" s="65"/>
      <c r="I167" s="65"/>
      <c r="J167" s="65"/>
      <c r="K167" s="65"/>
      <c r="L167" s="62"/>
      <c r="M167" s="62"/>
      <c r="N167" s="62"/>
      <c r="O167" s="62"/>
      <c r="P167" s="62"/>
      <c r="Q167" s="63"/>
    </row>
    <row r="168" spans="1:17" ht="12.75" customHeight="1">
      <c r="A168" s="81"/>
      <c r="B168" s="58" t="s">
        <v>110</v>
      </c>
      <c r="C168" s="65"/>
      <c r="D168" s="82"/>
      <c r="E168" s="82"/>
      <c r="F168" s="82"/>
      <c r="G168" s="82"/>
      <c r="H168" s="82"/>
      <c r="I168" s="82"/>
      <c r="J168" s="82"/>
      <c r="K168" s="82"/>
      <c r="L168" s="62"/>
      <c r="M168" s="62"/>
      <c r="N168" s="62"/>
      <c r="O168" s="62"/>
      <c r="P168" s="62"/>
      <c r="Q168" s="63"/>
    </row>
    <row r="169" spans="1:17" ht="12.75" customHeight="1">
      <c r="A169" s="81"/>
      <c r="B169" s="64" t="s">
        <v>100</v>
      </c>
      <c r="C169" s="79" t="s">
        <v>133</v>
      </c>
      <c r="D169" s="80"/>
      <c r="E169" s="80"/>
      <c r="F169" s="80"/>
      <c r="G169" s="80"/>
      <c r="H169" s="80"/>
      <c r="I169" s="80"/>
      <c r="J169" s="80"/>
      <c r="K169" s="62"/>
      <c r="L169" s="62"/>
      <c r="M169" s="62"/>
      <c r="N169" s="62"/>
      <c r="O169" s="62"/>
      <c r="P169" s="62"/>
      <c r="Q169" s="63"/>
    </row>
    <row r="170" spans="1:17" ht="12.75" customHeight="1">
      <c r="A170" s="81"/>
      <c r="B170" s="66" t="s">
        <v>102</v>
      </c>
      <c r="C170" s="67"/>
      <c r="D170" s="67"/>
      <c r="E170" s="68">
        <f>E171+E172</f>
        <v>169300</v>
      </c>
      <c r="F170" s="68">
        <f>F171+F172</f>
        <v>169300</v>
      </c>
      <c r="G170" s="68">
        <f>G171+G172</f>
        <v>0</v>
      </c>
      <c r="H170" s="68">
        <f aca="true" t="shared" si="8" ref="H170:Q170">H171</f>
        <v>122463</v>
      </c>
      <c r="I170" s="68">
        <f t="shared" si="8"/>
        <v>122463</v>
      </c>
      <c r="J170" s="68">
        <f t="shared" si="8"/>
        <v>0</v>
      </c>
      <c r="K170" s="68">
        <f t="shared" si="8"/>
        <v>0</v>
      </c>
      <c r="L170" s="68">
        <f t="shared" si="8"/>
        <v>122463</v>
      </c>
      <c r="M170" s="68">
        <f t="shared" si="8"/>
        <v>0</v>
      </c>
      <c r="N170" s="68">
        <f t="shared" si="8"/>
        <v>0</v>
      </c>
      <c r="O170" s="68">
        <f t="shared" si="8"/>
        <v>0</v>
      </c>
      <c r="P170" s="68">
        <f t="shared" si="8"/>
        <v>0</v>
      </c>
      <c r="Q170" s="69">
        <f t="shared" si="8"/>
        <v>0</v>
      </c>
    </row>
    <row r="171" spans="1:17" ht="12.75" customHeight="1">
      <c r="A171" s="81"/>
      <c r="B171" s="54" t="s">
        <v>103</v>
      </c>
      <c r="C171" s="83"/>
      <c r="D171" s="83"/>
      <c r="E171" s="71">
        <f>F171</f>
        <v>122463</v>
      </c>
      <c r="F171" s="71">
        <f>G171+H171</f>
        <v>122463</v>
      </c>
      <c r="G171" s="71">
        <f>M171</f>
        <v>0</v>
      </c>
      <c r="H171" s="72">
        <f>I171+M171</f>
        <v>122463</v>
      </c>
      <c r="I171" s="72">
        <f>L171</f>
        <v>122463</v>
      </c>
      <c r="J171" s="72"/>
      <c r="K171" s="72"/>
      <c r="L171" s="72">
        <v>122463</v>
      </c>
      <c r="M171" s="72">
        <f>SUM(N171:Q171)</f>
        <v>0</v>
      </c>
      <c r="N171" s="72">
        <f>SUM(O171:Q171)</f>
        <v>0</v>
      </c>
      <c r="O171" s="72"/>
      <c r="P171" s="72"/>
      <c r="Q171" s="73">
        <v>0</v>
      </c>
    </row>
    <row r="172" spans="1:17" ht="12.75" customHeight="1">
      <c r="A172" s="81"/>
      <c r="B172" s="58" t="s">
        <v>16</v>
      </c>
      <c r="C172" s="83"/>
      <c r="D172" s="83"/>
      <c r="E172" s="71">
        <f>F172</f>
        <v>46837</v>
      </c>
      <c r="F172" s="74">
        <v>46837</v>
      </c>
      <c r="G172" s="71"/>
      <c r="H172" s="72"/>
      <c r="I172" s="72"/>
      <c r="J172" s="75"/>
      <c r="K172" s="75"/>
      <c r="L172" s="75"/>
      <c r="M172" s="72"/>
      <c r="N172" s="75"/>
      <c r="O172" s="75"/>
      <c r="P172" s="75"/>
      <c r="Q172" s="76"/>
    </row>
    <row r="173" spans="1:17" ht="13.5" customHeight="1">
      <c r="A173" s="81"/>
      <c r="B173" s="77" t="s">
        <v>112</v>
      </c>
      <c r="C173" s="83"/>
      <c r="D173" s="83"/>
      <c r="E173" s="84"/>
      <c r="F173" s="84"/>
      <c r="G173" s="84"/>
      <c r="H173" s="85"/>
      <c r="I173" s="85"/>
      <c r="J173" s="85"/>
      <c r="K173" s="85"/>
      <c r="L173" s="85"/>
      <c r="M173" s="85"/>
      <c r="N173" s="85"/>
      <c r="O173" s="85"/>
      <c r="P173" s="85"/>
      <c r="Q173" s="86"/>
    </row>
    <row r="174" spans="1:17" ht="12.75" customHeight="1">
      <c r="A174" s="81" t="s">
        <v>118</v>
      </c>
      <c r="B174" s="54" t="s">
        <v>94</v>
      </c>
      <c r="C174" s="55" t="s">
        <v>134</v>
      </c>
      <c r="D174" s="55"/>
      <c r="E174" s="55"/>
      <c r="F174" s="55"/>
      <c r="G174" s="55"/>
      <c r="H174" s="55"/>
      <c r="I174" s="55"/>
      <c r="J174" s="55"/>
      <c r="K174" s="56"/>
      <c r="L174" s="56"/>
      <c r="M174" s="56"/>
      <c r="N174" s="56"/>
      <c r="O174" s="56"/>
      <c r="P174" s="56"/>
      <c r="Q174" s="57"/>
    </row>
    <row r="175" spans="1:17" ht="12.75" customHeight="1">
      <c r="A175" s="81"/>
      <c r="B175" s="58" t="s">
        <v>96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17" ht="12.75" customHeight="1">
      <c r="A176" s="81"/>
      <c r="B176" s="58" t="s">
        <v>98</v>
      </c>
      <c r="C176" s="65" t="s">
        <v>135</v>
      </c>
      <c r="D176" s="65"/>
      <c r="E176" s="65"/>
      <c r="F176" s="65"/>
      <c r="G176" s="65"/>
      <c r="H176" s="65"/>
      <c r="I176" s="65"/>
      <c r="J176" s="65"/>
      <c r="K176" s="65"/>
      <c r="L176" s="62"/>
      <c r="M176" s="62"/>
      <c r="N176" s="62"/>
      <c r="O176" s="62"/>
      <c r="P176" s="62"/>
      <c r="Q176" s="63"/>
    </row>
    <row r="177" spans="1:17" ht="12.75" customHeight="1">
      <c r="A177" s="81"/>
      <c r="B177" s="58" t="s">
        <v>110</v>
      </c>
      <c r="C177" s="65"/>
      <c r="D177" s="82"/>
      <c r="E177" s="82"/>
      <c r="F177" s="82"/>
      <c r="G177" s="82"/>
      <c r="H177" s="82"/>
      <c r="I177" s="82"/>
      <c r="J177" s="82"/>
      <c r="K177" s="82"/>
      <c r="L177" s="62"/>
      <c r="M177" s="62"/>
      <c r="N177" s="62"/>
      <c r="O177" s="62"/>
      <c r="P177" s="62"/>
      <c r="Q177" s="63"/>
    </row>
    <row r="178" spans="1:17" ht="12.75" customHeight="1">
      <c r="A178" s="81"/>
      <c r="B178" s="64" t="s">
        <v>100</v>
      </c>
      <c r="C178" s="79" t="s">
        <v>136</v>
      </c>
      <c r="D178" s="80"/>
      <c r="E178" s="80"/>
      <c r="F178" s="80"/>
      <c r="G178" s="80"/>
      <c r="H178" s="80"/>
      <c r="I178" s="80"/>
      <c r="J178" s="80"/>
      <c r="K178" s="62"/>
      <c r="L178" s="62"/>
      <c r="M178" s="62"/>
      <c r="N178" s="62"/>
      <c r="O178" s="62"/>
      <c r="P178" s="62"/>
      <c r="Q178" s="63"/>
    </row>
    <row r="179" spans="1:17" ht="12.75" customHeight="1">
      <c r="A179" s="81"/>
      <c r="B179" s="66" t="s">
        <v>102</v>
      </c>
      <c r="C179" s="67"/>
      <c r="D179" s="67"/>
      <c r="E179" s="68">
        <f>E180+E181</f>
        <v>5645</v>
      </c>
      <c r="F179" s="68">
        <f>F180+F181</f>
        <v>5645</v>
      </c>
      <c r="G179" s="68">
        <f>G180+G181</f>
        <v>0</v>
      </c>
      <c r="H179" s="68">
        <f aca="true" t="shared" si="9" ref="H179:Q179">H180</f>
        <v>4557</v>
      </c>
      <c r="I179" s="68">
        <f t="shared" si="9"/>
        <v>4557</v>
      </c>
      <c r="J179" s="68">
        <f t="shared" si="9"/>
        <v>0</v>
      </c>
      <c r="K179" s="68">
        <f t="shared" si="9"/>
        <v>0</v>
      </c>
      <c r="L179" s="68">
        <f t="shared" si="9"/>
        <v>4557</v>
      </c>
      <c r="M179" s="68">
        <f t="shared" si="9"/>
        <v>0</v>
      </c>
      <c r="N179" s="68">
        <f t="shared" si="9"/>
        <v>0</v>
      </c>
      <c r="O179" s="68">
        <f t="shared" si="9"/>
        <v>0</v>
      </c>
      <c r="P179" s="68">
        <f t="shared" si="9"/>
        <v>0</v>
      </c>
      <c r="Q179" s="69">
        <f t="shared" si="9"/>
        <v>0</v>
      </c>
    </row>
    <row r="180" spans="1:17" ht="12.75" customHeight="1">
      <c r="A180" s="81"/>
      <c r="B180" s="54" t="s">
        <v>103</v>
      </c>
      <c r="C180" s="83"/>
      <c r="D180" s="83"/>
      <c r="E180" s="71">
        <f>F180</f>
        <v>4557</v>
      </c>
      <c r="F180" s="71">
        <f>G180+H180</f>
        <v>4557</v>
      </c>
      <c r="G180" s="71">
        <f>M180</f>
        <v>0</v>
      </c>
      <c r="H180" s="72">
        <f>I180+M180</f>
        <v>4557</v>
      </c>
      <c r="I180" s="72">
        <f>L180</f>
        <v>4557</v>
      </c>
      <c r="J180" s="72"/>
      <c r="K180" s="72"/>
      <c r="L180" s="72">
        <v>4557</v>
      </c>
      <c r="M180" s="72">
        <f>SUM(N180:Q180)</f>
        <v>0</v>
      </c>
      <c r="N180" s="72">
        <f>SUM(O180:Q180)</f>
        <v>0</v>
      </c>
      <c r="O180" s="72"/>
      <c r="P180" s="72"/>
      <c r="Q180" s="73">
        <v>0</v>
      </c>
    </row>
    <row r="181" spans="1:17" ht="12.75" customHeight="1">
      <c r="A181" s="81"/>
      <c r="B181" s="58" t="s">
        <v>16</v>
      </c>
      <c r="C181" s="83"/>
      <c r="D181" s="83"/>
      <c r="E181" s="71">
        <f>F181</f>
        <v>1088</v>
      </c>
      <c r="F181" s="74">
        <v>1088</v>
      </c>
      <c r="G181" s="71"/>
      <c r="H181" s="72"/>
      <c r="I181" s="72"/>
      <c r="J181" s="75"/>
      <c r="K181" s="75"/>
      <c r="L181" s="75"/>
      <c r="M181" s="72"/>
      <c r="N181" s="75"/>
      <c r="O181" s="75"/>
      <c r="P181" s="75"/>
      <c r="Q181" s="76"/>
    </row>
    <row r="182" spans="1:17" ht="13.5" customHeight="1">
      <c r="A182" s="81"/>
      <c r="B182" s="77" t="s">
        <v>112</v>
      </c>
      <c r="C182" s="83"/>
      <c r="D182" s="83"/>
      <c r="E182" s="84"/>
      <c r="F182" s="84"/>
      <c r="G182" s="84"/>
      <c r="H182" s="85"/>
      <c r="I182" s="85"/>
      <c r="J182" s="85"/>
      <c r="K182" s="85"/>
      <c r="L182" s="85"/>
      <c r="M182" s="85"/>
      <c r="N182" s="85"/>
      <c r="O182" s="85"/>
      <c r="P182" s="85"/>
      <c r="Q182" s="86"/>
    </row>
    <row r="183" spans="1:17" ht="12.75" customHeight="1">
      <c r="A183" s="81" t="s">
        <v>119</v>
      </c>
      <c r="B183" s="54" t="s">
        <v>94</v>
      </c>
      <c r="C183" s="55" t="s">
        <v>137</v>
      </c>
      <c r="D183" s="55"/>
      <c r="E183" s="55"/>
      <c r="F183" s="55"/>
      <c r="G183" s="55"/>
      <c r="H183" s="55"/>
      <c r="I183" s="55"/>
      <c r="J183" s="55"/>
      <c r="K183" s="56"/>
      <c r="L183" s="56"/>
      <c r="M183" s="56"/>
      <c r="N183" s="56"/>
      <c r="O183" s="56"/>
      <c r="P183" s="56"/>
      <c r="Q183" s="57"/>
    </row>
    <row r="184" spans="1:17" ht="12.75" customHeight="1">
      <c r="A184" s="81"/>
      <c r="B184" s="58" t="s">
        <v>96</v>
      </c>
      <c r="C184" s="59" t="s">
        <v>138</v>
      </c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1:17" ht="12.75" customHeight="1">
      <c r="A185" s="81"/>
      <c r="B185" s="58" t="s">
        <v>98</v>
      </c>
      <c r="C185" s="65" t="s">
        <v>139</v>
      </c>
      <c r="D185" s="65"/>
      <c r="E185" s="65"/>
      <c r="F185" s="65"/>
      <c r="G185" s="65"/>
      <c r="H185" s="65"/>
      <c r="I185" s="65"/>
      <c r="J185" s="65"/>
      <c r="K185" s="65"/>
      <c r="L185" s="62"/>
      <c r="M185" s="62"/>
      <c r="N185" s="62"/>
      <c r="O185" s="62"/>
      <c r="P185" s="62"/>
      <c r="Q185" s="63"/>
    </row>
    <row r="186" spans="1:17" ht="12.75" customHeight="1">
      <c r="A186" s="81"/>
      <c r="B186" s="58" t="s">
        <v>110</v>
      </c>
      <c r="C186" s="65"/>
      <c r="D186" s="82"/>
      <c r="E186" s="82"/>
      <c r="F186" s="82"/>
      <c r="G186" s="82"/>
      <c r="H186" s="82"/>
      <c r="I186" s="82"/>
      <c r="J186" s="82"/>
      <c r="K186" s="82"/>
      <c r="L186" s="62"/>
      <c r="M186" s="62"/>
      <c r="N186" s="62"/>
      <c r="O186" s="62"/>
      <c r="P186" s="62"/>
      <c r="Q186" s="63"/>
    </row>
    <row r="187" spans="1:17" ht="12.75" customHeight="1">
      <c r="A187" s="81"/>
      <c r="B187" s="64" t="s">
        <v>100</v>
      </c>
      <c r="C187" s="79" t="s">
        <v>140</v>
      </c>
      <c r="D187" s="80"/>
      <c r="E187" s="80"/>
      <c r="F187" s="80"/>
      <c r="G187" s="80"/>
      <c r="H187" s="80"/>
      <c r="I187" s="80"/>
      <c r="J187" s="80"/>
      <c r="K187" s="62"/>
      <c r="L187" s="62"/>
      <c r="M187" s="62"/>
      <c r="N187" s="62"/>
      <c r="O187" s="62"/>
      <c r="P187" s="62"/>
      <c r="Q187" s="63"/>
    </row>
    <row r="188" spans="1:17" ht="12.75" customHeight="1">
      <c r="A188" s="81"/>
      <c r="B188" s="66" t="s">
        <v>102</v>
      </c>
      <c r="C188" s="67"/>
      <c r="D188" s="67"/>
      <c r="E188" s="68">
        <f>E189+E190</f>
        <v>44216</v>
      </c>
      <c r="F188" s="68">
        <f>F189+F190</f>
        <v>6632</v>
      </c>
      <c r="G188" s="68">
        <f>G189+G190</f>
        <v>37584</v>
      </c>
      <c r="H188" s="68">
        <f aca="true" t="shared" si="10" ref="H188:Q188">H189</f>
        <v>44216</v>
      </c>
      <c r="I188" s="68">
        <f t="shared" si="10"/>
        <v>6632</v>
      </c>
      <c r="J188" s="68">
        <f t="shared" si="10"/>
        <v>0</v>
      </c>
      <c r="K188" s="68">
        <f t="shared" si="10"/>
        <v>0</v>
      </c>
      <c r="L188" s="68">
        <f t="shared" si="10"/>
        <v>6632</v>
      </c>
      <c r="M188" s="68">
        <f t="shared" si="10"/>
        <v>37584</v>
      </c>
      <c r="N188" s="68">
        <f t="shared" si="10"/>
        <v>0</v>
      </c>
      <c r="O188" s="68">
        <f t="shared" si="10"/>
        <v>0</v>
      </c>
      <c r="P188" s="68">
        <f t="shared" si="10"/>
        <v>0</v>
      </c>
      <c r="Q188" s="69">
        <f t="shared" si="10"/>
        <v>37584</v>
      </c>
    </row>
    <row r="189" spans="1:17" ht="12.75" customHeight="1">
      <c r="A189" s="81"/>
      <c r="B189" s="54" t="s">
        <v>103</v>
      </c>
      <c r="C189" s="83"/>
      <c r="D189" s="83"/>
      <c r="E189" s="71">
        <f>F189+G189</f>
        <v>44216</v>
      </c>
      <c r="F189" s="71">
        <f>I189</f>
        <v>6632</v>
      </c>
      <c r="G189" s="71">
        <f>M189</f>
        <v>37584</v>
      </c>
      <c r="H189" s="72">
        <f>I189+M189</f>
        <v>44216</v>
      </c>
      <c r="I189" s="72">
        <f>SUM(J189:L189)</f>
        <v>6632</v>
      </c>
      <c r="J189" s="72"/>
      <c r="K189" s="72"/>
      <c r="L189" s="72">
        <v>6632</v>
      </c>
      <c r="M189" s="72">
        <f>SUM(N189:Q189)</f>
        <v>37584</v>
      </c>
      <c r="N189" s="72"/>
      <c r="O189" s="72"/>
      <c r="P189" s="72"/>
      <c r="Q189" s="73">
        <v>37584</v>
      </c>
    </row>
    <row r="190" spans="1:17" ht="12.75" customHeight="1">
      <c r="A190" s="81"/>
      <c r="B190" s="58" t="s">
        <v>16</v>
      </c>
      <c r="C190" s="83"/>
      <c r="D190" s="83"/>
      <c r="E190" s="71">
        <f>F190</f>
        <v>0</v>
      </c>
      <c r="F190" s="74"/>
      <c r="G190" s="71"/>
      <c r="H190" s="72"/>
      <c r="I190" s="72"/>
      <c r="J190" s="75"/>
      <c r="K190" s="75"/>
      <c r="L190" s="75"/>
      <c r="M190" s="72"/>
      <c r="N190" s="75"/>
      <c r="O190" s="75"/>
      <c r="P190" s="75"/>
      <c r="Q190" s="76"/>
    </row>
    <row r="191" spans="1:17" ht="13.5" customHeight="1">
      <c r="A191" s="81"/>
      <c r="B191" s="77" t="s">
        <v>112</v>
      </c>
      <c r="C191" s="83"/>
      <c r="D191" s="83"/>
      <c r="E191" s="84"/>
      <c r="F191" s="84"/>
      <c r="G191" s="84"/>
      <c r="H191" s="85"/>
      <c r="I191" s="85"/>
      <c r="J191" s="85"/>
      <c r="K191" s="85"/>
      <c r="L191" s="85"/>
      <c r="M191" s="85"/>
      <c r="N191" s="85"/>
      <c r="O191" s="85"/>
      <c r="P191" s="85"/>
      <c r="Q191" s="86"/>
    </row>
    <row r="192" spans="1:17" ht="12.75" customHeight="1">
      <c r="A192" s="81" t="s">
        <v>120</v>
      </c>
      <c r="B192" s="54" t="s">
        <v>94</v>
      </c>
      <c r="C192" s="55" t="s">
        <v>141</v>
      </c>
      <c r="D192" s="55"/>
      <c r="E192" s="55"/>
      <c r="F192" s="55"/>
      <c r="G192" s="55"/>
      <c r="H192" s="55"/>
      <c r="I192" s="55"/>
      <c r="J192" s="55"/>
      <c r="K192" s="56"/>
      <c r="L192" s="56"/>
      <c r="M192" s="56"/>
      <c r="N192" s="56"/>
      <c r="O192" s="56"/>
      <c r="P192" s="56"/>
      <c r="Q192" s="57"/>
    </row>
    <row r="193" spans="1:17" ht="12.75" customHeight="1">
      <c r="A193" s="81"/>
      <c r="B193" s="58" t="s">
        <v>96</v>
      </c>
      <c r="C193" s="59" t="s">
        <v>138</v>
      </c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spans="1:17" ht="12.75" customHeight="1">
      <c r="A194" s="81"/>
      <c r="B194" s="58" t="s">
        <v>98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2"/>
      <c r="M194" s="62"/>
      <c r="N194" s="62"/>
      <c r="O194" s="62"/>
      <c r="P194" s="62"/>
      <c r="Q194" s="63"/>
    </row>
    <row r="195" spans="1:17" ht="12.75" customHeight="1">
      <c r="A195" s="81"/>
      <c r="B195" s="58" t="s">
        <v>110</v>
      </c>
      <c r="C195" s="65" t="s">
        <v>142</v>
      </c>
      <c r="D195" s="82"/>
      <c r="E195" s="82"/>
      <c r="F195" s="82"/>
      <c r="G195" s="82"/>
      <c r="H195" s="82"/>
      <c r="I195" s="82"/>
      <c r="J195" s="82"/>
      <c r="K195" s="82"/>
      <c r="L195" s="62"/>
      <c r="M195" s="62"/>
      <c r="N195" s="62"/>
      <c r="O195" s="62"/>
      <c r="P195" s="62"/>
      <c r="Q195" s="63"/>
    </row>
    <row r="196" spans="1:17" ht="12.75" customHeight="1">
      <c r="A196" s="81"/>
      <c r="B196" s="64" t="s">
        <v>100</v>
      </c>
      <c r="C196" s="79" t="s">
        <v>143</v>
      </c>
      <c r="D196" s="80"/>
      <c r="E196" s="80"/>
      <c r="F196" s="80"/>
      <c r="G196" s="80"/>
      <c r="H196" s="80"/>
      <c r="I196" s="80"/>
      <c r="J196" s="80"/>
      <c r="K196" s="62"/>
      <c r="L196" s="62"/>
      <c r="M196" s="62"/>
      <c r="N196" s="62"/>
      <c r="O196" s="62"/>
      <c r="P196" s="62"/>
      <c r="Q196" s="63"/>
    </row>
    <row r="197" spans="1:17" ht="12.75" customHeight="1">
      <c r="A197" s="81"/>
      <c r="B197" s="66" t="s">
        <v>102</v>
      </c>
      <c r="C197" s="67"/>
      <c r="D197" s="67"/>
      <c r="E197" s="68">
        <f>E198+E199</f>
        <v>227342</v>
      </c>
      <c r="F197" s="68">
        <f>F198+F199</f>
        <v>34101</v>
      </c>
      <c r="G197" s="68">
        <f>G198+G199</f>
        <v>193241</v>
      </c>
      <c r="H197" s="68">
        <f aca="true" t="shared" si="11" ref="H197:Q197">H198</f>
        <v>227342</v>
      </c>
      <c r="I197" s="68">
        <f t="shared" si="11"/>
        <v>34101</v>
      </c>
      <c r="J197" s="68">
        <f t="shared" si="11"/>
        <v>0</v>
      </c>
      <c r="K197" s="68">
        <f t="shared" si="11"/>
        <v>0</v>
      </c>
      <c r="L197" s="68">
        <f t="shared" si="11"/>
        <v>34101</v>
      </c>
      <c r="M197" s="68">
        <f t="shared" si="11"/>
        <v>193241</v>
      </c>
      <c r="N197" s="68">
        <f t="shared" si="11"/>
        <v>0</v>
      </c>
      <c r="O197" s="68">
        <f t="shared" si="11"/>
        <v>0</v>
      </c>
      <c r="P197" s="68">
        <f t="shared" si="11"/>
        <v>0</v>
      </c>
      <c r="Q197" s="69">
        <f t="shared" si="11"/>
        <v>193241</v>
      </c>
    </row>
    <row r="198" spans="1:17" ht="12.75" customHeight="1">
      <c r="A198" s="81"/>
      <c r="B198" s="54" t="s">
        <v>103</v>
      </c>
      <c r="C198" s="83"/>
      <c r="D198" s="83"/>
      <c r="E198" s="71">
        <f>F198+G198</f>
        <v>227342</v>
      </c>
      <c r="F198" s="71">
        <f>I198</f>
        <v>34101</v>
      </c>
      <c r="G198" s="71">
        <f>M198</f>
        <v>193241</v>
      </c>
      <c r="H198" s="72">
        <f>I198+M198</f>
        <v>227342</v>
      </c>
      <c r="I198" s="72">
        <f>SUM(J198:L198)</f>
        <v>34101</v>
      </c>
      <c r="J198" s="72"/>
      <c r="K198" s="72"/>
      <c r="L198" s="72">
        <v>34101</v>
      </c>
      <c r="M198" s="72">
        <f>SUM(N198:Q198)</f>
        <v>193241</v>
      </c>
      <c r="N198" s="72"/>
      <c r="O198" s="72"/>
      <c r="P198" s="72"/>
      <c r="Q198" s="73">
        <v>193241</v>
      </c>
    </row>
    <row r="199" spans="1:17" ht="12.75" customHeight="1">
      <c r="A199" s="81"/>
      <c r="B199" s="58" t="s">
        <v>16</v>
      </c>
      <c r="C199" s="83"/>
      <c r="D199" s="83"/>
      <c r="E199" s="71">
        <f>F199</f>
        <v>0</v>
      </c>
      <c r="F199" s="74"/>
      <c r="G199" s="71"/>
      <c r="H199" s="72"/>
      <c r="I199" s="72"/>
      <c r="J199" s="75"/>
      <c r="K199" s="75"/>
      <c r="L199" s="75"/>
      <c r="M199" s="72"/>
      <c r="N199" s="75"/>
      <c r="O199" s="75"/>
      <c r="P199" s="75"/>
      <c r="Q199" s="76"/>
    </row>
    <row r="200" spans="1:17" ht="13.5" customHeight="1">
      <c r="A200" s="81"/>
      <c r="B200" s="77" t="s">
        <v>112</v>
      </c>
      <c r="C200" s="83"/>
      <c r="D200" s="83"/>
      <c r="E200" s="84"/>
      <c r="F200" s="84"/>
      <c r="G200" s="84"/>
      <c r="H200" s="85"/>
      <c r="I200" s="85"/>
      <c r="J200" s="85"/>
      <c r="K200" s="85"/>
      <c r="L200" s="85"/>
      <c r="M200" s="85"/>
      <c r="N200" s="85"/>
      <c r="O200" s="85"/>
      <c r="P200" s="85"/>
      <c r="Q200" s="86"/>
    </row>
    <row r="201" spans="1:17" ht="12.75" customHeight="1">
      <c r="A201" s="81" t="s">
        <v>120</v>
      </c>
      <c r="B201" s="54" t="s">
        <v>94</v>
      </c>
      <c r="C201" s="55" t="s">
        <v>144</v>
      </c>
      <c r="D201" s="55"/>
      <c r="E201" s="55"/>
      <c r="F201" s="55"/>
      <c r="G201" s="55"/>
      <c r="H201" s="55"/>
      <c r="I201" s="55"/>
      <c r="J201" s="55"/>
      <c r="K201" s="56"/>
      <c r="L201" s="56"/>
      <c r="M201" s="56"/>
      <c r="N201" s="56"/>
      <c r="O201" s="56"/>
      <c r="P201" s="56"/>
      <c r="Q201" s="57"/>
    </row>
    <row r="202" spans="1:17" ht="12.75" customHeight="1">
      <c r="A202" s="81"/>
      <c r="B202" s="58" t="s">
        <v>96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ht="12.75" customHeight="1">
      <c r="A203" s="81"/>
      <c r="B203" s="58" t="s">
        <v>98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2"/>
      <c r="M203" s="62"/>
      <c r="N203" s="62"/>
      <c r="O203" s="62"/>
      <c r="P203" s="62"/>
      <c r="Q203" s="63"/>
    </row>
    <row r="204" spans="1:17" ht="12.75" customHeight="1">
      <c r="A204" s="81"/>
      <c r="B204" s="58" t="s">
        <v>110</v>
      </c>
      <c r="C204" s="65"/>
      <c r="D204" s="82"/>
      <c r="E204" s="82"/>
      <c r="F204" s="82"/>
      <c r="G204" s="82"/>
      <c r="H204" s="82"/>
      <c r="I204" s="82"/>
      <c r="J204" s="82"/>
      <c r="K204" s="82"/>
      <c r="L204" s="62"/>
      <c r="M204" s="62"/>
      <c r="N204" s="62"/>
      <c r="O204" s="62"/>
      <c r="P204" s="62"/>
      <c r="Q204" s="63"/>
    </row>
    <row r="205" spans="1:17" ht="12.75" customHeight="1">
      <c r="A205" s="81"/>
      <c r="B205" s="64" t="s">
        <v>100</v>
      </c>
      <c r="C205" s="79" t="s">
        <v>145</v>
      </c>
      <c r="D205" s="80"/>
      <c r="E205" s="80"/>
      <c r="F205" s="80"/>
      <c r="G205" s="80"/>
      <c r="H205" s="80"/>
      <c r="I205" s="80"/>
      <c r="J205" s="80"/>
      <c r="K205" s="62"/>
      <c r="L205" s="62"/>
      <c r="M205" s="62"/>
      <c r="N205" s="62"/>
      <c r="O205" s="62"/>
      <c r="P205" s="62"/>
      <c r="Q205" s="63"/>
    </row>
    <row r="206" spans="1:17" ht="12.75" customHeight="1">
      <c r="A206" s="81"/>
      <c r="B206" s="66" t="s">
        <v>102</v>
      </c>
      <c r="C206" s="67"/>
      <c r="D206" s="67"/>
      <c r="E206" s="68">
        <f>E207+E208</f>
        <v>8808</v>
      </c>
      <c r="F206" s="68">
        <f>F207+F208</f>
        <v>0</v>
      </c>
      <c r="G206" s="68">
        <f>G207+G208</f>
        <v>8808</v>
      </c>
      <c r="H206" s="68">
        <f aca="true" t="shared" si="12" ref="H206:Q206">H207</f>
        <v>8808</v>
      </c>
      <c r="I206" s="68">
        <f t="shared" si="12"/>
        <v>0</v>
      </c>
      <c r="J206" s="68">
        <f t="shared" si="12"/>
        <v>0</v>
      </c>
      <c r="K206" s="68">
        <f t="shared" si="12"/>
        <v>0</v>
      </c>
      <c r="L206" s="68">
        <f t="shared" si="12"/>
        <v>0</v>
      </c>
      <c r="M206" s="68">
        <f t="shared" si="12"/>
        <v>8808</v>
      </c>
      <c r="N206" s="68">
        <f t="shared" si="12"/>
        <v>0</v>
      </c>
      <c r="O206" s="68">
        <f t="shared" si="12"/>
        <v>0</v>
      </c>
      <c r="P206" s="68">
        <f t="shared" si="12"/>
        <v>0</v>
      </c>
      <c r="Q206" s="69">
        <f t="shared" si="12"/>
        <v>8808</v>
      </c>
    </row>
    <row r="207" spans="1:17" ht="12.75" customHeight="1">
      <c r="A207" s="81"/>
      <c r="B207" s="54" t="s">
        <v>103</v>
      </c>
      <c r="C207" s="83"/>
      <c r="D207" s="83"/>
      <c r="E207" s="71">
        <f>F207+G207</f>
        <v>8808</v>
      </c>
      <c r="F207" s="71">
        <f>I207</f>
        <v>0</v>
      </c>
      <c r="G207" s="71">
        <f>M207</f>
        <v>8808</v>
      </c>
      <c r="H207" s="72">
        <f>I207+M207</f>
        <v>8808</v>
      </c>
      <c r="I207" s="72">
        <f>SUM(J207:L207)</f>
        <v>0</v>
      </c>
      <c r="J207" s="72"/>
      <c r="K207" s="72"/>
      <c r="L207" s="72">
        <v>0</v>
      </c>
      <c r="M207" s="72">
        <f>SUM(N207:Q207)</f>
        <v>8808</v>
      </c>
      <c r="N207" s="72"/>
      <c r="O207" s="72"/>
      <c r="P207" s="72"/>
      <c r="Q207" s="73">
        <f>6806+2002</f>
        <v>8808</v>
      </c>
    </row>
    <row r="208" spans="1:17" ht="12.75" customHeight="1">
      <c r="A208" s="81"/>
      <c r="B208" s="58" t="s">
        <v>16</v>
      </c>
      <c r="C208" s="83"/>
      <c r="D208" s="83"/>
      <c r="E208" s="71">
        <f>F208</f>
        <v>0</v>
      </c>
      <c r="F208" s="74"/>
      <c r="G208" s="71"/>
      <c r="H208" s="72"/>
      <c r="I208" s="72"/>
      <c r="J208" s="75"/>
      <c r="K208" s="75"/>
      <c r="L208" s="75"/>
      <c r="M208" s="72"/>
      <c r="N208" s="75"/>
      <c r="O208" s="75"/>
      <c r="P208" s="75"/>
      <c r="Q208" s="76"/>
    </row>
    <row r="209" spans="1:17" ht="13.5" customHeight="1">
      <c r="A209" s="81"/>
      <c r="B209" s="77" t="s">
        <v>112</v>
      </c>
      <c r="C209" s="83"/>
      <c r="D209" s="83"/>
      <c r="E209" s="84"/>
      <c r="F209" s="84"/>
      <c r="G209" s="84"/>
      <c r="H209" s="85"/>
      <c r="I209" s="85"/>
      <c r="J209" s="85"/>
      <c r="K209" s="85"/>
      <c r="L209" s="85"/>
      <c r="M209" s="85"/>
      <c r="N209" s="85"/>
      <c r="O209" s="85"/>
      <c r="P209" s="85"/>
      <c r="Q209" s="86"/>
    </row>
    <row r="210" spans="1:17" ht="12.75" customHeight="1">
      <c r="A210" s="81" t="s">
        <v>121</v>
      </c>
      <c r="B210" s="54" t="s">
        <v>94</v>
      </c>
      <c r="C210" s="55" t="s">
        <v>146</v>
      </c>
      <c r="D210" s="55"/>
      <c r="E210" s="55"/>
      <c r="F210" s="55"/>
      <c r="G210" s="55"/>
      <c r="H210" s="55"/>
      <c r="I210" s="55"/>
      <c r="J210" s="55"/>
      <c r="K210" s="56"/>
      <c r="L210" s="56"/>
      <c r="M210" s="56"/>
      <c r="N210" s="56"/>
      <c r="O210" s="56"/>
      <c r="P210" s="56"/>
      <c r="Q210" s="57"/>
    </row>
    <row r="211" spans="1:17" ht="12.75" customHeight="1">
      <c r="A211" s="81"/>
      <c r="B211" s="58" t="s">
        <v>96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ht="12.75" customHeight="1">
      <c r="A212" s="81"/>
      <c r="B212" s="58" t="s">
        <v>98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2"/>
      <c r="M212" s="62"/>
      <c r="N212" s="62"/>
      <c r="O212" s="62"/>
      <c r="P212" s="62"/>
      <c r="Q212" s="63"/>
    </row>
    <row r="213" spans="1:17" ht="12.75" customHeight="1">
      <c r="A213" s="81"/>
      <c r="B213" s="58" t="s">
        <v>110</v>
      </c>
      <c r="C213" s="65"/>
      <c r="D213" s="82"/>
      <c r="E213" s="82"/>
      <c r="F213" s="82"/>
      <c r="G213" s="82"/>
      <c r="H213" s="82"/>
      <c r="I213" s="82"/>
      <c r="J213" s="82"/>
      <c r="K213" s="82"/>
      <c r="L213" s="62"/>
      <c r="M213" s="62"/>
      <c r="N213" s="62"/>
      <c r="O213" s="62"/>
      <c r="P213" s="62"/>
      <c r="Q213" s="63"/>
    </row>
    <row r="214" spans="1:17" ht="12.75" customHeight="1">
      <c r="A214" s="81"/>
      <c r="B214" s="64" t="s">
        <v>100</v>
      </c>
      <c r="C214" s="79" t="s">
        <v>147</v>
      </c>
      <c r="D214" s="80"/>
      <c r="E214" s="80"/>
      <c r="F214" s="80"/>
      <c r="G214" s="80"/>
      <c r="H214" s="80"/>
      <c r="I214" s="80"/>
      <c r="J214" s="80"/>
      <c r="K214" s="62"/>
      <c r="L214" s="62"/>
      <c r="M214" s="62"/>
      <c r="N214" s="62"/>
      <c r="O214" s="62"/>
      <c r="P214" s="62"/>
      <c r="Q214" s="63"/>
    </row>
    <row r="215" spans="1:17" ht="12.75" customHeight="1">
      <c r="A215" s="81"/>
      <c r="B215" s="66" t="s">
        <v>102</v>
      </c>
      <c r="C215" s="67"/>
      <c r="D215" s="67"/>
      <c r="E215" s="68">
        <f>E216+E217</f>
        <v>38885</v>
      </c>
      <c r="F215" s="68">
        <f>F216+F217</f>
        <v>0</v>
      </c>
      <c r="G215" s="68">
        <f>G216+G217</f>
        <v>38885</v>
      </c>
      <c r="H215" s="68">
        <f aca="true" t="shared" si="13" ref="H215:Q215">H216</f>
        <v>38885</v>
      </c>
      <c r="I215" s="68">
        <f t="shared" si="13"/>
        <v>0</v>
      </c>
      <c r="J215" s="68">
        <f t="shared" si="13"/>
        <v>0</v>
      </c>
      <c r="K215" s="68">
        <f t="shared" si="13"/>
        <v>0</v>
      </c>
      <c r="L215" s="68">
        <f t="shared" si="13"/>
        <v>0</v>
      </c>
      <c r="M215" s="68">
        <f t="shared" si="13"/>
        <v>38885</v>
      </c>
      <c r="N215" s="68">
        <f t="shared" si="13"/>
        <v>0</v>
      </c>
      <c r="O215" s="68">
        <f t="shared" si="13"/>
        <v>0</v>
      </c>
      <c r="P215" s="68">
        <f t="shared" si="13"/>
        <v>0</v>
      </c>
      <c r="Q215" s="69">
        <f t="shared" si="13"/>
        <v>38885</v>
      </c>
    </row>
    <row r="216" spans="1:17" ht="12.75" customHeight="1">
      <c r="A216" s="81"/>
      <c r="B216" s="54" t="s">
        <v>103</v>
      </c>
      <c r="C216" s="83"/>
      <c r="D216" s="83"/>
      <c r="E216" s="71">
        <f>F216+G216</f>
        <v>38885</v>
      </c>
      <c r="F216" s="71">
        <f>I216</f>
        <v>0</v>
      </c>
      <c r="G216" s="71">
        <f>M216</f>
        <v>38885</v>
      </c>
      <c r="H216" s="72">
        <f>I216+M216</f>
        <v>38885</v>
      </c>
      <c r="I216" s="72">
        <f>SUM(J216:L216)</f>
        <v>0</v>
      </c>
      <c r="J216" s="72"/>
      <c r="K216" s="72"/>
      <c r="L216" s="72">
        <v>0</v>
      </c>
      <c r="M216" s="72">
        <f>SUM(N216:Q216)</f>
        <v>38885</v>
      </c>
      <c r="N216" s="72"/>
      <c r="O216" s="72"/>
      <c r="P216" s="72"/>
      <c r="Q216" s="73">
        <v>38885</v>
      </c>
    </row>
    <row r="217" spans="1:17" ht="12.75" customHeight="1">
      <c r="A217" s="81"/>
      <c r="B217" s="58" t="s">
        <v>16</v>
      </c>
      <c r="C217" s="83"/>
      <c r="D217" s="83"/>
      <c r="E217" s="71">
        <f>F217</f>
        <v>0</v>
      </c>
      <c r="F217" s="74"/>
      <c r="G217" s="71"/>
      <c r="H217" s="72"/>
      <c r="I217" s="72"/>
      <c r="J217" s="75"/>
      <c r="K217" s="75"/>
      <c r="L217" s="75"/>
      <c r="M217" s="72"/>
      <c r="N217" s="75"/>
      <c r="O217" s="75"/>
      <c r="P217" s="75"/>
      <c r="Q217" s="76"/>
    </row>
    <row r="218" spans="1:17" ht="13.5" customHeight="1">
      <c r="A218" s="81"/>
      <c r="B218" s="77" t="s">
        <v>112</v>
      </c>
      <c r="C218" s="83"/>
      <c r="D218" s="83"/>
      <c r="E218" s="84"/>
      <c r="F218" s="84"/>
      <c r="G218" s="84"/>
      <c r="H218" s="85"/>
      <c r="I218" s="85"/>
      <c r="J218" s="85"/>
      <c r="K218" s="85"/>
      <c r="L218" s="85"/>
      <c r="M218" s="85"/>
      <c r="N218" s="85"/>
      <c r="O218" s="85"/>
      <c r="P218" s="85"/>
      <c r="Q218" s="86"/>
    </row>
    <row r="219" spans="1:17" ht="12.75" customHeight="1">
      <c r="A219" s="81" t="s">
        <v>122</v>
      </c>
      <c r="B219" s="54" t="s">
        <v>94</v>
      </c>
      <c r="C219" s="55" t="s">
        <v>148</v>
      </c>
      <c r="D219" s="55"/>
      <c r="E219" s="55"/>
      <c r="F219" s="55"/>
      <c r="G219" s="55"/>
      <c r="H219" s="55"/>
      <c r="I219" s="55"/>
      <c r="J219" s="55"/>
      <c r="K219" s="56"/>
      <c r="L219" s="56"/>
      <c r="M219" s="56"/>
      <c r="N219" s="56"/>
      <c r="O219" s="56"/>
      <c r="P219" s="56"/>
      <c r="Q219" s="57"/>
    </row>
    <row r="220" spans="1:17" ht="12.75" customHeight="1">
      <c r="A220" s="81"/>
      <c r="B220" s="58" t="s">
        <v>96</v>
      </c>
      <c r="C220" s="59" t="s">
        <v>149</v>
      </c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ht="12.75" customHeight="1">
      <c r="A221" s="81"/>
      <c r="B221" s="58" t="s">
        <v>98</v>
      </c>
      <c r="C221" s="65" t="s">
        <v>150</v>
      </c>
      <c r="D221" s="65"/>
      <c r="E221" s="65"/>
      <c r="F221" s="65"/>
      <c r="G221" s="65"/>
      <c r="H221" s="65"/>
      <c r="I221" s="65"/>
      <c r="J221" s="65"/>
      <c r="K221" s="65"/>
      <c r="L221" s="62"/>
      <c r="M221" s="62"/>
      <c r="N221" s="62"/>
      <c r="O221" s="62"/>
      <c r="P221" s="62"/>
      <c r="Q221" s="63"/>
    </row>
    <row r="222" spans="1:17" ht="12.75" customHeight="1">
      <c r="A222" s="81"/>
      <c r="B222" s="58" t="s">
        <v>110</v>
      </c>
      <c r="C222" s="65"/>
      <c r="D222" s="82"/>
      <c r="E222" s="82"/>
      <c r="F222" s="82"/>
      <c r="G222" s="82"/>
      <c r="H222" s="82"/>
      <c r="I222" s="82"/>
      <c r="J222" s="82"/>
      <c r="K222" s="82"/>
      <c r="L222" s="62"/>
      <c r="M222" s="62"/>
      <c r="N222" s="62"/>
      <c r="O222" s="62"/>
      <c r="P222" s="62"/>
      <c r="Q222" s="63"/>
    </row>
    <row r="223" spans="1:17" ht="12.75" customHeight="1">
      <c r="A223" s="81"/>
      <c r="B223" s="64" t="s">
        <v>100</v>
      </c>
      <c r="C223" s="79" t="s">
        <v>151</v>
      </c>
      <c r="D223" s="80"/>
      <c r="E223" s="80"/>
      <c r="F223" s="80"/>
      <c r="G223" s="80"/>
      <c r="H223" s="80"/>
      <c r="I223" s="80"/>
      <c r="J223" s="80"/>
      <c r="K223" s="62"/>
      <c r="L223" s="62"/>
      <c r="M223" s="62"/>
      <c r="N223" s="62"/>
      <c r="O223" s="62"/>
      <c r="P223" s="62"/>
      <c r="Q223" s="63"/>
    </row>
    <row r="224" spans="1:17" ht="12.75" customHeight="1">
      <c r="A224" s="81"/>
      <c r="B224" s="66" t="s">
        <v>102</v>
      </c>
      <c r="C224" s="67"/>
      <c r="D224" s="67"/>
      <c r="E224" s="68">
        <f>E225+E226</f>
        <v>1655763</v>
      </c>
      <c r="F224" s="68">
        <f>F225+F226</f>
        <v>311799</v>
      </c>
      <c r="G224" s="68">
        <f>G225+G226</f>
        <v>1343964</v>
      </c>
      <c r="H224" s="68">
        <f aca="true" t="shared" si="14" ref="H224:Q224">H225</f>
        <v>912561</v>
      </c>
      <c r="I224" s="68">
        <f t="shared" si="14"/>
        <v>171365</v>
      </c>
      <c r="J224" s="68">
        <f t="shared" si="14"/>
        <v>0</v>
      </c>
      <c r="K224" s="68">
        <f t="shared" si="14"/>
        <v>0</v>
      </c>
      <c r="L224" s="68">
        <f t="shared" si="14"/>
        <v>171365</v>
      </c>
      <c r="M224" s="68">
        <f t="shared" si="14"/>
        <v>741196</v>
      </c>
      <c r="N224" s="68">
        <f t="shared" si="14"/>
        <v>0</v>
      </c>
      <c r="O224" s="68">
        <f t="shared" si="14"/>
        <v>0</v>
      </c>
      <c r="P224" s="68">
        <f t="shared" si="14"/>
        <v>0</v>
      </c>
      <c r="Q224" s="69">
        <f t="shared" si="14"/>
        <v>741196</v>
      </c>
    </row>
    <row r="225" spans="1:17" ht="12.75" customHeight="1">
      <c r="A225" s="81"/>
      <c r="B225" s="54" t="s">
        <v>103</v>
      </c>
      <c r="C225" s="83"/>
      <c r="D225" s="83"/>
      <c r="E225" s="71">
        <f>F225+G225</f>
        <v>912561</v>
      </c>
      <c r="F225" s="71">
        <f>I225</f>
        <v>171365</v>
      </c>
      <c r="G225" s="71">
        <f>M225</f>
        <v>741196</v>
      </c>
      <c r="H225" s="72">
        <f>I225+M225</f>
        <v>912561</v>
      </c>
      <c r="I225" s="72">
        <f>SUM(J225:L225)</f>
        <v>171365</v>
      </c>
      <c r="J225" s="72"/>
      <c r="K225" s="72"/>
      <c r="L225" s="72">
        <v>171365</v>
      </c>
      <c r="M225" s="72">
        <f>SUM(N225:Q225)</f>
        <v>741196</v>
      </c>
      <c r="N225" s="72"/>
      <c r="O225" s="72"/>
      <c r="P225" s="72"/>
      <c r="Q225" s="73">
        <v>741196</v>
      </c>
    </row>
    <row r="226" spans="1:17" ht="12.75" customHeight="1">
      <c r="A226" s="81"/>
      <c r="B226" s="58" t="s">
        <v>16</v>
      </c>
      <c r="C226" s="83"/>
      <c r="D226" s="83"/>
      <c r="E226" s="71">
        <f>F226+G226</f>
        <v>743202</v>
      </c>
      <c r="F226" s="74">
        <v>140434</v>
      </c>
      <c r="G226" s="71">
        <v>602768</v>
      </c>
      <c r="H226" s="72"/>
      <c r="I226" s="72"/>
      <c r="J226" s="75"/>
      <c r="K226" s="75"/>
      <c r="L226" s="75"/>
      <c r="M226" s="72"/>
      <c r="N226" s="75"/>
      <c r="O226" s="75"/>
      <c r="P226" s="75"/>
      <c r="Q226" s="76"/>
    </row>
    <row r="227" spans="1:17" ht="13.5" customHeight="1">
      <c r="A227" s="81"/>
      <c r="B227" s="77" t="s">
        <v>112</v>
      </c>
      <c r="C227" s="83"/>
      <c r="D227" s="83"/>
      <c r="E227" s="84"/>
      <c r="F227" s="84"/>
      <c r="G227" s="84"/>
      <c r="H227" s="85"/>
      <c r="I227" s="85"/>
      <c r="J227" s="85"/>
      <c r="K227" s="85"/>
      <c r="L227" s="85"/>
      <c r="M227" s="85"/>
      <c r="N227" s="85"/>
      <c r="O227" s="85"/>
      <c r="P227" s="85"/>
      <c r="Q227" s="86"/>
    </row>
    <row r="228" spans="1:17" ht="12.75" customHeight="1">
      <c r="A228" s="81" t="s">
        <v>123</v>
      </c>
      <c r="B228" s="54" t="s">
        <v>94</v>
      </c>
      <c r="C228" s="55"/>
      <c r="D228" s="55"/>
      <c r="E228" s="55"/>
      <c r="F228" s="55"/>
      <c r="G228" s="55"/>
      <c r="H228" s="55"/>
      <c r="I228" s="55"/>
      <c r="J228" s="55"/>
      <c r="K228" s="56"/>
      <c r="L228" s="56"/>
      <c r="M228" s="56"/>
      <c r="N228" s="56"/>
      <c r="O228" s="56"/>
      <c r="P228" s="56"/>
      <c r="Q228" s="57"/>
    </row>
    <row r="229" spans="1:17" ht="12.75" customHeight="1">
      <c r="A229" s="81"/>
      <c r="B229" s="58" t="s">
        <v>96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1:17" ht="12.75" customHeight="1">
      <c r="A230" s="81"/>
      <c r="B230" s="58" t="s">
        <v>98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2"/>
      <c r="M230" s="62"/>
      <c r="N230" s="62"/>
      <c r="O230" s="62"/>
      <c r="P230" s="62"/>
      <c r="Q230" s="63"/>
    </row>
    <row r="231" spans="1:17" ht="12.75" customHeight="1">
      <c r="A231" s="81"/>
      <c r="B231" s="58" t="s">
        <v>110</v>
      </c>
      <c r="C231" s="65"/>
      <c r="D231" s="82"/>
      <c r="E231" s="82"/>
      <c r="F231" s="82"/>
      <c r="G231" s="82"/>
      <c r="H231" s="82"/>
      <c r="I231" s="82"/>
      <c r="J231" s="82"/>
      <c r="K231" s="82"/>
      <c r="L231" s="62"/>
      <c r="M231" s="62"/>
      <c r="N231" s="62"/>
      <c r="O231" s="62"/>
      <c r="P231" s="62"/>
      <c r="Q231" s="63"/>
    </row>
    <row r="232" spans="1:17" ht="12.75" customHeight="1">
      <c r="A232" s="81"/>
      <c r="B232" s="64" t="s">
        <v>100</v>
      </c>
      <c r="C232" s="79" t="s">
        <v>152</v>
      </c>
      <c r="D232" s="80"/>
      <c r="E232" s="80"/>
      <c r="F232" s="80"/>
      <c r="G232" s="80"/>
      <c r="H232" s="80"/>
      <c r="I232" s="80"/>
      <c r="J232" s="80"/>
      <c r="K232" s="62"/>
      <c r="L232" s="62"/>
      <c r="M232" s="62"/>
      <c r="N232" s="62"/>
      <c r="O232" s="62"/>
      <c r="P232" s="62"/>
      <c r="Q232" s="63"/>
    </row>
    <row r="233" spans="1:17" ht="12.75" customHeight="1">
      <c r="A233" s="81"/>
      <c r="B233" s="66" t="s">
        <v>102</v>
      </c>
      <c r="C233" s="67"/>
      <c r="D233" s="67"/>
      <c r="E233" s="68">
        <f>E234+E235</f>
        <v>7542</v>
      </c>
      <c r="F233" s="68">
        <f>F234+F235</f>
        <v>0</v>
      </c>
      <c r="G233" s="68">
        <f>G234+G235</f>
        <v>7542</v>
      </c>
      <c r="H233" s="68">
        <f aca="true" t="shared" si="15" ref="H233:Q233">H234</f>
        <v>7542</v>
      </c>
      <c r="I233" s="68">
        <f t="shared" si="15"/>
        <v>0</v>
      </c>
      <c r="J233" s="68">
        <f t="shared" si="15"/>
        <v>0</v>
      </c>
      <c r="K233" s="68">
        <f t="shared" si="15"/>
        <v>0</v>
      </c>
      <c r="L233" s="68">
        <f t="shared" si="15"/>
        <v>0</v>
      </c>
      <c r="M233" s="68">
        <f t="shared" si="15"/>
        <v>7542</v>
      </c>
      <c r="N233" s="68">
        <f t="shared" si="15"/>
        <v>0</v>
      </c>
      <c r="O233" s="68">
        <f t="shared" si="15"/>
        <v>0</v>
      </c>
      <c r="P233" s="68">
        <f t="shared" si="15"/>
        <v>0</v>
      </c>
      <c r="Q233" s="69">
        <f t="shared" si="15"/>
        <v>7542</v>
      </c>
    </row>
    <row r="234" spans="1:17" ht="12.75" customHeight="1">
      <c r="A234" s="81"/>
      <c r="B234" s="54" t="s">
        <v>103</v>
      </c>
      <c r="C234" s="83"/>
      <c r="D234" s="83"/>
      <c r="E234" s="71">
        <f>F234+G234</f>
        <v>7542</v>
      </c>
      <c r="F234" s="71">
        <f>I234</f>
        <v>0</v>
      </c>
      <c r="G234" s="71">
        <f>M234</f>
        <v>7542</v>
      </c>
      <c r="H234" s="72">
        <f>I234+M234</f>
        <v>7542</v>
      </c>
      <c r="I234" s="72">
        <f>SUM(J234:L234)</f>
        <v>0</v>
      </c>
      <c r="J234" s="72"/>
      <c r="K234" s="72"/>
      <c r="L234" s="72">
        <v>0</v>
      </c>
      <c r="M234" s="72">
        <f>SUM(N234:Q234)</f>
        <v>7542</v>
      </c>
      <c r="N234" s="72"/>
      <c r="O234" s="72"/>
      <c r="P234" s="72"/>
      <c r="Q234" s="73">
        <v>7542</v>
      </c>
    </row>
    <row r="235" spans="1:17" ht="12.75" customHeight="1">
      <c r="A235" s="81"/>
      <c r="B235" s="58" t="s">
        <v>16</v>
      </c>
      <c r="C235" s="83"/>
      <c r="D235" s="83"/>
      <c r="E235" s="71">
        <f>F235</f>
        <v>0</v>
      </c>
      <c r="F235" s="74"/>
      <c r="G235" s="71"/>
      <c r="H235" s="72"/>
      <c r="I235" s="72"/>
      <c r="J235" s="75"/>
      <c r="K235" s="75"/>
      <c r="L235" s="75"/>
      <c r="M235" s="72"/>
      <c r="N235" s="75"/>
      <c r="O235" s="75"/>
      <c r="P235" s="75"/>
      <c r="Q235" s="76"/>
    </row>
    <row r="236" spans="1:17" ht="13.5" customHeight="1">
      <c r="A236" s="81"/>
      <c r="B236" s="77" t="s">
        <v>112</v>
      </c>
      <c r="C236" s="83"/>
      <c r="D236" s="83"/>
      <c r="E236" s="84"/>
      <c r="F236" s="84"/>
      <c r="G236" s="84"/>
      <c r="H236" s="85"/>
      <c r="I236" s="85"/>
      <c r="J236" s="85"/>
      <c r="K236" s="85"/>
      <c r="L236" s="85"/>
      <c r="M236" s="85"/>
      <c r="N236" s="85"/>
      <c r="O236" s="85"/>
      <c r="P236" s="85"/>
      <c r="Q236" s="86"/>
    </row>
    <row r="237" spans="1:17" ht="12.75" customHeight="1">
      <c r="A237" s="81" t="s">
        <v>124</v>
      </c>
      <c r="B237" s="54" t="s">
        <v>94</v>
      </c>
      <c r="C237" s="55" t="s">
        <v>153</v>
      </c>
      <c r="D237" s="55"/>
      <c r="E237" s="55"/>
      <c r="F237" s="55"/>
      <c r="G237" s="55"/>
      <c r="H237" s="55"/>
      <c r="I237" s="55"/>
      <c r="J237" s="55"/>
      <c r="K237" s="56"/>
      <c r="L237" s="56"/>
      <c r="M237" s="56"/>
      <c r="N237" s="56"/>
      <c r="O237" s="56"/>
      <c r="P237" s="56"/>
      <c r="Q237" s="57"/>
    </row>
    <row r="238" spans="1:17" ht="12.75" customHeight="1">
      <c r="A238" s="81"/>
      <c r="B238" s="58" t="s">
        <v>96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</row>
    <row r="239" spans="1:17" ht="12.75" customHeight="1">
      <c r="A239" s="81"/>
      <c r="B239" s="58" t="s">
        <v>98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2"/>
      <c r="M239" s="62"/>
      <c r="N239" s="62"/>
      <c r="O239" s="62"/>
      <c r="P239" s="62"/>
      <c r="Q239" s="63"/>
    </row>
    <row r="240" spans="1:17" ht="12.75" customHeight="1">
      <c r="A240" s="81"/>
      <c r="B240" s="58" t="s">
        <v>110</v>
      </c>
      <c r="C240" s="65"/>
      <c r="D240" s="82"/>
      <c r="E240" s="82"/>
      <c r="F240" s="82"/>
      <c r="G240" s="82"/>
      <c r="H240" s="82"/>
      <c r="I240" s="82"/>
      <c r="J240" s="82"/>
      <c r="K240" s="82"/>
      <c r="L240" s="62"/>
      <c r="M240" s="62"/>
      <c r="N240" s="62"/>
      <c r="O240" s="62"/>
      <c r="P240" s="62"/>
      <c r="Q240" s="63"/>
    </row>
    <row r="241" spans="1:17" ht="12.75" customHeight="1">
      <c r="A241" s="81"/>
      <c r="B241" s="64" t="s">
        <v>100</v>
      </c>
      <c r="C241" s="79" t="s">
        <v>154</v>
      </c>
      <c r="D241" s="80"/>
      <c r="E241" s="80"/>
      <c r="F241" s="80"/>
      <c r="G241" s="80"/>
      <c r="H241" s="80"/>
      <c r="I241" s="80"/>
      <c r="J241" s="80"/>
      <c r="K241" s="62"/>
      <c r="L241" s="62"/>
      <c r="M241" s="62"/>
      <c r="N241" s="62"/>
      <c r="O241" s="62"/>
      <c r="P241" s="62"/>
      <c r="Q241" s="63"/>
    </row>
    <row r="242" spans="1:17" ht="12.75" customHeight="1">
      <c r="A242" s="81"/>
      <c r="B242" s="66" t="s">
        <v>102</v>
      </c>
      <c r="C242" s="67"/>
      <c r="D242" s="67"/>
      <c r="E242" s="68">
        <f>E243+E244</f>
        <v>18768</v>
      </c>
      <c r="F242" s="68">
        <f>F243+F244</f>
        <v>0</v>
      </c>
      <c r="G242" s="68">
        <f>G243+G244</f>
        <v>18768</v>
      </c>
      <c r="H242" s="68">
        <f aca="true" t="shared" si="16" ref="H242:Q242">H243</f>
        <v>18768</v>
      </c>
      <c r="I242" s="68">
        <f t="shared" si="16"/>
        <v>0</v>
      </c>
      <c r="J242" s="68">
        <f t="shared" si="16"/>
        <v>0</v>
      </c>
      <c r="K242" s="68">
        <f t="shared" si="16"/>
        <v>0</v>
      </c>
      <c r="L242" s="68">
        <f t="shared" si="16"/>
        <v>0</v>
      </c>
      <c r="M242" s="68">
        <f t="shared" si="16"/>
        <v>18768</v>
      </c>
      <c r="N242" s="68">
        <f t="shared" si="16"/>
        <v>0</v>
      </c>
      <c r="O242" s="68">
        <f t="shared" si="16"/>
        <v>0</v>
      </c>
      <c r="P242" s="68">
        <f t="shared" si="16"/>
        <v>0</v>
      </c>
      <c r="Q242" s="69">
        <f t="shared" si="16"/>
        <v>18768</v>
      </c>
    </row>
    <row r="243" spans="1:17" ht="12.75" customHeight="1">
      <c r="A243" s="81"/>
      <c r="B243" s="54" t="s">
        <v>103</v>
      </c>
      <c r="C243" s="83"/>
      <c r="D243" s="83"/>
      <c r="E243" s="71">
        <f>F243+G243</f>
        <v>18768</v>
      </c>
      <c r="F243" s="71">
        <f>I243</f>
        <v>0</v>
      </c>
      <c r="G243" s="71">
        <f>M243</f>
        <v>18768</v>
      </c>
      <c r="H243" s="72">
        <f>I243+M243</f>
        <v>18768</v>
      </c>
      <c r="I243" s="72">
        <f>SUM(J243:L243)</f>
        <v>0</v>
      </c>
      <c r="J243" s="72"/>
      <c r="K243" s="72"/>
      <c r="L243" s="72">
        <v>0</v>
      </c>
      <c r="M243" s="72">
        <f>SUM(N243:Q243)</f>
        <v>18768</v>
      </c>
      <c r="N243" s="72"/>
      <c r="O243" s="72"/>
      <c r="P243" s="72"/>
      <c r="Q243" s="73">
        <v>18768</v>
      </c>
    </row>
    <row r="244" spans="1:17" ht="12.75" customHeight="1">
      <c r="A244" s="81"/>
      <c r="B244" s="58" t="s">
        <v>16</v>
      </c>
      <c r="C244" s="83"/>
      <c r="D244" s="83"/>
      <c r="E244" s="71">
        <f>F244</f>
        <v>0</v>
      </c>
      <c r="F244" s="74"/>
      <c r="G244" s="71"/>
      <c r="H244" s="72"/>
      <c r="I244" s="72"/>
      <c r="J244" s="75"/>
      <c r="K244" s="75"/>
      <c r="L244" s="75"/>
      <c r="M244" s="72"/>
      <c r="N244" s="75"/>
      <c r="O244" s="75"/>
      <c r="P244" s="75"/>
      <c r="Q244" s="76"/>
    </row>
    <row r="245" spans="1:17" ht="13.5" customHeight="1">
      <c r="A245" s="81"/>
      <c r="B245" s="77" t="s">
        <v>112</v>
      </c>
      <c r="C245" s="83"/>
      <c r="D245" s="83"/>
      <c r="E245" s="84"/>
      <c r="F245" s="84"/>
      <c r="G245" s="84"/>
      <c r="H245" s="85"/>
      <c r="I245" s="85"/>
      <c r="J245" s="85"/>
      <c r="K245" s="85"/>
      <c r="L245" s="85"/>
      <c r="M245" s="85"/>
      <c r="N245" s="85"/>
      <c r="O245" s="85"/>
      <c r="P245" s="85"/>
      <c r="Q245" s="86"/>
    </row>
    <row r="246" spans="1:17" ht="12.75" customHeight="1">
      <c r="A246" s="81" t="s">
        <v>155</v>
      </c>
      <c r="B246" s="54" t="s">
        <v>94</v>
      </c>
      <c r="C246" s="55" t="s">
        <v>137</v>
      </c>
      <c r="D246" s="55"/>
      <c r="E246" s="55"/>
      <c r="F246" s="55"/>
      <c r="G246" s="55"/>
      <c r="H246" s="55"/>
      <c r="I246" s="55"/>
      <c r="J246" s="55"/>
      <c r="K246" s="56"/>
      <c r="L246" s="56"/>
      <c r="M246" s="56"/>
      <c r="N246" s="56"/>
      <c r="O246" s="56"/>
      <c r="P246" s="56"/>
      <c r="Q246" s="57"/>
    </row>
    <row r="247" spans="1:2" ht="12.75" customHeight="1">
      <c r="A247" s="81"/>
      <c r="B247" s="58" t="s">
        <v>96</v>
      </c>
    </row>
    <row r="248" spans="1:17" ht="12.75" customHeight="1">
      <c r="A248" s="81"/>
      <c r="B248" s="58" t="s">
        <v>98</v>
      </c>
      <c r="C248" s="59" t="s">
        <v>156</v>
      </c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</row>
    <row r="249" spans="1:17" ht="12.75" customHeight="1">
      <c r="A249" s="81"/>
      <c r="B249" s="58" t="s">
        <v>110</v>
      </c>
      <c r="C249" s="65" t="s">
        <v>157</v>
      </c>
      <c r="D249" s="82"/>
      <c r="E249" s="82"/>
      <c r="F249" s="82"/>
      <c r="G249" s="82"/>
      <c r="H249" s="82"/>
      <c r="I249" s="82"/>
      <c r="J249" s="82"/>
      <c r="K249" s="82"/>
      <c r="L249" s="62"/>
      <c r="M249" s="62"/>
      <c r="N249" s="62"/>
      <c r="O249" s="62"/>
      <c r="P249" s="62"/>
      <c r="Q249" s="63"/>
    </row>
    <row r="250" spans="1:17" ht="12.75" customHeight="1">
      <c r="A250" s="81"/>
      <c r="B250" s="64" t="s">
        <v>100</v>
      </c>
      <c r="C250" s="79" t="s">
        <v>158</v>
      </c>
      <c r="D250" s="80"/>
      <c r="E250" s="80"/>
      <c r="F250" s="80"/>
      <c r="G250" s="80"/>
      <c r="H250" s="80"/>
      <c r="I250" s="80"/>
      <c r="J250" s="80"/>
      <c r="K250" s="62"/>
      <c r="L250" s="62"/>
      <c r="M250" s="62"/>
      <c r="N250" s="62"/>
      <c r="O250" s="62"/>
      <c r="P250" s="62"/>
      <c r="Q250" s="63"/>
    </row>
    <row r="251" spans="1:17" ht="12.75" customHeight="1">
      <c r="A251" s="81"/>
      <c r="B251" s="66" t="s">
        <v>102</v>
      </c>
      <c r="C251" s="67"/>
      <c r="D251" s="67"/>
      <c r="E251" s="68">
        <f>E252+E253</f>
        <v>221566</v>
      </c>
      <c r="F251" s="68">
        <f>F252+F253</f>
        <v>33236</v>
      </c>
      <c r="G251" s="68">
        <f>G252+G253</f>
        <v>188330</v>
      </c>
      <c r="H251" s="68">
        <f aca="true" t="shared" si="17" ref="H251:Q251">H252</f>
        <v>221566</v>
      </c>
      <c r="I251" s="68">
        <f t="shared" si="17"/>
        <v>33236</v>
      </c>
      <c r="J251" s="68">
        <f t="shared" si="17"/>
        <v>0</v>
      </c>
      <c r="K251" s="68">
        <f t="shared" si="17"/>
        <v>0</v>
      </c>
      <c r="L251" s="68">
        <f t="shared" si="17"/>
        <v>33236</v>
      </c>
      <c r="M251" s="68">
        <f t="shared" si="17"/>
        <v>188330</v>
      </c>
      <c r="N251" s="68">
        <f t="shared" si="17"/>
        <v>0</v>
      </c>
      <c r="O251" s="68">
        <f t="shared" si="17"/>
        <v>0</v>
      </c>
      <c r="P251" s="68">
        <f t="shared" si="17"/>
        <v>0</v>
      </c>
      <c r="Q251" s="69">
        <f t="shared" si="17"/>
        <v>188330</v>
      </c>
    </row>
    <row r="252" spans="1:17" ht="12.75" customHeight="1">
      <c r="A252" s="81"/>
      <c r="B252" s="54" t="s">
        <v>103</v>
      </c>
      <c r="C252" s="83"/>
      <c r="D252" s="83"/>
      <c r="E252" s="71">
        <f>F252+G252</f>
        <v>221566</v>
      </c>
      <c r="F252" s="71">
        <f>I252</f>
        <v>33236</v>
      </c>
      <c r="G252" s="71">
        <f>M252</f>
        <v>188330</v>
      </c>
      <c r="H252" s="72">
        <f>I252+M252</f>
        <v>221566</v>
      </c>
      <c r="I252" s="72">
        <f>SUM(J252:L252)</f>
        <v>33236</v>
      </c>
      <c r="J252" s="72"/>
      <c r="K252" s="72"/>
      <c r="L252" s="72">
        <v>33236</v>
      </c>
      <c r="M252" s="72">
        <f>SUM(N252:Q252)</f>
        <v>188330</v>
      </c>
      <c r="N252" s="72"/>
      <c r="O252" s="72"/>
      <c r="P252" s="72"/>
      <c r="Q252" s="73">
        <v>188330</v>
      </c>
    </row>
    <row r="253" spans="1:17" ht="12.75" customHeight="1">
      <c r="A253" s="81"/>
      <c r="B253" s="58" t="s">
        <v>16</v>
      </c>
      <c r="C253" s="83"/>
      <c r="D253" s="83"/>
      <c r="E253" s="71">
        <f>F253</f>
        <v>0</v>
      </c>
      <c r="F253" s="74"/>
      <c r="G253" s="71"/>
      <c r="H253" s="72"/>
      <c r="I253" s="72"/>
      <c r="J253" s="75"/>
      <c r="K253" s="75"/>
      <c r="L253" s="75"/>
      <c r="M253" s="72"/>
      <c r="N253" s="75"/>
      <c r="O253" s="75"/>
      <c r="P253" s="75"/>
      <c r="Q253" s="76"/>
    </row>
    <row r="254" spans="1:17" ht="13.5" customHeight="1">
      <c r="A254" s="81"/>
      <c r="B254" s="77" t="s">
        <v>112</v>
      </c>
      <c r="C254" s="83"/>
      <c r="D254" s="83"/>
      <c r="E254" s="84"/>
      <c r="F254" s="84"/>
      <c r="G254" s="84"/>
      <c r="H254" s="85"/>
      <c r="I254" s="85"/>
      <c r="J254" s="85"/>
      <c r="K254" s="85"/>
      <c r="L254" s="85"/>
      <c r="M254" s="85"/>
      <c r="N254" s="85"/>
      <c r="O254" s="85"/>
      <c r="P254" s="85"/>
      <c r="Q254" s="86"/>
    </row>
    <row r="255" spans="1:17" ht="12.75" customHeight="1">
      <c r="A255" s="81" t="s">
        <v>155</v>
      </c>
      <c r="B255" s="54" t="s">
        <v>94</v>
      </c>
      <c r="C255" s="55" t="s">
        <v>137</v>
      </c>
      <c r="D255" s="55"/>
      <c r="E255" s="55"/>
      <c r="F255" s="55"/>
      <c r="G255" s="55"/>
      <c r="H255" s="55"/>
      <c r="I255" s="55"/>
      <c r="J255" s="55"/>
      <c r="K255" s="56"/>
      <c r="L255" s="56"/>
      <c r="M255" s="56"/>
      <c r="N255" s="56"/>
      <c r="O255" s="56"/>
      <c r="P255" s="56"/>
      <c r="Q255" s="57"/>
    </row>
    <row r="256" spans="1:3" ht="12.75" customHeight="1">
      <c r="A256" s="81"/>
      <c r="B256" s="58" t="s">
        <v>96</v>
      </c>
      <c r="C256" s="96" t="s">
        <v>159</v>
      </c>
    </row>
    <row r="257" spans="1:17" ht="12.75" customHeight="1">
      <c r="A257" s="81"/>
      <c r="B257" s="58" t="s">
        <v>98</v>
      </c>
      <c r="C257" s="59" t="s">
        <v>160</v>
      </c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</row>
    <row r="258" spans="1:17" ht="12.75" customHeight="1">
      <c r="A258" s="81"/>
      <c r="B258" s="58" t="s">
        <v>110</v>
      </c>
      <c r="C258" s="65"/>
      <c r="D258" s="82"/>
      <c r="E258" s="82"/>
      <c r="F258" s="82"/>
      <c r="G258" s="82"/>
      <c r="H258" s="82"/>
      <c r="I258" s="82"/>
      <c r="J258" s="82"/>
      <c r="K258" s="82"/>
      <c r="L258" s="62"/>
      <c r="M258" s="62"/>
      <c r="N258" s="62"/>
      <c r="O258" s="62"/>
      <c r="P258" s="62"/>
      <c r="Q258" s="63"/>
    </row>
    <row r="259" spans="1:17" ht="12.75" customHeight="1">
      <c r="A259" s="81"/>
      <c r="B259" s="64" t="s">
        <v>100</v>
      </c>
      <c r="C259" s="79" t="s">
        <v>161</v>
      </c>
      <c r="D259" s="80"/>
      <c r="E259" s="80"/>
      <c r="F259" s="80"/>
      <c r="G259" s="80"/>
      <c r="H259" s="80"/>
      <c r="I259" s="80"/>
      <c r="J259" s="80"/>
      <c r="K259" s="62"/>
      <c r="L259" s="62"/>
      <c r="M259" s="62"/>
      <c r="N259" s="62"/>
      <c r="O259" s="62"/>
      <c r="P259" s="62"/>
      <c r="Q259" s="63"/>
    </row>
    <row r="260" spans="1:17" ht="12.75" customHeight="1">
      <c r="A260" s="81"/>
      <c r="B260" s="66" t="s">
        <v>102</v>
      </c>
      <c r="C260" s="67"/>
      <c r="D260" s="67"/>
      <c r="E260" s="68">
        <f>E261+E262</f>
        <v>722700</v>
      </c>
      <c r="F260" s="68">
        <f>F261+F262</f>
        <v>36135</v>
      </c>
      <c r="G260" s="68">
        <f>G261+G262</f>
        <v>686565</v>
      </c>
      <c r="H260" s="68">
        <f aca="true" t="shared" si="18" ref="H260:Q260">H261</f>
        <v>391747</v>
      </c>
      <c r="I260" s="68">
        <f t="shared" si="18"/>
        <v>19587</v>
      </c>
      <c r="J260" s="68">
        <f t="shared" si="18"/>
        <v>0</v>
      </c>
      <c r="K260" s="68">
        <f t="shared" si="18"/>
        <v>0</v>
      </c>
      <c r="L260" s="68">
        <f t="shared" si="18"/>
        <v>19587</v>
      </c>
      <c r="M260" s="68">
        <f t="shared" si="18"/>
        <v>372160</v>
      </c>
      <c r="N260" s="68">
        <f t="shared" si="18"/>
        <v>0</v>
      </c>
      <c r="O260" s="68">
        <f t="shared" si="18"/>
        <v>0</v>
      </c>
      <c r="P260" s="68">
        <f t="shared" si="18"/>
        <v>0</v>
      </c>
      <c r="Q260" s="69">
        <f t="shared" si="18"/>
        <v>372160</v>
      </c>
    </row>
    <row r="261" spans="1:17" ht="12.75" customHeight="1">
      <c r="A261" s="81"/>
      <c r="B261" s="54" t="s">
        <v>103</v>
      </c>
      <c r="C261" s="83"/>
      <c r="D261" s="83"/>
      <c r="E261" s="71">
        <f>F261+G261</f>
        <v>391747</v>
      </c>
      <c r="F261" s="71">
        <f>I261</f>
        <v>19587</v>
      </c>
      <c r="G261" s="71">
        <f>M261</f>
        <v>372160</v>
      </c>
      <c r="H261" s="72">
        <f>I261+M261</f>
        <v>391747</v>
      </c>
      <c r="I261" s="72">
        <f>SUM(J261:L261)</f>
        <v>19587</v>
      </c>
      <c r="J261" s="72"/>
      <c r="K261" s="72"/>
      <c r="L261" s="72">
        <v>19587</v>
      </c>
      <c r="M261" s="72">
        <f>SUM(N261:Q261)</f>
        <v>372160</v>
      </c>
      <c r="N261" s="72"/>
      <c r="O261" s="72"/>
      <c r="P261" s="72"/>
      <c r="Q261" s="73">
        <v>372160</v>
      </c>
    </row>
    <row r="262" spans="1:17" ht="12.75" customHeight="1">
      <c r="A262" s="81"/>
      <c r="B262" s="58" t="s">
        <v>16</v>
      </c>
      <c r="C262" s="83"/>
      <c r="D262" s="83"/>
      <c r="E262" s="71">
        <f>F262+G262</f>
        <v>330953</v>
      </c>
      <c r="F262" s="74">
        <v>16548</v>
      </c>
      <c r="G262" s="71">
        <v>314405</v>
      </c>
      <c r="H262" s="72"/>
      <c r="I262" s="72"/>
      <c r="J262" s="75"/>
      <c r="K262" s="75"/>
      <c r="L262" s="75"/>
      <c r="M262" s="72"/>
      <c r="N262" s="75"/>
      <c r="O262" s="75"/>
      <c r="P262" s="75"/>
      <c r="Q262" s="76"/>
    </row>
    <row r="263" spans="1:17" ht="13.5" customHeight="1">
      <c r="A263" s="81"/>
      <c r="B263" s="77" t="s">
        <v>112</v>
      </c>
      <c r="C263" s="83"/>
      <c r="D263" s="83"/>
      <c r="E263" s="84"/>
      <c r="F263" s="84"/>
      <c r="G263" s="84"/>
      <c r="H263" s="85"/>
      <c r="I263" s="85"/>
      <c r="J263" s="85"/>
      <c r="K263" s="85"/>
      <c r="L263" s="85"/>
      <c r="M263" s="85"/>
      <c r="N263" s="85"/>
      <c r="O263" s="85"/>
      <c r="P263" s="85"/>
      <c r="Q263" s="86"/>
    </row>
    <row r="264" spans="1:17" ht="12.75" customHeight="1">
      <c r="A264" s="81" t="s">
        <v>162</v>
      </c>
      <c r="B264" s="54" t="s">
        <v>94</v>
      </c>
      <c r="C264" s="55"/>
      <c r="D264" s="55"/>
      <c r="E264" s="55"/>
      <c r="F264" s="55"/>
      <c r="G264" s="55"/>
      <c r="H264" s="55"/>
      <c r="I264" s="55"/>
      <c r="J264" s="55"/>
      <c r="K264" s="56"/>
      <c r="L264" s="56"/>
      <c r="M264" s="56"/>
      <c r="N264" s="56"/>
      <c r="O264" s="56"/>
      <c r="P264" s="56"/>
      <c r="Q264" s="57"/>
    </row>
    <row r="265" spans="1:3" ht="12.75" customHeight="1">
      <c r="A265" s="81"/>
      <c r="B265" s="58" t="s">
        <v>96</v>
      </c>
      <c r="C265" s="96"/>
    </row>
    <row r="266" spans="1:17" ht="12.75" customHeight="1">
      <c r="A266" s="81"/>
      <c r="B266" s="58" t="s">
        <v>98</v>
      </c>
      <c r="C266" s="59" t="s">
        <v>163</v>
      </c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</row>
    <row r="267" spans="1:17" ht="12.75" customHeight="1">
      <c r="A267" s="81"/>
      <c r="B267" s="58" t="s">
        <v>110</v>
      </c>
      <c r="C267" s="65"/>
      <c r="D267" s="82"/>
      <c r="E267" s="82"/>
      <c r="F267" s="82"/>
      <c r="G267" s="82"/>
      <c r="H267" s="82"/>
      <c r="I267" s="82"/>
      <c r="J267" s="82"/>
      <c r="K267" s="82"/>
      <c r="L267" s="62"/>
      <c r="M267" s="62"/>
      <c r="N267" s="62"/>
      <c r="O267" s="62"/>
      <c r="P267" s="62"/>
      <c r="Q267" s="63"/>
    </row>
    <row r="268" spans="1:17" ht="12.75" customHeight="1">
      <c r="A268" s="81"/>
      <c r="B268" s="64" t="s">
        <v>100</v>
      </c>
      <c r="C268" s="79" t="s">
        <v>164</v>
      </c>
      <c r="D268" s="80"/>
      <c r="E268" s="80"/>
      <c r="F268" s="80"/>
      <c r="G268" s="80"/>
      <c r="H268" s="80"/>
      <c r="I268" s="80"/>
      <c r="J268" s="80"/>
      <c r="K268" s="62"/>
      <c r="L268" s="62"/>
      <c r="M268" s="62"/>
      <c r="N268" s="62"/>
      <c r="O268" s="62"/>
      <c r="P268" s="62"/>
      <c r="Q268" s="63"/>
    </row>
    <row r="269" spans="1:17" ht="12.75" customHeight="1">
      <c r="A269" s="81"/>
      <c r="B269" s="66" t="s">
        <v>102</v>
      </c>
      <c r="C269" s="67"/>
      <c r="D269" s="67"/>
      <c r="E269" s="68">
        <f>E270+E271</f>
        <v>61567</v>
      </c>
      <c r="F269" s="68">
        <f>F270+F271</f>
        <v>0</v>
      </c>
      <c r="G269" s="68">
        <f>G270+G271</f>
        <v>61567</v>
      </c>
      <c r="H269" s="68">
        <f aca="true" t="shared" si="19" ref="H269:Q269">H270</f>
        <v>18000</v>
      </c>
      <c r="I269" s="68">
        <f t="shared" si="19"/>
        <v>0</v>
      </c>
      <c r="J269" s="68">
        <f t="shared" si="19"/>
        <v>0</v>
      </c>
      <c r="K269" s="68">
        <f t="shared" si="19"/>
        <v>0</v>
      </c>
      <c r="L269" s="68">
        <f t="shared" si="19"/>
        <v>0</v>
      </c>
      <c r="M269" s="68">
        <f t="shared" si="19"/>
        <v>18000</v>
      </c>
      <c r="N269" s="68">
        <f t="shared" si="19"/>
        <v>0</v>
      </c>
      <c r="O269" s="68">
        <f t="shared" si="19"/>
        <v>0</v>
      </c>
      <c r="P269" s="68">
        <f t="shared" si="19"/>
        <v>0</v>
      </c>
      <c r="Q269" s="69">
        <f t="shared" si="19"/>
        <v>18000</v>
      </c>
    </row>
    <row r="270" spans="1:17" ht="12.75" customHeight="1">
      <c r="A270" s="81"/>
      <c r="B270" s="54" t="s">
        <v>103</v>
      </c>
      <c r="C270" s="83"/>
      <c r="D270" s="83"/>
      <c r="E270" s="71">
        <f>F270+G270</f>
        <v>18000</v>
      </c>
      <c r="F270" s="71">
        <f>I270</f>
        <v>0</v>
      </c>
      <c r="G270" s="71">
        <f>M270</f>
        <v>18000</v>
      </c>
      <c r="H270" s="72">
        <f>I270+M270</f>
        <v>18000</v>
      </c>
      <c r="I270" s="72">
        <f>SUM(J270:L270)</f>
        <v>0</v>
      </c>
      <c r="J270" s="72"/>
      <c r="K270" s="72"/>
      <c r="L270" s="72">
        <v>0</v>
      </c>
      <c r="M270" s="72">
        <f>SUM(N270:Q270)</f>
        <v>18000</v>
      </c>
      <c r="N270" s="72"/>
      <c r="O270" s="72"/>
      <c r="P270" s="72"/>
      <c r="Q270" s="73">
        <v>18000</v>
      </c>
    </row>
    <row r="271" spans="1:17" ht="12.75" customHeight="1">
      <c r="A271" s="81"/>
      <c r="B271" s="58" t="s">
        <v>16</v>
      </c>
      <c r="C271" s="83"/>
      <c r="D271" s="83"/>
      <c r="E271" s="71">
        <f>F271+G271</f>
        <v>43567</v>
      </c>
      <c r="F271" s="74"/>
      <c r="G271" s="71">
        <v>43567</v>
      </c>
      <c r="H271" s="72"/>
      <c r="I271" s="72"/>
      <c r="J271" s="75"/>
      <c r="K271" s="75"/>
      <c r="L271" s="75"/>
      <c r="M271" s="72"/>
      <c r="N271" s="75"/>
      <c r="O271" s="75"/>
      <c r="P271" s="75"/>
      <c r="Q271" s="76"/>
    </row>
    <row r="272" spans="1:17" ht="13.5" customHeight="1">
      <c r="A272" s="81"/>
      <c r="B272" s="77" t="s">
        <v>112</v>
      </c>
      <c r="C272" s="83"/>
      <c r="D272" s="83"/>
      <c r="E272" s="84"/>
      <c r="F272" s="84"/>
      <c r="G272" s="84"/>
      <c r="H272" s="85"/>
      <c r="I272" s="85"/>
      <c r="J272" s="85"/>
      <c r="K272" s="85"/>
      <c r="L272" s="85"/>
      <c r="M272" s="85"/>
      <c r="N272" s="85"/>
      <c r="O272" s="85"/>
      <c r="P272" s="85"/>
      <c r="Q272" s="86"/>
    </row>
    <row r="273" spans="1:17" ht="13.5" customHeight="1">
      <c r="A273" s="97">
        <v>2</v>
      </c>
      <c r="B273" s="98" t="s">
        <v>165</v>
      </c>
      <c r="C273" s="99" t="s">
        <v>48</v>
      </c>
      <c r="D273" s="99"/>
      <c r="E273" s="100">
        <f>E279+E288+E297</f>
        <v>23882326</v>
      </c>
      <c r="F273" s="100">
        <f aca="true" t="shared" si="20" ref="F273:Q273">F279+F288+F297</f>
        <v>5978034</v>
      </c>
      <c r="G273" s="100">
        <f t="shared" si="20"/>
        <v>17940882</v>
      </c>
      <c r="H273" s="100">
        <f t="shared" si="20"/>
        <v>10112761</v>
      </c>
      <c r="I273" s="100">
        <f t="shared" si="20"/>
        <v>3390288</v>
      </c>
      <c r="J273" s="100">
        <f t="shared" si="20"/>
        <v>0</v>
      </c>
      <c r="K273" s="100">
        <f t="shared" si="20"/>
        <v>0</v>
      </c>
      <c r="L273" s="100">
        <f t="shared" si="20"/>
        <v>3390288</v>
      </c>
      <c r="M273" s="100">
        <f t="shared" si="20"/>
        <v>6722473</v>
      </c>
      <c r="N273" s="100">
        <f t="shared" si="20"/>
        <v>0</v>
      </c>
      <c r="O273" s="100">
        <f t="shared" si="20"/>
        <v>0</v>
      </c>
      <c r="P273" s="100">
        <f t="shared" si="20"/>
        <v>0</v>
      </c>
      <c r="Q273" s="100">
        <f t="shared" si="20"/>
        <v>6722473</v>
      </c>
    </row>
    <row r="274" spans="1:17" ht="12.75" customHeight="1">
      <c r="A274" s="101" t="s">
        <v>166</v>
      </c>
      <c r="B274" s="87" t="s">
        <v>94</v>
      </c>
      <c r="C274" s="55" t="s">
        <v>167</v>
      </c>
      <c r="D274" s="102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103"/>
    </row>
    <row r="275" spans="1:17" ht="12.75" customHeight="1">
      <c r="A275" s="101"/>
      <c r="B275" s="58" t="s">
        <v>96</v>
      </c>
      <c r="C275" s="65" t="s">
        <v>168</v>
      </c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103"/>
    </row>
    <row r="276" spans="1:17" ht="12.75" customHeight="1">
      <c r="A276" s="101"/>
      <c r="B276" s="58" t="s">
        <v>98</v>
      </c>
      <c r="C276" s="65" t="s">
        <v>169</v>
      </c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103"/>
    </row>
    <row r="277" spans="1:17" ht="12.75" customHeight="1">
      <c r="A277" s="101"/>
      <c r="B277" s="58" t="s">
        <v>110</v>
      </c>
      <c r="C277" s="65" t="s">
        <v>170</v>
      </c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103"/>
    </row>
    <row r="278" spans="1:17" ht="12.75" customHeight="1">
      <c r="A278" s="101"/>
      <c r="B278" s="64" t="s">
        <v>100</v>
      </c>
      <c r="C278" s="60" t="s">
        <v>171</v>
      </c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103"/>
    </row>
    <row r="279" spans="1:17" ht="12.75" customHeight="1">
      <c r="A279" s="101"/>
      <c r="B279" s="66" t="s">
        <v>102</v>
      </c>
      <c r="C279" s="89"/>
      <c r="D279" s="89"/>
      <c r="E279" s="68">
        <v>10602689</v>
      </c>
      <c r="F279" s="68">
        <v>3192040</v>
      </c>
      <c r="G279" s="68">
        <v>7447239</v>
      </c>
      <c r="H279" s="68">
        <f>H280</f>
        <v>1527793</v>
      </c>
      <c r="I279" s="68">
        <f aca="true" t="shared" si="21" ref="I279:Q279">I280</f>
        <v>604294</v>
      </c>
      <c r="J279" s="68">
        <f t="shared" si="21"/>
        <v>0</v>
      </c>
      <c r="K279" s="68">
        <f t="shared" si="21"/>
        <v>0</v>
      </c>
      <c r="L279" s="68">
        <f t="shared" si="21"/>
        <v>604294</v>
      </c>
      <c r="M279" s="68">
        <f t="shared" si="21"/>
        <v>923499</v>
      </c>
      <c r="N279" s="68">
        <f t="shared" si="21"/>
        <v>0</v>
      </c>
      <c r="O279" s="68">
        <f t="shared" si="21"/>
        <v>0</v>
      </c>
      <c r="P279" s="68">
        <f t="shared" si="21"/>
        <v>0</v>
      </c>
      <c r="Q279" s="69">
        <f t="shared" si="21"/>
        <v>923499</v>
      </c>
    </row>
    <row r="280" spans="1:17" ht="12.75" customHeight="1">
      <c r="A280" s="101"/>
      <c r="B280" s="54" t="s">
        <v>103</v>
      </c>
      <c r="C280" s="104"/>
      <c r="D280" s="104"/>
      <c r="E280" s="68">
        <f>F280+G280</f>
        <v>1527793</v>
      </c>
      <c r="F280" s="68">
        <f>I280</f>
        <v>604294</v>
      </c>
      <c r="G280" s="68">
        <f>M280</f>
        <v>923499</v>
      </c>
      <c r="H280" s="68">
        <f>I280+M280</f>
        <v>1527793</v>
      </c>
      <c r="I280" s="68">
        <f>L280</f>
        <v>604294</v>
      </c>
      <c r="J280" s="105"/>
      <c r="K280" s="105"/>
      <c r="L280" s="68">
        <v>604294</v>
      </c>
      <c r="M280" s="68">
        <v>923499</v>
      </c>
      <c r="N280" s="105"/>
      <c r="O280" s="105"/>
      <c r="P280" s="105"/>
      <c r="Q280" s="69">
        <v>923499</v>
      </c>
    </row>
    <row r="281" spans="1:17" ht="12.75" customHeight="1">
      <c r="A281" s="101"/>
      <c r="B281" s="58" t="s">
        <v>16</v>
      </c>
      <c r="C281" s="104"/>
      <c r="D281" s="104"/>
      <c r="E281" s="71"/>
      <c r="F281" s="74"/>
      <c r="G281" s="71"/>
      <c r="H281" s="72"/>
      <c r="I281" s="72"/>
      <c r="J281" s="72"/>
      <c r="K281" s="72"/>
      <c r="L281" s="72"/>
      <c r="M281" s="72"/>
      <c r="N281" s="72"/>
      <c r="O281" s="72"/>
      <c r="P281" s="72"/>
      <c r="Q281" s="73"/>
    </row>
    <row r="282" spans="1:17" ht="13.5" customHeight="1">
      <c r="A282" s="101"/>
      <c r="B282" s="106" t="s">
        <v>17</v>
      </c>
      <c r="C282" s="104"/>
      <c r="D282" s="104"/>
      <c r="E282" s="107"/>
      <c r="F282" s="107"/>
      <c r="G282" s="107"/>
      <c r="H282" s="108"/>
      <c r="I282" s="108"/>
      <c r="J282" s="108"/>
      <c r="K282" s="108"/>
      <c r="L282" s="108"/>
      <c r="M282" s="108"/>
      <c r="N282" s="108"/>
      <c r="O282" s="108"/>
      <c r="P282" s="108"/>
      <c r="Q282" s="109"/>
    </row>
    <row r="283" spans="1:17" ht="12.75" customHeight="1">
      <c r="A283" s="110" t="s">
        <v>172</v>
      </c>
      <c r="B283" s="54" t="s">
        <v>94</v>
      </c>
      <c r="C283" s="55" t="s">
        <v>167</v>
      </c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103"/>
    </row>
    <row r="284" spans="1:17" ht="12.75" customHeight="1">
      <c r="A284" s="110"/>
      <c r="B284" s="58" t="s">
        <v>96</v>
      </c>
      <c r="C284" s="65" t="s">
        <v>168</v>
      </c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103"/>
    </row>
    <row r="285" spans="1:17" ht="12.75" customHeight="1">
      <c r="A285" s="110"/>
      <c r="B285" s="58" t="s">
        <v>98</v>
      </c>
      <c r="C285" s="65" t="s">
        <v>173</v>
      </c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103"/>
    </row>
    <row r="286" spans="1:17" ht="12.75" customHeight="1">
      <c r="A286" s="110"/>
      <c r="B286" s="58" t="s">
        <v>110</v>
      </c>
      <c r="C286" s="65" t="s">
        <v>174</v>
      </c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103"/>
    </row>
    <row r="287" spans="1:17" ht="12.75" customHeight="1">
      <c r="A287" s="110"/>
      <c r="B287" s="64" t="s">
        <v>100</v>
      </c>
      <c r="C287" s="60" t="s">
        <v>29</v>
      </c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103"/>
    </row>
    <row r="288" spans="1:17" ht="12.75" customHeight="1">
      <c r="A288" s="110"/>
      <c r="B288" s="66" t="s">
        <v>102</v>
      </c>
      <c r="C288" s="89"/>
      <c r="D288" s="89"/>
      <c r="E288" s="68">
        <f>E289+E290</f>
        <v>8451573</v>
      </c>
      <c r="F288" s="68">
        <f>F289+F290</f>
        <v>1127071</v>
      </c>
      <c r="G288" s="68">
        <f>G289+G290</f>
        <v>7324502</v>
      </c>
      <c r="H288" s="68">
        <f>H289</f>
        <v>3756904</v>
      </c>
      <c r="I288" s="68">
        <f aca="true" t="shared" si="22" ref="I288:Q288">I289</f>
        <v>1127071</v>
      </c>
      <c r="J288" s="68">
        <f t="shared" si="22"/>
        <v>0</v>
      </c>
      <c r="K288" s="68">
        <f t="shared" si="22"/>
        <v>0</v>
      </c>
      <c r="L288" s="68">
        <f t="shared" si="22"/>
        <v>1127071</v>
      </c>
      <c r="M288" s="68">
        <f t="shared" si="22"/>
        <v>2629833</v>
      </c>
      <c r="N288" s="68">
        <f t="shared" si="22"/>
        <v>0</v>
      </c>
      <c r="O288" s="68">
        <f t="shared" si="22"/>
        <v>0</v>
      </c>
      <c r="P288" s="68">
        <f t="shared" si="22"/>
        <v>0</v>
      </c>
      <c r="Q288" s="69">
        <f t="shared" si="22"/>
        <v>2629833</v>
      </c>
    </row>
    <row r="289" spans="1:17" ht="12.75" customHeight="1">
      <c r="A289" s="110"/>
      <c r="B289" s="54" t="s">
        <v>103</v>
      </c>
      <c r="C289" s="104"/>
      <c r="D289" s="104"/>
      <c r="E289" s="68">
        <f>F289+G289</f>
        <v>3756904</v>
      </c>
      <c r="F289" s="68">
        <f>I289</f>
        <v>1127071</v>
      </c>
      <c r="G289" s="68">
        <f>M289</f>
        <v>2629833</v>
      </c>
      <c r="H289" s="68">
        <f>I289+M289</f>
        <v>3756904</v>
      </c>
      <c r="I289" s="68">
        <f>L289</f>
        <v>1127071</v>
      </c>
      <c r="J289" s="105"/>
      <c r="K289" s="105"/>
      <c r="L289" s="68">
        <v>1127071</v>
      </c>
      <c r="M289" s="68">
        <f>SUM(N289:Q289)</f>
        <v>2629833</v>
      </c>
      <c r="N289" s="105"/>
      <c r="O289" s="105"/>
      <c r="P289" s="105"/>
      <c r="Q289" s="69">
        <v>2629833</v>
      </c>
    </row>
    <row r="290" spans="1:17" ht="12.75" customHeight="1">
      <c r="A290" s="110"/>
      <c r="B290" s="58" t="s">
        <v>16</v>
      </c>
      <c r="C290" s="104"/>
      <c r="D290" s="104"/>
      <c r="E290" s="71">
        <f>F290+G290</f>
        <v>4694669</v>
      </c>
      <c r="F290" s="74"/>
      <c r="G290" s="71">
        <v>4694669</v>
      </c>
      <c r="H290" s="72"/>
      <c r="I290" s="72"/>
      <c r="J290" s="72"/>
      <c r="K290" s="72"/>
      <c r="L290" s="72"/>
      <c r="M290" s="72"/>
      <c r="N290" s="72"/>
      <c r="O290" s="72"/>
      <c r="P290" s="72"/>
      <c r="Q290" s="73"/>
    </row>
    <row r="291" spans="1:17" ht="12.75" customHeight="1">
      <c r="A291" s="110"/>
      <c r="B291" s="106" t="s">
        <v>17</v>
      </c>
      <c r="C291" s="104"/>
      <c r="D291" s="104"/>
      <c r="E291" s="107"/>
      <c r="F291" s="107"/>
      <c r="G291" s="107"/>
      <c r="H291" s="108"/>
      <c r="I291" s="108"/>
      <c r="J291" s="108"/>
      <c r="K291" s="108"/>
      <c r="L291" s="108"/>
      <c r="M291" s="108"/>
      <c r="N291" s="108"/>
      <c r="O291" s="108"/>
      <c r="P291" s="108"/>
      <c r="Q291" s="109"/>
    </row>
    <row r="292" spans="1:17" ht="12.75" customHeight="1">
      <c r="A292" s="111" t="s">
        <v>175</v>
      </c>
      <c r="B292" s="54" t="s">
        <v>94</v>
      </c>
      <c r="C292" s="65" t="s">
        <v>167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103"/>
    </row>
    <row r="293" spans="1:17" ht="12.75" customHeight="1">
      <c r="A293" s="111"/>
      <c r="B293" s="58" t="s">
        <v>96</v>
      </c>
      <c r="C293" s="65" t="s">
        <v>168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103"/>
    </row>
    <row r="294" spans="1:17" ht="12.75" customHeight="1">
      <c r="A294" s="111"/>
      <c r="B294" s="58" t="s">
        <v>98</v>
      </c>
      <c r="C294" s="65" t="s">
        <v>169</v>
      </c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103"/>
    </row>
    <row r="295" spans="1:17" ht="12.75" customHeight="1">
      <c r="A295" s="111"/>
      <c r="B295" s="58" t="s">
        <v>110</v>
      </c>
      <c r="C295" s="65" t="s">
        <v>170</v>
      </c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103"/>
    </row>
    <row r="296" spans="1:17" ht="12.75" customHeight="1">
      <c r="A296" s="111"/>
      <c r="B296" s="64" t="s">
        <v>100</v>
      </c>
      <c r="C296" s="60" t="s">
        <v>176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103"/>
    </row>
    <row r="297" spans="1:17" ht="12.75" customHeight="1">
      <c r="A297" s="111"/>
      <c r="B297" s="66" t="s">
        <v>102</v>
      </c>
      <c r="C297" s="89"/>
      <c r="D297" s="89"/>
      <c r="E297" s="68">
        <f>E298+E299</f>
        <v>4828064</v>
      </c>
      <c r="F297" s="68">
        <f>F298+F299</f>
        <v>1658923</v>
      </c>
      <c r="G297" s="68">
        <f>G298+G299</f>
        <v>3169141</v>
      </c>
      <c r="H297" s="68">
        <f>H298</f>
        <v>4828064</v>
      </c>
      <c r="I297" s="68">
        <f aca="true" t="shared" si="23" ref="I297:Q297">I298</f>
        <v>1658923</v>
      </c>
      <c r="J297" s="68">
        <f t="shared" si="23"/>
        <v>0</v>
      </c>
      <c r="K297" s="68">
        <f t="shared" si="23"/>
        <v>0</v>
      </c>
      <c r="L297" s="68">
        <f t="shared" si="23"/>
        <v>1658923</v>
      </c>
      <c r="M297" s="68">
        <f t="shared" si="23"/>
        <v>3169141</v>
      </c>
      <c r="N297" s="68">
        <f t="shared" si="23"/>
        <v>0</v>
      </c>
      <c r="O297" s="68">
        <f t="shared" si="23"/>
        <v>0</v>
      </c>
      <c r="P297" s="68">
        <f t="shared" si="23"/>
        <v>0</v>
      </c>
      <c r="Q297" s="69">
        <f t="shared" si="23"/>
        <v>3169141</v>
      </c>
    </row>
    <row r="298" spans="1:17" ht="12.75" customHeight="1">
      <c r="A298" s="111"/>
      <c r="B298" s="54" t="s">
        <v>103</v>
      </c>
      <c r="C298" s="70"/>
      <c r="D298" s="70"/>
      <c r="E298" s="68">
        <f>F298+G298</f>
        <v>4828064</v>
      </c>
      <c r="F298" s="68">
        <f>I298</f>
        <v>1658923</v>
      </c>
      <c r="G298" s="68">
        <f>M298</f>
        <v>3169141</v>
      </c>
      <c r="H298" s="68">
        <f>I298+M298</f>
        <v>4828064</v>
      </c>
      <c r="I298" s="68">
        <f>L298</f>
        <v>1658923</v>
      </c>
      <c r="J298" s="105"/>
      <c r="K298" s="105"/>
      <c r="L298" s="68">
        <v>1658923</v>
      </c>
      <c r="M298" s="68">
        <f>SUM(N298:Q298)</f>
        <v>3169141</v>
      </c>
      <c r="N298" s="105"/>
      <c r="O298" s="105"/>
      <c r="P298" s="105"/>
      <c r="Q298" s="69">
        <v>3169141</v>
      </c>
    </row>
    <row r="299" spans="1:17" ht="12.75" customHeight="1">
      <c r="A299" s="111"/>
      <c r="B299" s="58" t="s">
        <v>16</v>
      </c>
      <c r="C299" s="70"/>
      <c r="D299" s="70"/>
      <c r="E299" s="71">
        <f>F299+G299</f>
        <v>0</v>
      </c>
      <c r="F299" s="74"/>
      <c r="G299" s="71">
        <v>0</v>
      </c>
      <c r="H299" s="72"/>
      <c r="I299" s="72"/>
      <c r="J299" s="72"/>
      <c r="K299" s="72"/>
      <c r="L299" s="72"/>
      <c r="M299" s="72"/>
      <c r="N299" s="72"/>
      <c r="O299" s="72"/>
      <c r="P299" s="72"/>
      <c r="Q299" s="73"/>
    </row>
    <row r="300" spans="1:17" ht="13.5" customHeight="1">
      <c r="A300" s="111"/>
      <c r="B300" s="77" t="s">
        <v>17</v>
      </c>
      <c r="C300" s="70"/>
      <c r="D300" s="70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  <c r="O300" s="113"/>
      <c r="P300" s="113"/>
      <c r="Q300" s="114"/>
    </row>
    <row r="301" spans="1:17" ht="13.5" customHeight="1">
      <c r="A301" s="115" t="s">
        <v>47</v>
      </c>
      <c r="B301" s="115"/>
      <c r="C301" s="115"/>
      <c r="D301" s="115"/>
      <c r="E301" s="116">
        <f aca="true" t="shared" si="24" ref="E301:Q301">E273+E15</f>
        <v>28177986</v>
      </c>
      <c r="F301" s="116">
        <f t="shared" si="24"/>
        <v>6890439</v>
      </c>
      <c r="G301" s="116">
        <f t="shared" si="24"/>
        <v>21530793</v>
      </c>
      <c r="H301" s="116">
        <f t="shared" si="24"/>
        <v>12761667</v>
      </c>
      <c r="I301" s="116">
        <f t="shared" si="24"/>
        <v>3877097</v>
      </c>
      <c r="J301" s="116">
        <f t="shared" si="24"/>
        <v>0</v>
      </c>
      <c r="K301" s="116">
        <f t="shared" si="24"/>
        <v>0</v>
      </c>
      <c r="L301" s="116">
        <f t="shared" si="24"/>
        <v>3877097</v>
      </c>
      <c r="M301" s="116">
        <f t="shared" si="24"/>
        <v>8884570</v>
      </c>
      <c r="N301" s="116">
        <f t="shared" si="24"/>
        <v>0</v>
      </c>
      <c r="O301" s="116">
        <f t="shared" si="24"/>
        <v>0</v>
      </c>
      <c r="P301" s="116">
        <f t="shared" si="24"/>
        <v>0</v>
      </c>
      <c r="Q301" s="117">
        <f t="shared" si="24"/>
        <v>8884570</v>
      </c>
    </row>
    <row r="302" spans="1:17" ht="12.75" customHeight="1">
      <c r="A302" s="118" t="s">
        <v>177</v>
      </c>
      <c r="B302" s="118"/>
      <c r="C302" s="118"/>
      <c r="D302" s="118"/>
      <c r="E302" s="118"/>
      <c r="F302" s="118"/>
      <c r="G302" s="118"/>
      <c r="H302" s="118"/>
      <c r="I302" s="118"/>
      <c r="J302" s="118"/>
      <c r="K302" s="119"/>
      <c r="L302" s="119"/>
      <c r="M302" s="119"/>
      <c r="N302" s="119"/>
      <c r="O302" s="119"/>
      <c r="P302" s="119"/>
      <c r="Q302" s="120"/>
    </row>
    <row r="303" spans="1:17" ht="12.75" customHeight="1">
      <c r="A303" s="121" t="s">
        <v>178</v>
      </c>
      <c r="B303" s="122"/>
      <c r="C303" s="122"/>
      <c r="D303" s="122"/>
      <c r="E303" s="122"/>
      <c r="F303" s="122"/>
      <c r="G303" s="122"/>
      <c r="H303" s="122"/>
      <c r="I303" s="122"/>
      <c r="J303" s="122"/>
      <c r="K303" s="119"/>
      <c r="L303" s="119"/>
      <c r="M303" s="119"/>
      <c r="N303" s="119"/>
      <c r="O303" s="119"/>
      <c r="P303" s="119"/>
      <c r="Q303" s="120"/>
    </row>
    <row r="304" spans="1:17" ht="13.5" customHeight="1">
      <c r="A304" s="123" t="s">
        <v>179</v>
      </c>
      <c r="B304" s="124"/>
      <c r="C304" s="124"/>
      <c r="D304" s="124"/>
      <c r="E304" s="124"/>
      <c r="F304" s="124"/>
      <c r="G304" s="124"/>
      <c r="H304" s="124"/>
      <c r="I304" s="124"/>
      <c r="J304" s="124"/>
      <c r="K304" s="125"/>
      <c r="L304" s="125"/>
      <c r="M304" s="125"/>
      <c r="N304" s="125"/>
      <c r="O304" s="125"/>
      <c r="P304" s="125"/>
      <c r="Q304" s="126"/>
    </row>
  </sheetData>
  <mergeCells count="198"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C15:D15"/>
    <mergeCell ref="A16:A23"/>
    <mergeCell ref="C16:J16"/>
    <mergeCell ref="C17:Q17"/>
    <mergeCell ref="C19:J19"/>
    <mergeCell ref="C20:D20"/>
    <mergeCell ref="C21:D23"/>
    <mergeCell ref="A24:A31"/>
    <mergeCell ref="C24:J24"/>
    <mergeCell ref="C25:Q25"/>
    <mergeCell ref="C26:K26"/>
    <mergeCell ref="C27:M27"/>
    <mergeCell ref="C28:D28"/>
    <mergeCell ref="C29:D31"/>
    <mergeCell ref="A32:A39"/>
    <mergeCell ref="C32:J32"/>
    <mergeCell ref="C33:Q33"/>
    <mergeCell ref="C34:K34"/>
    <mergeCell ref="C36:D36"/>
    <mergeCell ref="C37:D39"/>
    <mergeCell ref="A40:A48"/>
    <mergeCell ref="C40:J40"/>
    <mergeCell ref="C41:Q41"/>
    <mergeCell ref="C42:K42"/>
    <mergeCell ref="C45:D45"/>
    <mergeCell ref="C46:D48"/>
    <mergeCell ref="A49:A56"/>
    <mergeCell ref="C49:J49"/>
    <mergeCell ref="C50:Q50"/>
    <mergeCell ref="C51:K51"/>
    <mergeCell ref="C53:D53"/>
    <mergeCell ref="C54:D56"/>
    <mergeCell ref="A57:A64"/>
    <mergeCell ref="C57:J57"/>
    <mergeCell ref="C58:Q58"/>
    <mergeCell ref="C59:K59"/>
    <mergeCell ref="C61:D61"/>
    <mergeCell ref="C62:D64"/>
    <mergeCell ref="A65:A72"/>
    <mergeCell ref="C65:J65"/>
    <mergeCell ref="C66:Q66"/>
    <mergeCell ref="C67:K67"/>
    <mergeCell ref="C69:D69"/>
    <mergeCell ref="C70:D72"/>
    <mergeCell ref="A73:A80"/>
    <mergeCell ref="C73:J73"/>
    <mergeCell ref="C74:Q74"/>
    <mergeCell ref="C75:K75"/>
    <mergeCell ref="C77:D77"/>
    <mergeCell ref="C78:D80"/>
    <mergeCell ref="A81:A88"/>
    <mergeCell ref="C81:J81"/>
    <mergeCell ref="C82:Q82"/>
    <mergeCell ref="C83:K83"/>
    <mergeCell ref="C85:D85"/>
    <mergeCell ref="C86:D88"/>
    <mergeCell ref="A89:A96"/>
    <mergeCell ref="C89:J89"/>
    <mergeCell ref="C90:Q90"/>
    <mergeCell ref="C91:K91"/>
    <mergeCell ref="C93:D93"/>
    <mergeCell ref="C94:D96"/>
    <mergeCell ref="A97:A104"/>
    <mergeCell ref="C101:D101"/>
    <mergeCell ref="C102:D104"/>
    <mergeCell ref="A105:A112"/>
    <mergeCell ref="C109:D109"/>
    <mergeCell ref="C110:D112"/>
    <mergeCell ref="A113:A120"/>
    <mergeCell ref="C114:Q114"/>
    <mergeCell ref="C117:D117"/>
    <mergeCell ref="C118:D120"/>
    <mergeCell ref="A121:A128"/>
    <mergeCell ref="C122:Q122"/>
    <mergeCell ref="C125:D125"/>
    <mergeCell ref="C126:D128"/>
    <mergeCell ref="A129:A137"/>
    <mergeCell ref="C130:Q130"/>
    <mergeCell ref="C134:D134"/>
    <mergeCell ref="C135:D137"/>
    <mergeCell ref="A138:A146"/>
    <mergeCell ref="C138:J138"/>
    <mergeCell ref="C139:Q139"/>
    <mergeCell ref="C140:K140"/>
    <mergeCell ref="C143:D143"/>
    <mergeCell ref="C144:D146"/>
    <mergeCell ref="A147:A155"/>
    <mergeCell ref="C147:J147"/>
    <mergeCell ref="C148:Q148"/>
    <mergeCell ref="C149:K149"/>
    <mergeCell ref="C152:D152"/>
    <mergeCell ref="C153:D155"/>
    <mergeCell ref="A156:A164"/>
    <mergeCell ref="C156:J156"/>
    <mergeCell ref="C157:Q157"/>
    <mergeCell ref="C158:K158"/>
    <mergeCell ref="C161:D161"/>
    <mergeCell ref="C162:D164"/>
    <mergeCell ref="A165:A173"/>
    <mergeCell ref="C165:J165"/>
    <mergeCell ref="C166:Q166"/>
    <mergeCell ref="C167:K167"/>
    <mergeCell ref="C170:D170"/>
    <mergeCell ref="C171:D173"/>
    <mergeCell ref="A174:A182"/>
    <mergeCell ref="C174:J174"/>
    <mergeCell ref="C175:Q175"/>
    <mergeCell ref="C176:K176"/>
    <mergeCell ref="C179:D179"/>
    <mergeCell ref="C180:D182"/>
    <mergeCell ref="A183:A191"/>
    <mergeCell ref="C183:J183"/>
    <mergeCell ref="C184:Q184"/>
    <mergeCell ref="C185:K185"/>
    <mergeCell ref="C188:D188"/>
    <mergeCell ref="C189:D191"/>
    <mergeCell ref="A192:A200"/>
    <mergeCell ref="C192:J192"/>
    <mergeCell ref="C193:Q193"/>
    <mergeCell ref="C194:K194"/>
    <mergeCell ref="C197:D197"/>
    <mergeCell ref="C198:D200"/>
    <mergeCell ref="A201:A209"/>
    <mergeCell ref="C201:J201"/>
    <mergeCell ref="C202:Q202"/>
    <mergeCell ref="C203:K203"/>
    <mergeCell ref="C206:D206"/>
    <mergeCell ref="C207:D209"/>
    <mergeCell ref="A210:A218"/>
    <mergeCell ref="C210:J210"/>
    <mergeCell ref="C211:Q211"/>
    <mergeCell ref="C212:K212"/>
    <mergeCell ref="C215:D215"/>
    <mergeCell ref="C216:D218"/>
    <mergeCell ref="A219:A227"/>
    <mergeCell ref="C219:J219"/>
    <mergeCell ref="C220:Q220"/>
    <mergeCell ref="C221:K221"/>
    <mergeCell ref="C224:D224"/>
    <mergeCell ref="C225:D227"/>
    <mergeCell ref="A228:A236"/>
    <mergeCell ref="C228:J228"/>
    <mergeCell ref="C229:Q229"/>
    <mergeCell ref="C230:K230"/>
    <mergeCell ref="C233:D233"/>
    <mergeCell ref="C234:D236"/>
    <mergeCell ref="A237:A245"/>
    <mergeCell ref="C237:J237"/>
    <mergeCell ref="C238:Q238"/>
    <mergeCell ref="C239:K239"/>
    <mergeCell ref="C242:D242"/>
    <mergeCell ref="C243:D245"/>
    <mergeCell ref="A246:A254"/>
    <mergeCell ref="C246:J246"/>
    <mergeCell ref="C248:Q248"/>
    <mergeCell ref="C251:D251"/>
    <mergeCell ref="C252:D254"/>
    <mergeCell ref="A255:A263"/>
    <mergeCell ref="C255:J255"/>
    <mergeCell ref="C257:Q257"/>
    <mergeCell ref="C260:D260"/>
    <mergeCell ref="C261:D263"/>
    <mergeCell ref="A264:A272"/>
    <mergeCell ref="C264:J264"/>
    <mergeCell ref="C266:Q266"/>
    <mergeCell ref="C269:D269"/>
    <mergeCell ref="C270:D272"/>
    <mergeCell ref="C273:D273"/>
    <mergeCell ref="A274:A282"/>
    <mergeCell ref="C279:D279"/>
    <mergeCell ref="C280:D282"/>
    <mergeCell ref="A283:A291"/>
    <mergeCell ref="C288:D288"/>
    <mergeCell ref="C289:D291"/>
    <mergeCell ref="A292:A300"/>
    <mergeCell ref="C297:D297"/>
    <mergeCell ref="C298:D300"/>
    <mergeCell ref="A301:D301"/>
    <mergeCell ref="A302:J302"/>
  </mergeCells>
  <printOptions/>
  <pageMargins left="0.19652777777777777" right="0.7083333333333334" top="0.7479166666666667" bottom="0.7479166666666667" header="0.5118055555555555" footer="0.5118055555555555"/>
  <pageSetup fitToHeight="4" fitToWidth="4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view="pageBreakPreview" zoomScaleSheetLayoutView="100" workbookViewId="0" topLeftCell="A176">
      <selection activeCell="F194" sqref="F194"/>
    </sheetView>
  </sheetViews>
  <sheetFormatPr defaultColWidth="9.140625" defaultRowHeight="12.75" customHeight="1"/>
  <cols>
    <col min="1" max="1" width="6.8515625" style="33" customWidth="1"/>
    <col min="2" max="2" width="7.7109375" style="33" customWidth="1"/>
    <col min="3" max="3" width="7.28125" style="33" customWidth="1"/>
    <col min="4" max="4" width="46.28125" style="33" customWidth="1"/>
    <col min="5" max="16384" width="8.7109375" style="33" customWidth="1"/>
  </cols>
  <sheetData>
    <row r="1" spans="1:7" ht="12.75" customHeight="1">
      <c r="A1" s="127"/>
      <c r="B1" s="127"/>
      <c r="C1" s="127"/>
      <c r="D1" s="127"/>
      <c r="E1" s="128"/>
      <c r="F1" s="129" t="s">
        <v>0</v>
      </c>
      <c r="G1" s="127"/>
    </row>
    <row r="2" spans="1:7" ht="12.75" customHeight="1">
      <c r="A2" s="127"/>
      <c r="B2" s="127"/>
      <c r="C2" s="127"/>
      <c r="D2" s="127"/>
      <c r="E2" s="128"/>
      <c r="F2" s="129" t="s">
        <v>180</v>
      </c>
      <c r="G2" s="127"/>
    </row>
    <row r="3" spans="1:7" ht="12.75" customHeight="1">
      <c r="A3" s="127"/>
      <c r="B3" s="127"/>
      <c r="C3" s="127"/>
      <c r="D3" s="127"/>
      <c r="E3" s="128"/>
      <c r="F3" s="129" t="s">
        <v>181</v>
      </c>
      <c r="G3" s="127"/>
    </row>
    <row r="4" spans="1:7" ht="12.75" customHeight="1">
      <c r="A4" s="127"/>
      <c r="B4" s="127"/>
      <c r="C4" s="127"/>
      <c r="D4" s="127"/>
      <c r="E4" s="128"/>
      <c r="F4" s="129" t="s">
        <v>182</v>
      </c>
      <c r="G4" s="127"/>
    </row>
    <row r="5" spans="1:7" ht="12.75" customHeight="1">
      <c r="A5" s="127"/>
      <c r="B5" s="127"/>
      <c r="C5" s="127"/>
      <c r="D5" s="127"/>
      <c r="E5" s="127"/>
      <c r="F5" s="127"/>
      <c r="G5" s="127"/>
    </row>
    <row r="6" spans="1:7" ht="12.75" customHeight="1">
      <c r="A6" s="127"/>
      <c r="B6" s="127"/>
      <c r="C6" s="127"/>
      <c r="D6" s="127"/>
      <c r="E6" s="127"/>
      <c r="F6" s="127"/>
      <c r="G6" s="127"/>
    </row>
    <row r="7" spans="1:7" ht="12.75" customHeight="1">
      <c r="A7" s="127"/>
      <c r="B7" s="127"/>
      <c r="C7" s="127"/>
      <c r="D7" s="127"/>
      <c r="E7" s="127"/>
      <c r="F7" s="127"/>
      <c r="G7" s="127"/>
    </row>
    <row r="8" spans="1:7" ht="12.75" customHeight="1">
      <c r="A8" s="127"/>
      <c r="B8" s="127"/>
      <c r="C8" s="127"/>
      <c r="D8" s="127"/>
      <c r="E8" s="127"/>
      <c r="F8" s="127"/>
      <c r="G8" s="127"/>
    </row>
    <row r="9" spans="1:7" ht="15.75" customHeight="1">
      <c r="A9" s="130" t="s">
        <v>183</v>
      </c>
      <c r="B9" s="130"/>
      <c r="C9" s="130"/>
      <c r="D9" s="130"/>
      <c r="E9" s="130"/>
      <c r="F9" s="130"/>
      <c r="G9" s="127"/>
    </row>
    <row r="10" spans="1:7" ht="15.75" customHeight="1">
      <c r="A10" s="131" t="s">
        <v>184</v>
      </c>
      <c r="B10" s="131"/>
      <c r="C10" s="131"/>
      <c r="D10" s="131"/>
      <c r="E10" s="131"/>
      <c r="F10" s="131"/>
      <c r="G10" s="127"/>
    </row>
    <row r="11" spans="1:7" ht="15.75" customHeight="1">
      <c r="A11" s="131" t="s">
        <v>185</v>
      </c>
      <c r="B11" s="131"/>
      <c r="C11" s="131"/>
      <c r="D11" s="131"/>
      <c r="E11" s="131"/>
      <c r="F11" s="131"/>
      <c r="G11" s="127"/>
    </row>
    <row r="12" spans="1:7" ht="12.75" customHeight="1">
      <c r="A12" s="127"/>
      <c r="B12" s="132"/>
      <c r="C12" s="132"/>
      <c r="D12" s="132"/>
      <c r="E12" s="132"/>
      <c r="F12" s="132"/>
      <c r="G12" s="127"/>
    </row>
    <row r="13" spans="1:7" ht="13.5" customHeight="1">
      <c r="A13" s="127"/>
      <c r="B13" s="127"/>
      <c r="C13" s="127"/>
      <c r="D13" s="127"/>
      <c r="E13" s="133"/>
      <c r="F13" s="133"/>
      <c r="G13" s="134"/>
    </row>
    <row r="14" spans="1:7" ht="12.75" customHeight="1">
      <c r="A14" s="135"/>
      <c r="B14" s="136"/>
      <c r="C14" s="136"/>
      <c r="D14" s="137"/>
      <c r="E14" s="138"/>
      <c r="F14" s="139"/>
      <c r="G14" s="140" t="s">
        <v>186</v>
      </c>
    </row>
    <row r="15" spans="1:7" ht="12.75" customHeight="1">
      <c r="A15" s="141" t="s">
        <v>187</v>
      </c>
      <c r="B15" s="142" t="s">
        <v>8</v>
      </c>
      <c r="C15" s="143" t="s">
        <v>188</v>
      </c>
      <c r="D15" s="143" t="s">
        <v>189</v>
      </c>
      <c r="E15" s="143" t="s">
        <v>190</v>
      </c>
      <c r="F15" s="144" t="s">
        <v>191</v>
      </c>
      <c r="G15" s="145" t="s">
        <v>192</v>
      </c>
    </row>
    <row r="16" spans="1:7" ht="12.75" customHeight="1">
      <c r="A16" s="141"/>
      <c r="B16" s="142"/>
      <c r="C16" s="143"/>
      <c r="D16" s="143"/>
      <c r="E16" s="143"/>
      <c r="F16" s="144"/>
      <c r="G16" s="145" t="s">
        <v>193</v>
      </c>
    </row>
    <row r="17" spans="1:7" ht="13.5" customHeight="1">
      <c r="A17" s="146"/>
      <c r="B17" s="147"/>
      <c r="C17" s="148"/>
      <c r="D17" s="149"/>
      <c r="E17" s="149"/>
      <c r="F17" s="150"/>
      <c r="G17" s="151" t="s">
        <v>194</v>
      </c>
    </row>
    <row r="18" spans="1:7" ht="13.5" customHeight="1">
      <c r="A18" s="152">
        <v>1</v>
      </c>
      <c r="B18" s="153">
        <v>2</v>
      </c>
      <c r="C18" s="154">
        <v>3</v>
      </c>
      <c r="D18" s="154">
        <v>4</v>
      </c>
      <c r="E18" s="154">
        <v>5</v>
      </c>
      <c r="F18" s="155">
        <v>6</v>
      </c>
      <c r="G18" s="156">
        <v>7</v>
      </c>
    </row>
    <row r="19" spans="1:7" ht="13.5" customHeight="1">
      <c r="A19" s="157" t="s">
        <v>195</v>
      </c>
      <c r="B19" s="158"/>
      <c r="C19" s="159"/>
      <c r="D19" s="160" t="s">
        <v>196</v>
      </c>
      <c r="E19" s="161">
        <f>E20+E27</f>
        <v>56495</v>
      </c>
      <c r="F19" s="161">
        <f>F20+F27</f>
        <v>56495</v>
      </c>
      <c r="G19" s="162">
        <f>G20</f>
        <v>90</v>
      </c>
    </row>
    <row r="20" spans="1:7" ht="12.75" customHeight="1">
      <c r="A20" s="163"/>
      <c r="B20" s="164" t="s">
        <v>197</v>
      </c>
      <c r="C20" s="165"/>
      <c r="D20" s="166" t="s">
        <v>198</v>
      </c>
      <c r="E20" s="167">
        <f>E21</f>
        <v>38000</v>
      </c>
      <c r="F20" s="168">
        <f>SUM(F21:F22)</f>
        <v>38000</v>
      </c>
      <c r="G20" s="169">
        <f>G25</f>
        <v>90</v>
      </c>
    </row>
    <row r="21" spans="1:7" ht="12.75" customHeight="1">
      <c r="A21" s="163"/>
      <c r="B21" s="170"/>
      <c r="C21" s="171" t="s">
        <v>199</v>
      </c>
      <c r="D21" s="172" t="s">
        <v>200</v>
      </c>
      <c r="E21" s="173">
        <v>38000</v>
      </c>
      <c r="F21" s="174"/>
      <c r="G21" s="175"/>
    </row>
    <row r="22" spans="1:7" ht="12.75" customHeight="1">
      <c r="A22" s="163"/>
      <c r="B22" s="170"/>
      <c r="C22" s="171" t="s">
        <v>201</v>
      </c>
      <c r="D22" s="172" t="s">
        <v>202</v>
      </c>
      <c r="E22" s="173"/>
      <c r="F22" s="174">
        <v>38000</v>
      </c>
      <c r="G22" s="175"/>
    </row>
    <row r="23" spans="1:7" ht="12.75" customHeight="1">
      <c r="A23" s="163"/>
      <c r="B23" s="170"/>
      <c r="C23" s="171"/>
      <c r="D23" s="172"/>
      <c r="E23" s="173"/>
      <c r="F23" s="174"/>
      <c r="G23" s="175"/>
    </row>
    <row r="24" spans="1:7" ht="12.75" customHeight="1">
      <c r="A24" s="163"/>
      <c r="B24" s="164" t="s">
        <v>203</v>
      </c>
      <c r="C24" s="176"/>
      <c r="D24" s="177" t="s">
        <v>204</v>
      </c>
      <c r="E24" s="178"/>
      <c r="F24" s="168"/>
      <c r="G24" s="179">
        <f>G25</f>
        <v>90</v>
      </c>
    </row>
    <row r="25" spans="1:7" ht="12.75" customHeight="1">
      <c r="A25" s="163"/>
      <c r="B25" s="170"/>
      <c r="C25" s="171" t="s">
        <v>205</v>
      </c>
      <c r="D25" s="172" t="s">
        <v>206</v>
      </c>
      <c r="E25" s="173"/>
      <c r="F25" s="174"/>
      <c r="G25" s="175">
        <v>90</v>
      </c>
    </row>
    <row r="26" spans="1:7" ht="12.75" customHeight="1">
      <c r="A26" s="163"/>
      <c r="B26" s="170"/>
      <c r="C26" s="171"/>
      <c r="D26" s="172"/>
      <c r="E26" s="173"/>
      <c r="F26" s="174"/>
      <c r="G26" s="175"/>
    </row>
    <row r="27" spans="1:7" ht="12.75" customHeight="1">
      <c r="A27" s="163"/>
      <c r="B27" s="164" t="s">
        <v>207</v>
      </c>
      <c r="C27" s="176"/>
      <c r="D27" s="177" t="s">
        <v>208</v>
      </c>
      <c r="E27" s="178">
        <f>E28</f>
        <v>18495</v>
      </c>
      <c r="F27" s="168">
        <f>F30+F31+F29</f>
        <v>18495</v>
      </c>
      <c r="G27" s="179"/>
    </row>
    <row r="28" spans="1:7" ht="12.75" customHeight="1">
      <c r="A28" s="163"/>
      <c r="B28" s="171"/>
      <c r="C28" s="180" t="s">
        <v>199</v>
      </c>
      <c r="D28" s="172" t="s">
        <v>200</v>
      </c>
      <c r="E28" s="173">
        <v>18495</v>
      </c>
      <c r="F28" s="174"/>
      <c r="G28" s="175"/>
    </row>
    <row r="29" spans="1:7" ht="12.75" customHeight="1">
      <c r="A29" s="163"/>
      <c r="B29" s="171"/>
      <c r="C29" s="180" t="s">
        <v>201</v>
      </c>
      <c r="D29" s="172" t="s">
        <v>202</v>
      </c>
      <c r="E29" s="173"/>
      <c r="F29" s="174">
        <v>3600</v>
      </c>
      <c r="G29" s="175"/>
    </row>
    <row r="30" spans="1:7" ht="12.75" customHeight="1">
      <c r="A30" s="163"/>
      <c r="B30" s="170"/>
      <c r="C30" s="171" t="s">
        <v>209</v>
      </c>
      <c r="D30" s="181" t="s">
        <v>210</v>
      </c>
      <c r="E30" s="173"/>
      <c r="F30" s="174">
        <v>2555</v>
      </c>
      <c r="G30" s="175"/>
    </row>
    <row r="31" spans="1:7" ht="12.75" customHeight="1">
      <c r="A31" s="163"/>
      <c r="B31" s="170"/>
      <c r="C31" s="171" t="s">
        <v>211</v>
      </c>
      <c r="D31" s="172" t="s">
        <v>212</v>
      </c>
      <c r="E31" s="173"/>
      <c r="F31" s="174">
        <v>12340</v>
      </c>
      <c r="G31" s="175"/>
    </row>
    <row r="32" spans="1:7" ht="12.75" customHeight="1">
      <c r="A32" s="182"/>
      <c r="B32" s="170"/>
      <c r="C32" s="183"/>
      <c r="D32" s="172"/>
      <c r="E32" s="173"/>
      <c r="F32" s="174"/>
      <c r="G32" s="175"/>
    </row>
    <row r="33" spans="1:7" ht="13.5" customHeight="1">
      <c r="A33" s="184">
        <v>700</v>
      </c>
      <c r="B33" s="158"/>
      <c r="C33" s="159"/>
      <c r="D33" s="185" t="s">
        <v>213</v>
      </c>
      <c r="E33" s="161">
        <f>E34</f>
        <v>23000</v>
      </c>
      <c r="F33" s="186">
        <f>F34</f>
        <v>23000</v>
      </c>
      <c r="G33" s="187">
        <f>G34</f>
        <v>248000</v>
      </c>
    </row>
    <row r="34" spans="1:7" ht="12.75" customHeight="1">
      <c r="A34" s="182"/>
      <c r="B34" s="188">
        <v>70005</v>
      </c>
      <c r="C34" s="165"/>
      <c r="D34" s="177" t="s">
        <v>214</v>
      </c>
      <c r="E34" s="167">
        <f>E35</f>
        <v>23000</v>
      </c>
      <c r="F34" s="168">
        <f>SUM(F37:F41)</f>
        <v>23000</v>
      </c>
      <c r="G34" s="169">
        <f>G36</f>
        <v>248000</v>
      </c>
    </row>
    <row r="35" spans="1:7" ht="12.75" customHeight="1">
      <c r="A35" s="182"/>
      <c r="B35" s="170"/>
      <c r="C35" s="171" t="s">
        <v>199</v>
      </c>
      <c r="D35" s="172" t="s">
        <v>200</v>
      </c>
      <c r="E35" s="173">
        <v>23000</v>
      </c>
      <c r="F35" s="174"/>
      <c r="G35" s="175"/>
    </row>
    <row r="36" spans="1:7" ht="12.75" customHeight="1">
      <c r="A36" s="182"/>
      <c r="B36" s="170"/>
      <c r="C36" s="171" t="s">
        <v>205</v>
      </c>
      <c r="D36" s="172" t="s">
        <v>206</v>
      </c>
      <c r="E36" s="173"/>
      <c r="F36" s="174"/>
      <c r="G36" s="175">
        <v>248000</v>
      </c>
    </row>
    <row r="37" spans="1:7" ht="12.75" customHeight="1">
      <c r="A37" s="182"/>
      <c r="B37" s="170"/>
      <c r="C37" s="189">
        <v>4210</v>
      </c>
      <c r="D37" s="181" t="s">
        <v>215</v>
      </c>
      <c r="E37" s="173"/>
      <c r="F37" s="174">
        <v>2111</v>
      </c>
      <c r="G37" s="175"/>
    </row>
    <row r="38" spans="1:7" ht="12.75" customHeight="1">
      <c r="A38" s="182"/>
      <c r="B38" s="170"/>
      <c r="C38" s="171" t="s">
        <v>216</v>
      </c>
      <c r="D38" s="172" t="s">
        <v>217</v>
      </c>
      <c r="E38" s="173"/>
      <c r="F38" s="190">
        <v>4014</v>
      </c>
      <c r="G38" s="175"/>
    </row>
    <row r="39" spans="1:7" ht="12.75" customHeight="1">
      <c r="A39" s="182"/>
      <c r="B39" s="170"/>
      <c r="C39" s="171" t="s">
        <v>201</v>
      </c>
      <c r="D39" s="172" t="s">
        <v>202</v>
      </c>
      <c r="E39" s="173"/>
      <c r="F39" s="190">
        <v>10094</v>
      </c>
      <c r="G39" s="175"/>
    </row>
    <row r="40" spans="1:7" ht="12.75" customHeight="1">
      <c r="A40" s="182"/>
      <c r="B40" s="170"/>
      <c r="C40" s="171" t="s">
        <v>218</v>
      </c>
      <c r="D40" s="172" t="s">
        <v>219</v>
      </c>
      <c r="E40" s="173"/>
      <c r="F40" s="190">
        <f>3000+2181</f>
        <v>5181</v>
      </c>
      <c r="G40" s="191"/>
    </row>
    <row r="41" spans="1:7" ht="12.75" customHeight="1">
      <c r="A41" s="182"/>
      <c r="B41" s="170"/>
      <c r="C41" s="171" t="s">
        <v>220</v>
      </c>
      <c r="D41" s="181" t="s">
        <v>221</v>
      </c>
      <c r="E41" s="173"/>
      <c r="F41" s="190">
        <f>2000-400</f>
        <v>1600</v>
      </c>
      <c r="G41" s="191"/>
    </row>
    <row r="42" spans="1:7" ht="12.75" customHeight="1">
      <c r="A42" s="182"/>
      <c r="B42" s="170"/>
      <c r="C42" s="171"/>
      <c r="D42" s="172"/>
      <c r="E42" s="173"/>
      <c r="F42" s="174"/>
      <c r="G42" s="191"/>
    </row>
    <row r="43" spans="1:7" ht="13.5" customHeight="1">
      <c r="A43" s="184">
        <v>710</v>
      </c>
      <c r="B43" s="158"/>
      <c r="C43" s="192"/>
      <c r="D43" s="185" t="s">
        <v>222</v>
      </c>
      <c r="E43" s="161" t="e">
        <f>E44+E49+E53</f>
        <v>#NAME?</v>
      </c>
      <c r="F43" s="186" t="e">
        <f>F44+F49+F53</f>
        <v>#NAME?</v>
      </c>
      <c r="G43" s="191"/>
    </row>
    <row r="44" spans="1:7" ht="12.75" customHeight="1">
      <c r="A44" s="182"/>
      <c r="B44" s="188">
        <v>71013</v>
      </c>
      <c r="C44" s="176"/>
      <c r="D44" s="177" t="s">
        <v>223</v>
      </c>
      <c r="E44" s="167">
        <f>E45</f>
        <v>45000</v>
      </c>
      <c r="F44" s="168">
        <f>SUM(F46:F47)</f>
        <v>45000</v>
      </c>
      <c r="G44" s="191"/>
    </row>
    <row r="45" spans="1:7" ht="12.75" customHeight="1">
      <c r="A45" s="182"/>
      <c r="B45" s="170"/>
      <c r="C45" s="171" t="s">
        <v>199</v>
      </c>
      <c r="D45" s="172" t="s">
        <v>200</v>
      </c>
      <c r="E45" s="173">
        <v>45000</v>
      </c>
      <c r="F45" s="174"/>
      <c r="G45" s="191"/>
    </row>
    <row r="46" spans="1:7" ht="12.75" customHeight="1">
      <c r="A46" s="182"/>
      <c r="B46" s="170"/>
      <c r="C46" s="171" t="s">
        <v>201</v>
      </c>
      <c r="D46" s="172" t="s">
        <v>202</v>
      </c>
      <c r="E46" s="173"/>
      <c r="F46" s="174">
        <v>43000</v>
      </c>
      <c r="G46" s="191"/>
    </row>
    <row r="47" spans="1:7" ht="12.75" customHeight="1">
      <c r="A47" s="182"/>
      <c r="B47" s="170"/>
      <c r="C47" s="171" t="s">
        <v>220</v>
      </c>
      <c r="D47" s="181" t="s">
        <v>224</v>
      </c>
      <c r="E47" s="173"/>
      <c r="F47" s="174">
        <v>2000</v>
      </c>
      <c r="G47" s="191"/>
    </row>
    <row r="48" spans="1:7" ht="12.75" customHeight="1">
      <c r="A48" s="182"/>
      <c r="B48" s="170"/>
      <c r="C48" s="171"/>
      <c r="D48" s="172"/>
      <c r="E48" s="173"/>
      <c r="F48" s="174"/>
      <c r="G48" s="191"/>
    </row>
    <row r="49" spans="1:7" ht="12.75" customHeight="1">
      <c r="A49" s="182"/>
      <c r="B49" s="188">
        <v>71014</v>
      </c>
      <c r="C49" s="176"/>
      <c r="D49" s="177" t="s">
        <v>225</v>
      </c>
      <c r="E49" s="167" t="e">
        <f>E50</f>
        <v>#NAME?</v>
      </c>
      <c r="F49" s="168" t="e">
        <f>SUM(F51)</f>
        <v>#NAME?</v>
      </c>
      <c r="G49" s="191"/>
    </row>
    <row r="50" spans="1:7" ht="12.75" customHeight="1">
      <c r="A50" s="182"/>
      <c r="B50" s="170"/>
      <c r="C50" s="171" t="s">
        <v>199</v>
      </c>
      <c r="D50" s="172" t="s">
        <v>200</v>
      </c>
      <c r="E50" s="173" t="e">
        <f>"'[1]dochody-ukł.wykon.'!f60"</f>
        <v>#NAME?</v>
      </c>
      <c r="F50" s="174"/>
      <c r="G50" s="191"/>
    </row>
    <row r="51" spans="1:7" ht="12.75" customHeight="1">
      <c r="A51" s="182"/>
      <c r="B51" s="170"/>
      <c r="C51" s="171" t="s">
        <v>201</v>
      </c>
      <c r="D51" s="172" t="s">
        <v>202</v>
      </c>
      <c r="E51" s="173"/>
      <c r="F51" s="174" t="e">
        <f>"'[1]wydatki ukł.wyk.'!f95"</f>
        <v>#NAME?</v>
      </c>
      <c r="G51" s="191"/>
    </row>
    <row r="52" spans="1:7" ht="12.75" customHeight="1">
      <c r="A52" s="182"/>
      <c r="B52" s="170"/>
      <c r="C52" s="171"/>
      <c r="D52" s="172"/>
      <c r="E52" s="173"/>
      <c r="F52" s="174"/>
      <c r="G52" s="191"/>
    </row>
    <row r="53" spans="1:7" ht="12.75" customHeight="1">
      <c r="A53" s="182"/>
      <c r="B53" s="188">
        <v>71015</v>
      </c>
      <c r="C53" s="165"/>
      <c r="D53" s="177" t="s">
        <v>226</v>
      </c>
      <c r="E53" s="167">
        <f>SUM(E54:E54)</f>
        <v>304987</v>
      </c>
      <c r="F53" s="168">
        <f>SUM(F55:F71)</f>
        <v>304987</v>
      </c>
      <c r="G53" s="191"/>
    </row>
    <row r="54" spans="1:7" ht="12.75" customHeight="1">
      <c r="A54" s="182"/>
      <c r="B54" s="170"/>
      <c r="C54" s="193">
        <v>2110</v>
      </c>
      <c r="D54" s="172" t="s">
        <v>200</v>
      </c>
      <c r="E54" s="173">
        <v>304987</v>
      </c>
      <c r="F54" s="174"/>
      <c r="G54" s="191"/>
    </row>
    <row r="55" spans="1:7" ht="12.75" customHeight="1">
      <c r="A55" s="182"/>
      <c r="B55" s="170"/>
      <c r="C55" s="189">
        <v>4010</v>
      </c>
      <c r="D55" s="181" t="s">
        <v>227</v>
      </c>
      <c r="E55" s="173"/>
      <c r="F55" s="174">
        <v>74578</v>
      </c>
      <c r="G55" s="191"/>
    </row>
    <row r="56" spans="1:7" ht="12.75" customHeight="1">
      <c r="A56" s="182"/>
      <c r="B56" s="170"/>
      <c r="C56" s="189">
        <v>4020</v>
      </c>
      <c r="D56" s="181" t="s">
        <v>228</v>
      </c>
      <c r="E56" s="173"/>
      <c r="F56" s="174">
        <f>148626-3232</f>
        <v>145394</v>
      </c>
      <c r="G56" s="191"/>
    </row>
    <row r="57" spans="1:7" ht="12.75" customHeight="1">
      <c r="A57" s="182"/>
      <c r="B57" s="170"/>
      <c r="C57" s="189">
        <v>4040</v>
      </c>
      <c r="D57" s="181" t="s">
        <v>229</v>
      </c>
      <c r="E57" s="173"/>
      <c r="F57" s="174">
        <v>17759</v>
      </c>
      <c r="G57" s="191"/>
    </row>
    <row r="58" spans="1:7" ht="12.75" customHeight="1">
      <c r="A58" s="182"/>
      <c r="B58" s="170"/>
      <c r="C58" s="189">
        <v>4110</v>
      </c>
      <c r="D58" s="181" t="s">
        <v>230</v>
      </c>
      <c r="E58" s="173"/>
      <c r="F58" s="174">
        <v>35996</v>
      </c>
      <c r="G58" s="191"/>
    </row>
    <row r="59" spans="1:7" ht="12.75" customHeight="1">
      <c r="A59" s="182"/>
      <c r="B59" s="170"/>
      <c r="C59" s="189">
        <v>4120</v>
      </c>
      <c r="D59" s="181" t="s">
        <v>231</v>
      </c>
      <c r="E59" s="173"/>
      <c r="F59" s="174">
        <v>2590</v>
      </c>
      <c r="G59" s="191"/>
    </row>
    <row r="60" spans="1:7" ht="12.75" customHeight="1">
      <c r="A60" s="182"/>
      <c r="B60" s="170"/>
      <c r="C60" s="189">
        <v>4210</v>
      </c>
      <c r="D60" s="181" t="s">
        <v>215</v>
      </c>
      <c r="E60" s="173"/>
      <c r="F60" s="174">
        <f>1648+552</f>
        <v>2200</v>
      </c>
      <c r="G60" s="191"/>
    </row>
    <row r="61" spans="1:7" ht="12.75" customHeight="1">
      <c r="A61" s="182"/>
      <c r="B61" s="170"/>
      <c r="C61" s="183">
        <v>4270</v>
      </c>
      <c r="D61" s="181" t="s">
        <v>217</v>
      </c>
      <c r="E61" s="173"/>
      <c r="F61" s="174">
        <v>0</v>
      </c>
      <c r="G61" s="191"/>
    </row>
    <row r="62" spans="1:7" ht="12.75" customHeight="1">
      <c r="A62" s="182"/>
      <c r="B62" s="170"/>
      <c r="C62" s="189">
        <v>4280</v>
      </c>
      <c r="D62" s="181" t="s">
        <v>232</v>
      </c>
      <c r="E62" s="173"/>
      <c r="F62" s="174">
        <v>220</v>
      </c>
      <c r="G62" s="191"/>
    </row>
    <row r="63" spans="1:7" ht="12.75" customHeight="1">
      <c r="A63" s="182"/>
      <c r="B63" s="170"/>
      <c r="C63" s="194" t="s">
        <v>201</v>
      </c>
      <c r="D63" s="181" t="s">
        <v>202</v>
      </c>
      <c r="E63" s="173"/>
      <c r="F63" s="174">
        <f>2874+2000</f>
        <v>4874</v>
      </c>
      <c r="G63" s="191"/>
    </row>
    <row r="64" spans="1:7" ht="12.75" customHeight="1">
      <c r="A64" s="182"/>
      <c r="B64" s="170"/>
      <c r="C64" s="183">
        <v>4350</v>
      </c>
      <c r="D64" s="181" t="s">
        <v>233</v>
      </c>
      <c r="E64" s="173"/>
      <c r="F64" s="174">
        <v>2184</v>
      </c>
      <c r="G64" s="191"/>
    </row>
    <row r="65" spans="1:7" ht="12.75" customHeight="1">
      <c r="A65" s="182"/>
      <c r="B65" s="170"/>
      <c r="C65" s="183">
        <v>4360</v>
      </c>
      <c r="D65" s="181" t="s">
        <v>234</v>
      </c>
      <c r="E65" s="173"/>
      <c r="F65" s="174">
        <v>300</v>
      </c>
      <c r="G65" s="191"/>
    </row>
    <row r="66" spans="1:7" ht="12.75" customHeight="1">
      <c r="A66" s="182"/>
      <c r="B66" s="170"/>
      <c r="C66" s="183">
        <v>4370</v>
      </c>
      <c r="D66" s="181" t="s">
        <v>235</v>
      </c>
      <c r="E66" s="173"/>
      <c r="F66" s="174">
        <f>2796+460</f>
        <v>3256</v>
      </c>
      <c r="G66" s="191"/>
    </row>
    <row r="67" spans="1:7" ht="12.75" customHeight="1">
      <c r="A67" s="182"/>
      <c r="B67" s="170"/>
      <c r="C67" s="183">
        <v>4400</v>
      </c>
      <c r="D67" s="181" t="s">
        <v>236</v>
      </c>
      <c r="E67" s="173"/>
      <c r="F67" s="174">
        <v>6925</v>
      </c>
      <c r="G67" s="191"/>
    </row>
    <row r="68" spans="1:7" ht="12.75" customHeight="1">
      <c r="A68" s="182"/>
      <c r="B68" s="170"/>
      <c r="C68" s="194" t="s">
        <v>237</v>
      </c>
      <c r="D68" s="181" t="s">
        <v>238</v>
      </c>
      <c r="E68" s="173"/>
      <c r="F68" s="174">
        <v>1393</v>
      </c>
      <c r="G68" s="191"/>
    </row>
    <row r="69" spans="1:7" ht="12.75" customHeight="1">
      <c r="A69" s="182"/>
      <c r="B69" s="170"/>
      <c r="C69" s="194" t="s">
        <v>239</v>
      </c>
      <c r="D69" s="181" t="s">
        <v>240</v>
      </c>
      <c r="E69" s="173"/>
      <c r="F69" s="174">
        <v>4716</v>
      </c>
      <c r="G69" s="191"/>
    </row>
    <row r="70" spans="1:7" ht="12.75" customHeight="1">
      <c r="A70" s="182"/>
      <c r="B70" s="170"/>
      <c r="C70" s="180" t="s">
        <v>241</v>
      </c>
      <c r="D70" s="172" t="s">
        <v>242</v>
      </c>
      <c r="E70" s="173"/>
      <c r="F70" s="174">
        <v>0</v>
      </c>
      <c r="G70" s="191"/>
    </row>
    <row r="71" spans="1:7" ht="12.75" customHeight="1">
      <c r="A71" s="182"/>
      <c r="B71" s="170"/>
      <c r="C71" s="180" t="s">
        <v>243</v>
      </c>
      <c r="D71" s="181" t="s">
        <v>244</v>
      </c>
      <c r="E71" s="173"/>
      <c r="F71" s="174">
        <v>2602</v>
      </c>
      <c r="G71" s="191"/>
    </row>
    <row r="72" spans="1:7" ht="12.75" customHeight="1">
      <c r="A72" s="163"/>
      <c r="B72" s="195"/>
      <c r="C72" s="183"/>
      <c r="D72" s="172"/>
      <c r="E72" s="173"/>
      <c r="F72" s="174"/>
      <c r="G72" s="191"/>
    </row>
    <row r="73" spans="1:7" ht="13.5" customHeight="1">
      <c r="A73" s="184">
        <v>750</v>
      </c>
      <c r="B73" s="158"/>
      <c r="C73" s="159"/>
      <c r="D73" s="185" t="s">
        <v>245</v>
      </c>
      <c r="E73" s="161">
        <f>E74+E94</f>
        <v>197685</v>
      </c>
      <c r="F73" s="186">
        <f>F74+F94</f>
        <v>197685</v>
      </c>
      <c r="G73" s="191"/>
    </row>
    <row r="74" spans="1:7" ht="12.75" customHeight="1">
      <c r="A74" s="182"/>
      <c r="B74" s="188">
        <v>75011</v>
      </c>
      <c r="C74" s="165"/>
      <c r="D74" s="177" t="s">
        <v>246</v>
      </c>
      <c r="E74" s="167">
        <f>E75</f>
        <v>186019</v>
      </c>
      <c r="F74" s="168">
        <f>SUM(F76:F93)</f>
        <v>186019</v>
      </c>
      <c r="G74" s="191"/>
    </row>
    <row r="75" spans="1:7" ht="12.75" customHeight="1">
      <c r="A75" s="182"/>
      <c r="B75" s="170"/>
      <c r="C75" s="183">
        <v>2110</v>
      </c>
      <c r="D75" s="172" t="s">
        <v>200</v>
      </c>
      <c r="E75" s="173">
        <f>156019+30000</f>
        <v>186019</v>
      </c>
      <c r="F75" s="174"/>
      <c r="G75" s="191"/>
    </row>
    <row r="76" spans="1:7" ht="12.75" customHeight="1">
      <c r="A76" s="182"/>
      <c r="B76" s="170"/>
      <c r="C76" s="189">
        <v>3020</v>
      </c>
      <c r="D76" s="196" t="s">
        <v>247</v>
      </c>
      <c r="E76" s="197"/>
      <c r="F76" s="190">
        <v>0</v>
      </c>
      <c r="G76" s="191"/>
    </row>
    <row r="77" spans="1:7" ht="12.75" customHeight="1">
      <c r="A77" s="182"/>
      <c r="B77" s="170"/>
      <c r="C77" s="189">
        <v>4010</v>
      </c>
      <c r="D77" s="181" t="s">
        <v>227</v>
      </c>
      <c r="E77" s="173"/>
      <c r="F77" s="190">
        <v>130402</v>
      </c>
      <c r="G77" s="191"/>
    </row>
    <row r="78" spans="1:7" ht="12.75" customHeight="1">
      <c r="A78" s="182"/>
      <c r="B78" s="170"/>
      <c r="C78" s="189">
        <v>4040</v>
      </c>
      <c r="D78" s="181" t="s">
        <v>229</v>
      </c>
      <c r="E78" s="173"/>
      <c r="F78" s="190">
        <v>18470</v>
      </c>
      <c r="G78" s="191"/>
    </row>
    <row r="79" spans="1:7" ht="12.75" customHeight="1">
      <c r="A79" s="182"/>
      <c r="B79" s="170"/>
      <c r="C79" s="189">
        <v>4110</v>
      </c>
      <c r="D79" s="181" t="s">
        <v>230</v>
      </c>
      <c r="E79" s="173"/>
      <c r="F79" s="190">
        <v>20253</v>
      </c>
      <c r="G79" s="191"/>
    </row>
    <row r="80" spans="1:7" ht="12.75" customHeight="1">
      <c r="A80" s="182"/>
      <c r="B80" s="170"/>
      <c r="C80" s="189">
        <v>4120</v>
      </c>
      <c r="D80" s="181" t="s">
        <v>248</v>
      </c>
      <c r="E80" s="173"/>
      <c r="F80" s="190">
        <v>3267</v>
      </c>
      <c r="G80" s="191"/>
    </row>
    <row r="81" spans="1:7" ht="12.75" customHeight="1">
      <c r="A81" s="182"/>
      <c r="B81" s="170"/>
      <c r="C81" s="189">
        <v>4170</v>
      </c>
      <c r="D81" s="181" t="s">
        <v>249</v>
      </c>
      <c r="E81" s="173"/>
      <c r="F81" s="190">
        <v>6355</v>
      </c>
      <c r="G81" s="191"/>
    </row>
    <row r="82" spans="1:7" ht="12.75" customHeight="1">
      <c r="A82" s="182"/>
      <c r="B82" s="170"/>
      <c r="C82" s="189">
        <v>4210</v>
      </c>
      <c r="D82" s="181" t="s">
        <v>215</v>
      </c>
      <c r="E82" s="173"/>
      <c r="F82" s="190">
        <v>0</v>
      </c>
      <c r="G82" s="191"/>
    </row>
    <row r="83" spans="1:7" ht="12.75" customHeight="1">
      <c r="A83" s="182"/>
      <c r="B83" s="170"/>
      <c r="C83" s="189">
        <v>4260</v>
      </c>
      <c r="D83" s="181" t="s">
        <v>250</v>
      </c>
      <c r="E83" s="173"/>
      <c r="F83" s="190">
        <v>0</v>
      </c>
      <c r="G83" s="191"/>
    </row>
    <row r="84" spans="1:7" ht="12.75" customHeight="1">
      <c r="A84" s="182"/>
      <c r="B84" s="170"/>
      <c r="C84" s="189">
        <v>4270</v>
      </c>
      <c r="D84" s="181" t="s">
        <v>217</v>
      </c>
      <c r="E84" s="173"/>
      <c r="F84" s="190">
        <v>0</v>
      </c>
      <c r="G84" s="191"/>
    </row>
    <row r="85" spans="1:7" ht="12.75" customHeight="1">
      <c r="A85" s="182"/>
      <c r="B85" s="170"/>
      <c r="C85" s="189">
        <v>4280</v>
      </c>
      <c r="D85" s="181" t="s">
        <v>232</v>
      </c>
      <c r="E85" s="173"/>
      <c r="F85" s="190">
        <v>272</v>
      </c>
      <c r="G85" s="191"/>
    </row>
    <row r="86" spans="1:7" ht="12.75" customHeight="1">
      <c r="A86" s="182"/>
      <c r="B86" s="170"/>
      <c r="C86" s="194" t="s">
        <v>201</v>
      </c>
      <c r="D86" s="181" t="s">
        <v>202</v>
      </c>
      <c r="E86" s="173"/>
      <c r="F86" s="190">
        <v>0</v>
      </c>
      <c r="G86" s="191"/>
    </row>
    <row r="87" spans="1:7" ht="12.75" customHeight="1">
      <c r="A87" s="182"/>
      <c r="B87" s="170"/>
      <c r="C87" s="194" t="s">
        <v>251</v>
      </c>
      <c r="D87" s="181" t="s">
        <v>233</v>
      </c>
      <c r="E87" s="173"/>
      <c r="F87" s="190">
        <v>0</v>
      </c>
      <c r="G87" s="191"/>
    </row>
    <row r="88" spans="1:7" ht="12.75" customHeight="1">
      <c r="A88" s="182"/>
      <c r="B88" s="170"/>
      <c r="C88" s="194" t="s">
        <v>252</v>
      </c>
      <c r="D88" s="181" t="s">
        <v>253</v>
      </c>
      <c r="E88" s="173"/>
      <c r="F88" s="190">
        <v>0</v>
      </c>
      <c r="G88" s="191"/>
    </row>
    <row r="89" spans="1:7" ht="12.75" customHeight="1">
      <c r="A89" s="182"/>
      <c r="B89" s="170"/>
      <c r="C89" s="194" t="s">
        <v>254</v>
      </c>
      <c r="D89" s="181" t="s">
        <v>255</v>
      </c>
      <c r="E89" s="173"/>
      <c r="F89" s="190">
        <v>0</v>
      </c>
      <c r="G89" s="191"/>
    </row>
    <row r="90" spans="1:7" ht="12.75" customHeight="1">
      <c r="A90" s="182"/>
      <c r="B90" s="170"/>
      <c r="C90" s="194" t="s">
        <v>239</v>
      </c>
      <c r="D90" s="181" t="s">
        <v>240</v>
      </c>
      <c r="E90" s="173"/>
      <c r="F90" s="190">
        <v>7000</v>
      </c>
      <c r="G90" s="191"/>
    </row>
    <row r="91" spans="1:7" ht="12.75" customHeight="1">
      <c r="A91" s="182"/>
      <c r="B91" s="170"/>
      <c r="C91" s="180" t="s">
        <v>220</v>
      </c>
      <c r="D91" s="172" t="s">
        <v>256</v>
      </c>
      <c r="E91" s="173"/>
      <c r="F91" s="190">
        <v>0</v>
      </c>
      <c r="G91" s="191"/>
    </row>
    <row r="92" spans="1:7" ht="12.75" customHeight="1">
      <c r="A92" s="182"/>
      <c r="B92" s="170"/>
      <c r="C92" s="180" t="s">
        <v>241</v>
      </c>
      <c r="D92" s="172" t="s">
        <v>242</v>
      </c>
      <c r="E92" s="173"/>
      <c r="F92" s="190">
        <v>0</v>
      </c>
      <c r="G92" s="191"/>
    </row>
    <row r="93" spans="1:7" ht="12.75" customHeight="1">
      <c r="A93" s="182"/>
      <c r="B93" s="170"/>
      <c r="C93" s="180" t="s">
        <v>243</v>
      </c>
      <c r="D93" s="172" t="s">
        <v>257</v>
      </c>
      <c r="E93" s="173"/>
      <c r="F93" s="190">
        <v>0</v>
      </c>
      <c r="G93" s="191"/>
    </row>
    <row r="94" spans="1:7" ht="12.75" customHeight="1">
      <c r="A94" s="182"/>
      <c r="B94" s="188">
        <v>75045</v>
      </c>
      <c r="C94" s="165"/>
      <c r="D94" s="177" t="s">
        <v>258</v>
      </c>
      <c r="E94" s="167">
        <f>E95</f>
        <v>11666</v>
      </c>
      <c r="F94" s="168">
        <f>SUM(F96:F106)</f>
        <v>11666</v>
      </c>
      <c r="G94" s="191"/>
    </row>
    <row r="95" spans="1:7" ht="12.75" customHeight="1">
      <c r="A95" s="182"/>
      <c r="B95" s="170"/>
      <c r="C95" s="183">
        <v>2110</v>
      </c>
      <c r="D95" s="172" t="s">
        <v>200</v>
      </c>
      <c r="E95" s="173">
        <v>11666</v>
      </c>
      <c r="F95" s="174"/>
      <c r="G95" s="191"/>
    </row>
    <row r="96" spans="1:7" ht="12.75" customHeight="1">
      <c r="A96" s="182"/>
      <c r="B96" s="170"/>
      <c r="C96" s="194" t="s">
        <v>259</v>
      </c>
      <c r="D96" s="181" t="s">
        <v>260</v>
      </c>
      <c r="E96" s="173"/>
      <c r="F96" s="174">
        <f>1400+310</f>
        <v>1710</v>
      </c>
      <c r="G96" s="191"/>
    </row>
    <row r="97" spans="1:7" ht="12.75" customHeight="1">
      <c r="A97" s="182"/>
      <c r="B97" s="170"/>
      <c r="C97" s="189">
        <v>4110</v>
      </c>
      <c r="D97" s="181" t="s">
        <v>230</v>
      </c>
      <c r="E97" s="173"/>
      <c r="F97" s="174">
        <v>760</v>
      </c>
      <c r="G97" s="191"/>
    </row>
    <row r="98" spans="1:7" ht="12.75" customHeight="1">
      <c r="A98" s="182"/>
      <c r="B98" s="170"/>
      <c r="C98" s="189">
        <v>4120</v>
      </c>
      <c r="D98" s="181" t="s">
        <v>231</v>
      </c>
      <c r="E98" s="173"/>
      <c r="F98" s="174">
        <v>27</v>
      </c>
      <c r="G98" s="191"/>
    </row>
    <row r="99" spans="1:7" ht="12.75" customHeight="1">
      <c r="A99" s="182"/>
      <c r="B99" s="170"/>
      <c r="C99" s="189">
        <v>4170</v>
      </c>
      <c r="D99" s="181" t="s">
        <v>249</v>
      </c>
      <c r="E99" s="173"/>
      <c r="F99" s="174">
        <v>6500</v>
      </c>
      <c r="G99" s="191"/>
    </row>
    <row r="100" spans="1:7" ht="12.75" customHeight="1">
      <c r="A100" s="182"/>
      <c r="B100" s="170"/>
      <c r="C100" s="189">
        <v>4210</v>
      </c>
      <c r="D100" s="181" t="s">
        <v>215</v>
      </c>
      <c r="E100" s="173"/>
      <c r="F100" s="174">
        <v>176</v>
      </c>
      <c r="G100" s="191"/>
    </row>
    <row r="101" spans="1:7" ht="12.75" customHeight="1">
      <c r="A101" s="182"/>
      <c r="B101" s="170"/>
      <c r="C101" s="180" t="s">
        <v>201</v>
      </c>
      <c r="D101" s="181" t="s">
        <v>202</v>
      </c>
      <c r="E101" s="173"/>
      <c r="F101" s="174">
        <v>189</v>
      </c>
      <c r="G101" s="191"/>
    </row>
    <row r="102" spans="1:7" ht="12.75" customHeight="1">
      <c r="A102" s="182"/>
      <c r="B102" s="170"/>
      <c r="C102" s="183">
        <v>4370</v>
      </c>
      <c r="D102" s="181" t="s">
        <v>261</v>
      </c>
      <c r="E102" s="173"/>
      <c r="F102" s="174">
        <v>37</v>
      </c>
      <c r="G102" s="191"/>
    </row>
    <row r="103" spans="1:7" ht="12.75" customHeight="1">
      <c r="A103" s="182"/>
      <c r="B103" s="170"/>
      <c r="C103" s="183">
        <v>4400</v>
      </c>
      <c r="D103" s="181" t="s">
        <v>262</v>
      </c>
      <c r="E103" s="173"/>
      <c r="F103" s="174">
        <v>2200</v>
      </c>
      <c r="G103" s="191"/>
    </row>
    <row r="104" spans="1:7" ht="12.75" customHeight="1">
      <c r="A104" s="182"/>
      <c r="B104" s="170"/>
      <c r="C104" s="180" t="s">
        <v>254</v>
      </c>
      <c r="D104" s="181" t="s">
        <v>255</v>
      </c>
      <c r="E104" s="173"/>
      <c r="F104" s="174">
        <v>0</v>
      </c>
      <c r="G104" s="191"/>
    </row>
    <row r="105" spans="1:7" ht="12.75" customHeight="1">
      <c r="A105" s="182"/>
      <c r="B105" s="170"/>
      <c r="C105" s="183">
        <v>4740</v>
      </c>
      <c r="D105" s="181" t="s">
        <v>263</v>
      </c>
      <c r="E105" s="173"/>
      <c r="F105" s="174">
        <v>67</v>
      </c>
      <c r="G105" s="191"/>
    </row>
    <row r="106" spans="1:7" ht="12.75" customHeight="1">
      <c r="A106" s="182"/>
      <c r="B106" s="170"/>
      <c r="C106" s="183">
        <v>4750</v>
      </c>
      <c r="D106" s="181" t="s">
        <v>257</v>
      </c>
      <c r="E106" s="173"/>
      <c r="F106" s="174">
        <v>0</v>
      </c>
      <c r="G106" s="191"/>
    </row>
    <row r="107" spans="1:7" ht="12.75" customHeight="1">
      <c r="A107" s="182"/>
      <c r="B107" s="170"/>
      <c r="C107" s="180"/>
      <c r="D107" s="181"/>
      <c r="E107" s="173"/>
      <c r="F107" s="174"/>
      <c r="G107" s="191"/>
    </row>
    <row r="108" spans="1:7" ht="12.75" customHeight="1">
      <c r="A108" s="182"/>
      <c r="B108" s="170"/>
      <c r="C108" s="171"/>
      <c r="D108" s="181"/>
      <c r="E108" s="173"/>
      <c r="F108" s="174"/>
      <c r="G108" s="191"/>
    </row>
    <row r="109" spans="1:7" ht="12.75" customHeight="1">
      <c r="A109" s="163">
        <v>751</v>
      </c>
      <c r="B109" s="170"/>
      <c r="C109" s="171"/>
      <c r="D109" s="198" t="s">
        <v>264</v>
      </c>
      <c r="E109" s="199">
        <f>E112</f>
        <v>31555</v>
      </c>
      <c r="F109" s="200">
        <f>F112</f>
        <v>31555</v>
      </c>
      <c r="G109" s="201"/>
    </row>
    <row r="110" spans="1:7" ht="13.5" customHeight="1">
      <c r="A110" s="202"/>
      <c r="B110" s="203"/>
      <c r="C110" s="204"/>
      <c r="D110" s="205" t="s">
        <v>265</v>
      </c>
      <c r="E110" s="206"/>
      <c r="F110" s="207"/>
      <c r="G110" s="208"/>
    </row>
    <row r="111" spans="1:7" ht="12.75" customHeight="1">
      <c r="A111" s="182"/>
      <c r="B111" s="170">
        <v>75109</v>
      </c>
      <c r="C111" s="171"/>
      <c r="D111" s="181" t="s">
        <v>266</v>
      </c>
      <c r="E111" s="173"/>
      <c r="F111" s="174"/>
      <c r="G111" s="191"/>
    </row>
    <row r="112" spans="1:7" ht="12.75" customHeight="1">
      <c r="A112" s="182"/>
      <c r="B112" s="170"/>
      <c r="C112" s="171"/>
      <c r="D112" s="181" t="s">
        <v>267</v>
      </c>
      <c r="E112" s="173">
        <f>E114</f>
        <v>31555</v>
      </c>
      <c r="F112" s="174">
        <f>SUM(F115:F121)</f>
        <v>31555</v>
      </c>
      <c r="G112" s="191"/>
    </row>
    <row r="113" spans="1:7" ht="12.75" customHeight="1">
      <c r="A113" s="209"/>
      <c r="B113" s="165"/>
      <c r="C113" s="176"/>
      <c r="D113" s="210" t="s">
        <v>268</v>
      </c>
      <c r="E113" s="178"/>
      <c r="F113" s="168"/>
      <c r="G113" s="211"/>
    </row>
    <row r="114" spans="1:7" ht="12.75" customHeight="1">
      <c r="A114" s="182"/>
      <c r="B114" s="170"/>
      <c r="C114" s="171" t="s">
        <v>199</v>
      </c>
      <c r="D114" s="172" t="s">
        <v>200</v>
      </c>
      <c r="E114" s="173">
        <v>31555</v>
      </c>
      <c r="F114" s="174"/>
      <c r="G114" s="191"/>
    </row>
    <row r="115" spans="1:7" ht="12.75" customHeight="1">
      <c r="A115" s="182"/>
      <c r="B115" s="170"/>
      <c r="C115" s="171" t="s">
        <v>259</v>
      </c>
      <c r="D115" s="196" t="s">
        <v>269</v>
      </c>
      <c r="E115" s="173"/>
      <c r="F115" s="174">
        <v>1470</v>
      </c>
      <c r="G115" s="191"/>
    </row>
    <row r="116" spans="1:7" ht="12.75" customHeight="1">
      <c r="A116" s="182"/>
      <c r="B116" s="170"/>
      <c r="C116" s="171" t="s">
        <v>270</v>
      </c>
      <c r="D116" s="181" t="s">
        <v>249</v>
      </c>
      <c r="E116" s="173"/>
      <c r="F116" s="174">
        <v>17035</v>
      </c>
      <c r="G116" s="191"/>
    </row>
    <row r="117" spans="1:7" ht="12.75" customHeight="1">
      <c r="A117" s="182"/>
      <c r="B117" s="170"/>
      <c r="C117" s="171" t="s">
        <v>271</v>
      </c>
      <c r="D117" s="181" t="s">
        <v>215</v>
      </c>
      <c r="E117" s="173"/>
      <c r="F117" s="174">
        <v>2000</v>
      </c>
      <c r="G117" s="191"/>
    </row>
    <row r="118" spans="1:7" ht="12.75" customHeight="1">
      <c r="A118" s="182"/>
      <c r="B118" s="170"/>
      <c r="C118" s="171" t="s">
        <v>272</v>
      </c>
      <c r="D118" s="181" t="s">
        <v>250</v>
      </c>
      <c r="E118" s="173"/>
      <c r="F118" s="174">
        <v>100</v>
      </c>
      <c r="G118" s="191"/>
    </row>
    <row r="119" spans="1:7" ht="12.75" customHeight="1">
      <c r="A119" s="182"/>
      <c r="B119" s="170"/>
      <c r="C119" s="171" t="s">
        <v>201</v>
      </c>
      <c r="D119" s="181" t="s">
        <v>202</v>
      </c>
      <c r="E119" s="173"/>
      <c r="F119" s="174">
        <v>8550</v>
      </c>
      <c r="G119" s="191"/>
    </row>
    <row r="120" spans="1:7" ht="12.75" customHeight="1">
      <c r="A120" s="182"/>
      <c r="B120" s="170"/>
      <c r="C120" s="171" t="s">
        <v>252</v>
      </c>
      <c r="D120" s="181" t="s">
        <v>261</v>
      </c>
      <c r="E120" s="173"/>
      <c r="F120" s="174">
        <v>400</v>
      </c>
      <c r="G120" s="191"/>
    </row>
    <row r="121" spans="1:7" ht="12.75" customHeight="1">
      <c r="A121" s="182"/>
      <c r="B121" s="170"/>
      <c r="C121" s="171" t="s">
        <v>254</v>
      </c>
      <c r="D121" s="181" t="s">
        <v>255</v>
      </c>
      <c r="E121" s="173"/>
      <c r="F121" s="174">
        <v>2000</v>
      </c>
      <c r="G121" s="191"/>
    </row>
    <row r="122" spans="1:7" ht="12.75" customHeight="1">
      <c r="A122" s="182"/>
      <c r="B122" s="170"/>
      <c r="C122" s="171"/>
      <c r="D122" s="181"/>
      <c r="E122" s="173"/>
      <c r="F122" s="174"/>
      <c r="G122" s="191"/>
    </row>
    <row r="123" spans="1:7" ht="13.5" customHeight="1">
      <c r="A123" s="184">
        <v>754</v>
      </c>
      <c r="B123" s="158"/>
      <c r="C123" s="192"/>
      <c r="D123" s="205" t="s">
        <v>273</v>
      </c>
      <c r="E123" s="212">
        <f>E124</f>
        <v>2000</v>
      </c>
      <c r="F123" s="186">
        <f>F124</f>
        <v>2000</v>
      </c>
      <c r="G123" s="213"/>
    </row>
    <row r="124" spans="1:7" ht="12.75" customHeight="1">
      <c r="A124" s="182"/>
      <c r="B124" s="188">
        <v>75414</v>
      </c>
      <c r="C124" s="176"/>
      <c r="D124" s="210" t="s">
        <v>274</v>
      </c>
      <c r="E124" s="178">
        <f>E125</f>
        <v>2000</v>
      </c>
      <c r="F124" s="168">
        <f>F126</f>
        <v>2000</v>
      </c>
      <c r="G124" s="211"/>
    </row>
    <row r="125" spans="1:7" ht="12.75" customHeight="1">
      <c r="A125" s="182"/>
      <c r="B125" s="170"/>
      <c r="C125" s="183">
        <v>2110</v>
      </c>
      <c r="D125" s="172" t="s">
        <v>200</v>
      </c>
      <c r="E125" s="173">
        <v>2000</v>
      </c>
      <c r="F125" s="174"/>
      <c r="G125" s="191"/>
    </row>
    <row r="126" spans="1:7" ht="12.75" customHeight="1">
      <c r="A126" s="182"/>
      <c r="B126" s="170"/>
      <c r="C126" s="189">
        <v>4210</v>
      </c>
      <c r="D126" s="181" t="s">
        <v>215</v>
      </c>
      <c r="E126" s="173"/>
      <c r="F126" s="174">
        <v>2000</v>
      </c>
      <c r="G126" s="191"/>
    </row>
    <row r="127" spans="1:7" ht="12.75" customHeight="1">
      <c r="A127" s="182"/>
      <c r="B127" s="170"/>
      <c r="C127" s="171"/>
      <c r="D127" s="181"/>
      <c r="E127" s="173"/>
      <c r="F127" s="174"/>
      <c r="G127" s="191"/>
    </row>
    <row r="128" spans="1:7" ht="13.5" customHeight="1">
      <c r="A128" s="184">
        <v>851</v>
      </c>
      <c r="B128" s="159"/>
      <c r="C128" s="158"/>
      <c r="D128" s="205" t="s">
        <v>275</v>
      </c>
      <c r="E128" s="161">
        <f>E129</f>
        <v>70717</v>
      </c>
      <c r="F128" s="186">
        <f>F129</f>
        <v>70717</v>
      </c>
      <c r="G128" s="191"/>
    </row>
    <row r="129" spans="1:7" ht="12.75" customHeight="1">
      <c r="A129" s="182"/>
      <c r="B129" s="188">
        <v>85156</v>
      </c>
      <c r="C129" s="165"/>
      <c r="D129" s="210" t="s">
        <v>276</v>
      </c>
      <c r="E129" s="167">
        <f>E130</f>
        <v>70717</v>
      </c>
      <c r="F129" s="168">
        <f>SUM(F131)</f>
        <v>70717</v>
      </c>
      <c r="G129" s="191"/>
    </row>
    <row r="130" spans="1:7" ht="12.75" customHeight="1">
      <c r="A130" s="182"/>
      <c r="B130" s="183"/>
      <c r="C130" s="170">
        <v>2110</v>
      </c>
      <c r="D130" s="172" t="s">
        <v>200</v>
      </c>
      <c r="E130" s="173">
        <v>70717</v>
      </c>
      <c r="F130" s="174"/>
      <c r="G130" s="191"/>
    </row>
    <row r="131" spans="1:7" ht="12.75" customHeight="1">
      <c r="A131" s="182"/>
      <c r="B131" s="170"/>
      <c r="C131" s="183">
        <v>4130</v>
      </c>
      <c r="D131" s="172" t="s">
        <v>277</v>
      </c>
      <c r="E131" s="173"/>
      <c r="F131" s="174">
        <v>70717</v>
      </c>
      <c r="G131" s="191"/>
    </row>
    <row r="132" spans="1:7" ht="12.75" customHeight="1">
      <c r="A132" s="182"/>
      <c r="B132" s="170"/>
      <c r="C132" s="183"/>
      <c r="D132" s="172"/>
      <c r="E132" s="173"/>
      <c r="F132" s="174"/>
      <c r="G132" s="191"/>
    </row>
    <row r="133" spans="1:7" ht="13.5" customHeight="1">
      <c r="A133" s="184">
        <v>852</v>
      </c>
      <c r="B133" s="158"/>
      <c r="C133" s="159"/>
      <c r="D133" s="185" t="s">
        <v>278</v>
      </c>
      <c r="E133" s="212" t="e">
        <f>E134+E160</f>
        <v>#NAME?</v>
      </c>
      <c r="F133" s="186" t="e">
        <f>F134+F160</f>
        <v>#NAME?</v>
      </c>
      <c r="G133" s="191"/>
    </row>
    <row r="134" spans="1:7" ht="12.75" customHeight="1">
      <c r="A134" s="182"/>
      <c r="B134" s="214">
        <v>85203</v>
      </c>
      <c r="C134" s="215"/>
      <c r="D134" s="216" t="s">
        <v>279</v>
      </c>
      <c r="E134" s="217">
        <f>E135</f>
        <v>359000</v>
      </c>
      <c r="F134" s="218" t="e">
        <f>SUM(F136:F158)</f>
        <v>#NAME?</v>
      </c>
      <c r="G134" s="191"/>
    </row>
    <row r="135" spans="1:7" ht="12.75" customHeight="1">
      <c r="A135" s="182"/>
      <c r="B135" s="170"/>
      <c r="C135" s="183">
        <v>2110</v>
      </c>
      <c r="D135" s="181" t="s">
        <v>200</v>
      </c>
      <c r="E135" s="173">
        <v>359000</v>
      </c>
      <c r="F135" s="174"/>
      <c r="G135" s="191"/>
    </row>
    <row r="136" spans="1:7" ht="12.75" customHeight="1">
      <c r="A136" s="182"/>
      <c r="B136" s="170"/>
      <c r="C136" s="183">
        <v>3020</v>
      </c>
      <c r="D136" s="181" t="s">
        <v>247</v>
      </c>
      <c r="E136" s="173"/>
      <c r="F136" s="174" t="e">
        <f>"'[1]wydatki ukł.wyk.'!f417"</f>
        <v>#NAME?</v>
      </c>
      <c r="G136" s="191"/>
    </row>
    <row r="137" spans="1:7" ht="12.75" customHeight="1">
      <c r="A137" s="182"/>
      <c r="B137" s="170"/>
      <c r="C137" s="183">
        <v>4010</v>
      </c>
      <c r="D137" s="181" t="s">
        <v>227</v>
      </c>
      <c r="E137" s="173"/>
      <c r="F137" s="174">
        <f>177300+1911</f>
        <v>179211</v>
      </c>
      <c r="G137" s="191"/>
    </row>
    <row r="138" spans="1:7" ht="12.75" customHeight="1">
      <c r="A138" s="182"/>
      <c r="B138" s="170"/>
      <c r="C138" s="183">
        <v>4040</v>
      </c>
      <c r="D138" s="181" t="s">
        <v>280</v>
      </c>
      <c r="E138" s="173"/>
      <c r="F138" s="174">
        <v>7828</v>
      </c>
      <c r="G138" s="191"/>
    </row>
    <row r="139" spans="1:7" ht="12.75" customHeight="1">
      <c r="A139" s="182"/>
      <c r="B139" s="170"/>
      <c r="C139" s="183">
        <v>4110</v>
      </c>
      <c r="D139" s="181" t="s">
        <v>230</v>
      </c>
      <c r="E139" s="173"/>
      <c r="F139" s="174">
        <f>27406+837</f>
        <v>28243</v>
      </c>
      <c r="G139" s="191"/>
    </row>
    <row r="140" spans="1:7" ht="12.75" customHeight="1">
      <c r="A140" s="182"/>
      <c r="B140" s="170"/>
      <c r="C140" s="183">
        <v>4120</v>
      </c>
      <c r="D140" s="181" t="s">
        <v>248</v>
      </c>
      <c r="E140" s="173"/>
      <c r="F140" s="174">
        <f>4594-196</f>
        <v>4398</v>
      </c>
      <c r="G140" s="191"/>
    </row>
    <row r="141" spans="1:7" ht="12.75" customHeight="1">
      <c r="A141" s="182"/>
      <c r="B141" s="170"/>
      <c r="C141" s="183">
        <v>4170</v>
      </c>
      <c r="D141" s="181" t="s">
        <v>249</v>
      </c>
      <c r="E141" s="173"/>
      <c r="F141" s="174">
        <v>1500</v>
      </c>
      <c r="G141" s="191"/>
    </row>
    <row r="142" spans="1:7" ht="12.75" customHeight="1">
      <c r="A142" s="182"/>
      <c r="B142" s="170"/>
      <c r="C142" s="183">
        <v>4210</v>
      </c>
      <c r="D142" s="181" t="s">
        <v>215</v>
      </c>
      <c r="E142" s="173"/>
      <c r="F142" s="174">
        <f>61642+12318</f>
        <v>73960</v>
      </c>
      <c r="G142" s="191"/>
    </row>
    <row r="143" spans="1:7" ht="12.75" customHeight="1">
      <c r="A143" s="182"/>
      <c r="B143" s="170"/>
      <c r="C143" s="183">
        <v>4220</v>
      </c>
      <c r="D143" s="181" t="s">
        <v>281</v>
      </c>
      <c r="E143" s="173"/>
      <c r="F143" s="174">
        <f>26670-6000</f>
        <v>20670</v>
      </c>
      <c r="G143" s="191"/>
    </row>
    <row r="144" spans="1:7" ht="12.75" customHeight="1">
      <c r="A144" s="182"/>
      <c r="B144" s="170"/>
      <c r="C144" s="183">
        <v>4230</v>
      </c>
      <c r="D144" s="181" t="s">
        <v>282</v>
      </c>
      <c r="E144" s="173"/>
      <c r="F144" s="174">
        <v>400</v>
      </c>
      <c r="G144" s="191"/>
    </row>
    <row r="145" spans="1:7" ht="12.75" customHeight="1">
      <c r="A145" s="182"/>
      <c r="B145" s="170"/>
      <c r="C145" s="183">
        <v>4260</v>
      </c>
      <c r="D145" s="181" t="s">
        <v>250</v>
      </c>
      <c r="E145" s="173"/>
      <c r="F145" s="174">
        <v>4500</v>
      </c>
      <c r="G145" s="191"/>
    </row>
    <row r="146" spans="1:7" ht="12.75" customHeight="1">
      <c r="A146" s="182"/>
      <c r="B146" s="170"/>
      <c r="C146" s="183">
        <v>4270</v>
      </c>
      <c r="D146" s="181" t="s">
        <v>217</v>
      </c>
      <c r="E146" s="173"/>
      <c r="F146" s="174">
        <v>7500</v>
      </c>
      <c r="G146" s="191"/>
    </row>
    <row r="147" spans="1:7" ht="12.75" customHeight="1">
      <c r="A147" s="182"/>
      <c r="B147" s="170"/>
      <c r="C147" s="183">
        <v>4280</v>
      </c>
      <c r="D147" s="181" t="s">
        <v>232</v>
      </c>
      <c r="E147" s="173"/>
      <c r="F147" s="174">
        <v>600</v>
      </c>
      <c r="G147" s="191"/>
    </row>
    <row r="148" spans="1:7" ht="12.75" customHeight="1">
      <c r="A148" s="182"/>
      <c r="B148" s="170"/>
      <c r="C148" s="183">
        <v>4300</v>
      </c>
      <c r="D148" s="181" t="s">
        <v>202</v>
      </c>
      <c r="E148" s="173"/>
      <c r="F148" s="174">
        <f>19368-9000</f>
        <v>10368</v>
      </c>
      <c r="G148" s="191"/>
    </row>
    <row r="149" spans="1:7" ht="12.75" customHeight="1">
      <c r="A149" s="182"/>
      <c r="B149" s="170"/>
      <c r="C149" s="194" t="s">
        <v>251</v>
      </c>
      <c r="D149" s="181" t="s">
        <v>233</v>
      </c>
      <c r="E149" s="173"/>
      <c r="F149" s="174" t="e">
        <f>"'[1]wydatki ukł.wyk.'!f430"</f>
        <v>#NAME?</v>
      </c>
      <c r="G149" s="191"/>
    </row>
    <row r="150" spans="1:7" ht="12.75" customHeight="1">
      <c r="A150" s="182"/>
      <c r="B150" s="170"/>
      <c r="C150" s="183">
        <v>4360</v>
      </c>
      <c r="D150" s="181" t="s">
        <v>234</v>
      </c>
      <c r="E150" s="173"/>
      <c r="F150" s="174">
        <f>650-100</f>
        <v>550</v>
      </c>
      <c r="G150" s="191"/>
    </row>
    <row r="151" spans="1:7" ht="12.75" customHeight="1">
      <c r="A151" s="182"/>
      <c r="B151" s="170"/>
      <c r="C151" s="183">
        <v>4370</v>
      </c>
      <c r="D151" s="181" t="s">
        <v>283</v>
      </c>
      <c r="E151" s="173"/>
      <c r="F151" s="174">
        <f>1500+30</f>
        <v>1530</v>
      </c>
      <c r="G151" s="191"/>
    </row>
    <row r="152" spans="1:7" ht="12.75" customHeight="1">
      <c r="A152" s="182"/>
      <c r="B152" s="170"/>
      <c r="C152" s="183">
        <v>4410</v>
      </c>
      <c r="D152" s="181" t="s">
        <v>255</v>
      </c>
      <c r="E152" s="173"/>
      <c r="F152" s="174">
        <v>400</v>
      </c>
      <c r="G152" s="191"/>
    </row>
    <row r="153" spans="1:7" ht="12.75" customHeight="1">
      <c r="A153" s="182"/>
      <c r="B153" s="170"/>
      <c r="C153" s="183">
        <v>4430</v>
      </c>
      <c r="D153" s="181" t="s">
        <v>238</v>
      </c>
      <c r="E153" s="173"/>
      <c r="F153" s="174">
        <v>3650</v>
      </c>
      <c r="G153" s="191"/>
    </row>
    <row r="154" spans="1:7" ht="12.75" customHeight="1">
      <c r="A154" s="182"/>
      <c r="B154" s="170"/>
      <c r="C154" s="183">
        <v>4440</v>
      </c>
      <c r="D154" s="181" t="s">
        <v>284</v>
      </c>
      <c r="E154" s="173"/>
      <c r="F154" s="174">
        <v>9431</v>
      </c>
      <c r="G154" s="191"/>
    </row>
    <row r="155" spans="1:7" ht="12.75" customHeight="1">
      <c r="A155" s="182"/>
      <c r="B155" s="170"/>
      <c r="C155" s="183">
        <v>4580</v>
      </c>
      <c r="D155" s="181" t="s">
        <v>210</v>
      </c>
      <c r="E155" s="173"/>
      <c r="F155" s="174">
        <v>1</v>
      </c>
      <c r="G155" s="191"/>
    </row>
    <row r="156" spans="1:7" ht="12.75" customHeight="1">
      <c r="A156" s="182"/>
      <c r="B156" s="170"/>
      <c r="C156" s="183">
        <v>4700</v>
      </c>
      <c r="D156" s="181" t="s">
        <v>221</v>
      </c>
      <c r="E156" s="173"/>
      <c r="F156" s="174">
        <f>1700-500</f>
        <v>1200</v>
      </c>
      <c r="G156" s="191"/>
    </row>
    <row r="157" spans="1:7" ht="12.75" customHeight="1">
      <c r="A157" s="182"/>
      <c r="B157" s="170"/>
      <c r="C157" s="183">
        <v>4740</v>
      </c>
      <c r="D157" s="181" t="s">
        <v>285</v>
      </c>
      <c r="E157" s="173"/>
      <c r="F157" s="174">
        <f>500-300</f>
        <v>200</v>
      </c>
      <c r="G157" s="191"/>
    </row>
    <row r="158" spans="1:7" ht="12.75" customHeight="1">
      <c r="A158" s="182"/>
      <c r="B158" s="170"/>
      <c r="C158" s="183">
        <v>4750</v>
      </c>
      <c r="D158" s="181" t="s">
        <v>257</v>
      </c>
      <c r="E158" s="173"/>
      <c r="F158" s="174">
        <v>1200</v>
      </c>
      <c r="G158" s="191"/>
    </row>
    <row r="159" spans="1:7" ht="12.75" customHeight="1">
      <c r="A159" s="182"/>
      <c r="B159" s="170"/>
      <c r="C159" s="183"/>
      <c r="D159" s="181"/>
      <c r="E159" s="173"/>
      <c r="F159" s="174"/>
      <c r="G159" s="191"/>
    </row>
    <row r="160" spans="1:7" ht="12.75" customHeight="1">
      <c r="A160" s="182"/>
      <c r="B160" s="188">
        <v>85205</v>
      </c>
      <c r="C160" s="165"/>
      <c r="D160" s="210" t="s">
        <v>286</v>
      </c>
      <c r="E160" s="178" t="e">
        <f>E161</f>
        <v>#NAME?</v>
      </c>
      <c r="F160" s="168">
        <f>F162+F163</f>
        <v>6000</v>
      </c>
      <c r="G160" s="191"/>
    </row>
    <row r="161" spans="1:7" ht="12.75" customHeight="1">
      <c r="A161" s="182"/>
      <c r="B161" s="170"/>
      <c r="C161" s="183">
        <v>2110</v>
      </c>
      <c r="D161" s="172" t="s">
        <v>200</v>
      </c>
      <c r="E161" s="173" t="e">
        <f>"'[1]dochody-ukł.wykon.'!f193"</f>
        <v>#NAME?</v>
      </c>
      <c r="F161" s="174"/>
      <c r="G161" s="191"/>
    </row>
    <row r="162" spans="1:7" ht="12.75" customHeight="1">
      <c r="A162" s="182"/>
      <c r="B162" s="170"/>
      <c r="C162" s="189">
        <v>4210</v>
      </c>
      <c r="D162" s="181" t="s">
        <v>215</v>
      </c>
      <c r="E162" s="173"/>
      <c r="F162" s="174">
        <v>1000</v>
      </c>
      <c r="G162" s="191"/>
    </row>
    <row r="163" spans="1:7" ht="12.75" customHeight="1">
      <c r="A163" s="182"/>
      <c r="B163" s="170"/>
      <c r="C163" s="183">
        <v>4300</v>
      </c>
      <c r="D163" s="181" t="s">
        <v>202</v>
      </c>
      <c r="E163" s="173"/>
      <c r="F163" s="174">
        <v>5000</v>
      </c>
      <c r="G163" s="191"/>
    </row>
    <row r="164" spans="1:7" ht="12.75" customHeight="1">
      <c r="A164" s="182"/>
      <c r="B164" s="170"/>
      <c r="C164" s="171"/>
      <c r="D164" s="181"/>
      <c r="E164" s="173"/>
      <c r="F164" s="174"/>
      <c r="G164" s="191"/>
    </row>
    <row r="165" spans="1:7" ht="13.5" customHeight="1">
      <c r="A165" s="184">
        <v>853</v>
      </c>
      <c r="B165" s="158"/>
      <c r="C165" s="159"/>
      <c r="D165" s="185" t="s">
        <v>287</v>
      </c>
      <c r="E165" s="161">
        <f>E166</f>
        <v>418290</v>
      </c>
      <c r="F165" s="186" t="e">
        <f>F166</f>
        <v>#NAME?</v>
      </c>
      <c r="G165" s="191"/>
    </row>
    <row r="166" spans="1:7" ht="12.75" customHeight="1">
      <c r="A166" s="182"/>
      <c r="B166" s="188">
        <v>85321</v>
      </c>
      <c r="C166" s="165"/>
      <c r="D166" s="177" t="s">
        <v>288</v>
      </c>
      <c r="E166" s="167">
        <f>E167</f>
        <v>418290</v>
      </c>
      <c r="F166" s="168" t="e">
        <f>SUM(F168:F189)</f>
        <v>#NAME?</v>
      </c>
      <c r="G166" s="191"/>
    </row>
    <row r="167" spans="1:7" ht="12.75" customHeight="1">
      <c r="A167" s="182"/>
      <c r="B167" s="170"/>
      <c r="C167" s="183">
        <v>2110</v>
      </c>
      <c r="D167" s="172" t="s">
        <v>200</v>
      </c>
      <c r="E167" s="173">
        <f>528400-134800+13300+11390</f>
        <v>418290</v>
      </c>
      <c r="F167" s="174"/>
      <c r="G167" s="191"/>
    </row>
    <row r="168" spans="1:7" ht="12.75" customHeight="1">
      <c r="A168" s="182"/>
      <c r="B168" s="170"/>
      <c r="C168" s="189">
        <v>3020</v>
      </c>
      <c r="D168" s="181" t="s">
        <v>247</v>
      </c>
      <c r="E168" s="173"/>
      <c r="F168" s="174">
        <v>130</v>
      </c>
      <c r="G168" s="191"/>
    </row>
    <row r="169" spans="1:7" ht="12.75" customHeight="1">
      <c r="A169" s="182"/>
      <c r="B169" s="170"/>
      <c r="C169" s="189">
        <v>4010</v>
      </c>
      <c r="D169" s="181" t="s">
        <v>227</v>
      </c>
      <c r="E169" s="173"/>
      <c r="F169" s="174">
        <v>119531</v>
      </c>
      <c r="G169" s="191"/>
    </row>
    <row r="170" spans="1:7" ht="12.75" customHeight="1">
      <c r="A170" s="182"/>
      <c r="B170" s="170"/>
      <c r="C170" s="189">
        <v>4040</v>
      </c>
      <c r="D170" s="181" t="s">
        <v>229</v>
      </c>
      <c r="E170" s="173"/>
      <c r="F170" s="174">
        <f>10658-1435</f>
        <v>9223</v>
      </c>
      <c r="G170" s="191"/>
    </row>
    <row r="171" spans="1:7" ht="12.75" customHeight="1">
      <c r="A171" s="182"/>
      <c r="B171" s="170"/>
      <c r="C171" s="189">
        <v>4110</v>
      </c>
      <c r="D171" s="181" t="s">
        <v>230</v>
      </c>
      <c r="E171" s="173"/>
      <c r="F171" s="174">
        <v>22947</v>
      </c>
      <c r="G171" s="191"/>
    </row>
    <row r="172" spans="1:7" ht="12.75" customHeight="1">
      <c r="A172" s="182"/>
      <c r="B172" s="170"/>
      <c r="C172" s="189">
        <v>4120</v>
      </c>
      <c r="D172" s="181" t="s">
        <v>231</v>
      </c>
      <c r="E172" s="173"/>
      <c r="F172" s="174">
        <f>5493-2700+200</f>
        <v>2993</v>
      </c>
      <c r="G172" s="191"/>
    </row>
    <row r="173" spans="1:7" ht="12.75" customHeight="1">
      <c r="A173" s="182"/>
      <c r="B173" s="170"/>
      <c r="C173" s="189">
        <v>4170</v>
      </c>
      <c r="D173" s="181" t="s">
        <v>249</v>
      </c>
      <c r="E173" s="173"/>
      <c r="F173" s="174">
        <v>94822</v>
      </c>
      <c r="G173" s="191"/>
    </row>
    <row r="174" spans="1:7" ht="12.75" customHeight="1">
      <c r="A174" s="182"/>
      <c r="B174" s="170"/>
      <c r="C174" s="189">
        <v>4210</v>
      </c>
      <c r="D174" s="181" t="s">
        <v>215</v>
      </c>
      <c r="E174" s="173"/>
      <c r="F174" s="174">
        <v>12891</v>
      </c>
      <c r="G174" s="191"/>
    </row>
    <row r="175" spans="1:7" ht="12.75" customHeight="1">
      <c r="A175" s="182"/>
      <c r="B175" s="170"/>
      <c r="C175" s="189">
        <v>4230</v>
      </c>
      <c r="D175" s="181" t="s">
        <v>289</v>
      </c>
      <c r="E175" s="173"/>
      <c r="F175" s="174" t="e">
        <f>"'[1]wydatki ukł.wyk.'!f503"</f>
        <v>#NAME?</v>
      </c>
      <c r="G175" s="191"/>
    </row>
    <row r="176" spans="1:7" ht="12.75" customHeight="1">
      <c r="A176" s="182"/>
      <c r="B176" s="170"/>
      <c r="C176" s="189">
        <v>4260</v>
      </c>
      <c r="D176" s="181" t="s">
        <v>250</v>
      </c>
      <c r="E176" s="173"/>
      <c r="F176" s="174">
        <v>15840</v>
      </c>
      <c r="G176" s="191"/>
    </row>
    <row r="177" spans="1:7" ht="12.75" customHeight="1">
      <c r="A177" s="182"/>
      <c r="B177" s="170"/>
      <c r="C177" s="189">
        <v>4270</v>
      </c>
      <c r="D177" s="181" t="s">
        <v>217</v>
      </c>
      <c r="E177" s="173"/>
      <c r="F177" s="174">
        <f>2000+3000-500</f>
        <v>4500</v>
      </c>
      <c r="G177" s="191"/>
    </row>
    <row r="178" spans="1:7" ht="12.75" customHeight="1">
      <c r="A178" s="182"/>
      <c r="B178" s="170"/>
      <c r="C178" s="189">
        <v>4280</v>
      </c>
      <c r="D178" s="181" t="s">
        <v>232</v>
      </c>
      <c r="E178" s="173"/>
      <c r="F178" s="174" t="e">
        <f>"'[1]wydatki ukł.wyk.'!f506"</f>
        <v>#NAME?</v>
      </c>
      <c r="G178" s="191"/>
    </row>
    <row r="179" spans="1:7" ht="12.75" customHeight="1">
      <c r="A179" s="182"/>
      <c r="B179" s="170"/>
      <c r="C179" s="194" t="s">
        <v>201</v>
      </c>
      <c r="D179" s="181" t="s">
        <v>202</v>
      </c>
      <c r="E179" s="173"/>
      <c r="F179" s="174">
        <v>117031</v>
      </c>
      <c r="G179" s="191"/>
    </row>
    <row r="180" spans="1:7" ht="12.75" customHeight="1">
      <c r="A180" s="182"/>
      <c r="B180" s="170"/>
      <c r="C180" s="194" t="s">
        <v>251</v>
      </c>
      <c r="D180" s="181" t="s">
        <v>233</v>
      </c>
      <c r="E180" s="173"/>
      <c r="F180" s="174">
        <v>3350</v>
      </c>
      <c r="G180" s="191"/>
    </row>
    <row r="181" spans="1:7" ht="12.75" customHeight="1">
      <c r="A181" s="182"/>
      <c r="B181" s="170"/>
      <c r="C181" s="183">
        <v>4370</v>
      </c>
      <c r="D181" s="181" t="s">
        <v>253</v>
      </c>
      <c r="E181" s="173"/>
      <c r="F181" s="174">
        <v>2500</v>
      </c>
      <c r="G181" s="191"/>
    </row>
    <row r="182" spans="1:7" ht="12.75" customHeight="1">
      <c r="A182" s="182"/>
      <c r="B182" s="170"/>
      <c r="C182" s="189">
        <v>4410</v>
      </c>
      <c r="D182" s="181" t="s">
        <v>255</v>
      </c>
      <c r="E182" s="173"/>
      <c r="F182" s="174">
        <f>3000-1000</f>
        <v>2000</v>
      </c>
      <c r="G182" s="191"/>
    </row>
    <row r="183" spans="1:7" ht="12.75" customHeight="1">
      <c r="A183" s="182"/>
      <c r="B183" s="170"/>
      <c r="C183" s="183">
        <v>4430</v>
      </c>
      <c r="D183" s="181" t="s">
        <v>238</v>
      </c>
      <c r="E183" s="173"/>
      <c r="F183" s="174" t="e">
        <f>"'[1]wydatki ukł.wyk.'!f511"</f>
        <v>#NAME?</v>
      </c>
      <c r="G183" s="191"/>
    </row>
    <row r="184" spans="1:7" ht="12.75" customHeight="1">
      <c r="A184" s="182"/>
      <c r="B184" s="170"/>
      <c r="C184" s="194" t="s">
        <v>239</v>
      </c>
      <c r="D184" s="181" t="s">
        <v>240</v>
      </c>
      <c r="E184" s="173"/>
      <c r="F184" s="174">
        <f>4600+220</f>
        <v>4820</v>
      </c>
      <c r="G184" s="191"/>
    </row>
    <row r="185" spans="1:7" ht="12.75" customHeight="1">
      <c r="A185" s="182"/>
      <c r="B185" s="170"/>
      <c r="C185" s="194" t="s">
        <v>218</v>
      </c>
      <c r="D185" s="181" t="s">
        <v>219</v>
      </c>
      <c r="E185" s="173"/>
      <c r="F185" s="174">
        <v>462</v>
      </c>
      <c r="G185" s="191"/>
    </row>
    <row r="186" spans="1:7" ht="12.75" customHeight="1">
      <c r="A186" s="182"/>
      <c r="B186" s="170"/>
      <c r="C186" s="194" t="s">
        <v>290</v>
      </c>
      <c r="D186" s="181" t="s">
        <v>291</v>
      </c>
      <c r="E186" s="173"/>
      <c r="F186" s="174" t="e">
        <f>"'[1]wydatki ukł.wyk.'!f514"</f>
        <v>#NAME?</v>
      </c>
      <c r="G186" s="191"/>
    </row>
    <row r="187" spans="1:7" ht="12.75" customHeight="1">
      <c r="A187" s="182"/>
      <c r="B187" s="170"/>
      <c r="C187" s="183">
        <v>4700</v>
      </c>
      <c r="D187" s="181" t="s">
        <v>221</v>
      </c>
      <c r="E187" s="173"/>
      <c r="F187" s="174">
        <f>2000-1350</f>
        <v>650</v>
      </c>
      <c r="G187" s="191"/>
    </row>
    <row r="188" spans="1:7" ht="12.75" customHeight="1">
      <c r="A188" s="182"/>
      <c r="B188" s="170"/>
      <c r="C188" s="183">
        <v>4740</v>
      </c>
      <c r="D188" s="181" t="s">
        <v>285</v>
      </c>
      <c r="E188" s="173"/>
      <c r="F188" s="174">
        <f>2500-1500</f>
        <v>1000</v>
      </c>
      <c r="G188" s="191"/>
    </row>
    <row r="189" spans="1:7" ht="12.75" customHeight="1">
      <c r="A189" s="182"/>
      <c r="B189" s="170"/>
      <c r="C189" s="183">
        <v>4750</v>
      </c>
      <c r="D189" s="181" t="s">
        <v>257</v>
      </c>
      <c r="E189" s="173"/>
      <c r="F189" s="174">
        <f>3650-1500</f>
        <v>2150</v>
      </c>
      <c r="G189" s="191"/>
    </row>
    <row r="190" spans="1:7" ht="13.5" customHeight="1">
      <c r="A190" s="202"/>
      <c r="B190" s="203"/>
      <c r="C190" s="219"/>
      <c r="D190" s="220"/>
      <c r="E190" s="206"/>
      <c r="F190" s="207"/>
      <c r="G190" s="208"/>
    </row>
    <row r="191" spans="1:7" ht="13.5" customHeight="1">
      <c r="A191" s="221"/>
      <c r="B191" s="221"/>
      <c r="C191" s="221"/>
      <c r="D191" s="222" t="s">
        <v>292</v>
      </c>
      <c r="E191" s="223" t="e">
        <f>E165+E133+E128+E73+E43+E33+E19+E123+E109</f>
        <v>#NAME?</v>
      </c>
      <c r="F191" s="223" t="e">
        <f>F165+F133+F128+F73+F43+F33+F19+F123+F109</f>
        <v>#NAME?</v>
      </c>
      <c r="G191" s="162">
        <f>G165+G133+G128+G73+G43+G33+G19</f>
        <v>248090</v>
      </c>
    </row>
    <row r="192" spans="1:7" ht="12.75" customHeight="1">
      <c r="A192" s="221"/>
      <c r="B192" s="221"/>
      <c r="C192" s="221"/>
      <c r="D192" s="224" t="s">
        <v>293</v>
      </c>
      <c r="E192" s="225"/>
      <c r="F192" s="226" t="e">
        <f>F166+F160+F134+F129+F94+F74+F53+F49+F44+F34+F20+F27+F126+F115+F116+F117+F119+F118+F120+F121</f>
        <v>#NAME?</v>
      </c>
      <c r="G192" s="127"/>
    </row>
    <row r="193" spans="1:7" ht="12.75" customHeight="1">
      <c r="A193" s="221"/>
      <c r="B193" s="221"/>
      <c r="C193" s="221"/>
      <c r="D193" s="227" t="s">
        <v>294</v>
      </c>
      <c r="E193" s="228"/>
      <c r="F193" s="229">
        <f>F55+F57+F58+F59+F77+F78+F79+F80+F81+F97+F98+F99+F137+F138+F139+F140+F141+F169+F170+F171+F172+F173+F56+F116</f>
        <v>950082</v>
      </c>
      <c r="G193" s="127"/>
    </row>
    <row r="194" spans="1:7" ht="12.75" customHeight="1">
      <c r="A194" s="221"/>
      <c r="B194" s="221"/>
      <c r="C194" s="221"/>
      <c r="D194" s="230" t="s">
        <v>295</v>
      </c>
      <c r="E194" s="231"/>
      <c r="F194" s="232">
        <v>0</v>
      </c>
      <c r="G194" s="127"/>
    </row>
    <row r="195" spans="1:7" ht="13.5" customHeight="1">
      <c r="A195" s="221"/>
      <c r="B195" s="221"/>
      <c r="C195" s="221"/>
      <c r="D195" s="233" t="s">
        <v>296</v>
      </c>
      <c r="E195" s="234"/>
      <c r="F195" s="235">
        <v>0</v>
      </c>
      <c r="G195" s="127"/>
    </row>
  </sheetData>
  <mergeCells count="3">
    <mergeCell ref="A9:F9"/>
    <mergeCell ref="A10:F10"/>
    <mergeCell ref="A11:F11"/>
  </mergeCells>
  <printOptions/>
  <pageMargins left="0.7083333333333334" right="0.7083333333333334" top="0.7479166666666667" bottom="0.7479166666666667" header="0.5118055555555555" footer="0.5118055555555555"/>
  <pageSetup fitToHeight="2" fitToWidth="2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zoomScaleSheetLayoutView="100" workbookViewId="0" topLeftCell="A31">
      <selection activeCell="E44" sqref="E44"/>
    </sheetView>
  </sheetViews>
  <sheetFormatPr defaultColWidth="9.140625" defaultRowHeight="12.75" customHeight="1"/>
  <cols>
    <col min="1" max="1" width="7.7109375" style="33" customWidth="1"/>
    <col min="2" max="2" width="6.8515625" style="33" customWidth="1"/>
    <col min="3" max="3" width="8.7109375" style="33" customWidth="1"/>
    <col min="4" max="4" width="47.8515625" style="33" customWidth="1"/>
    <col min="5" max="16384" width="8.7109375" style="33" customWidth="1"/>
  </cols>
  <sheetData>
    <row r="1" spans="1:6" ht="12.75" customHeight="1">
      <c r="A1" s="236"/>
      <c r="B1" s="236"/>
      <c r="C1" s="236"/>
      <c r="D1" s="236"/>
      <c r="E1" s="237" t="s">
        <v>297</v>
      </c>
      <c r="F1" s="96"/>
    </row>
    <row r="2" spans="1:6" ht="12.75" customHeight="1">
      <c r="A2" s="236"/>
      <c r="B2" s="236"/>
      <c r="C2" s="236"/>
      <c r="D2" s="236"/>
      <c r="E2" s="237" t="s">
        <v>298</v>
      </c>
      <c r="F2" s="96"/>
    </row>
    <row r="3" spans="1:6" ht="12.75" customHeight="1">
      <c r="A3" s="236"/>
      <c r="B3" s="236"/>
      <c r="C3" s="236"/>
      <c r="D3" s="238"/>
      <c r="E3" s="237" t="s">
        <v>2</v>
      </c>
      <c r="F3" s="96"/>
    </row>
    <row r="4" spans="1:6" ht="12.75" customHeight="1">
      <c r="A4" s="236"/>
      <c r="B4" s="236"/>
      <c r="C4" s="236"/>
      <c r="D4" s="238"/>
      <c r="E4" s="237" t="s">
        <v>299</v>
      </c>
      <c r="F4" s="96"/>
    </row>
    <row r="5" spans="1:6" ht="12.75" customHeight="1">
      <c r="A5" s="236"/>
      <c r="B5" s="236"/>
      <c r="C5" s="236"/>
      <c r="D5" s="238"/>
      <c r="E5" s="237"/>
      <c r="F5" s="237"/>
    </row>
    <row r="6" spans="1:6" ht="15.75" customHeight="1">
      <c r="A6" s="131" t="s">
        <v>300</v>
      </c>
      <c r="B6" s="131"/>
      <c r="C6" s="131"/>
      <c r="D6" s="131"/>
      <c r="E6" s="131"/>
      <c r="F6" s="131"/>
    </row>
    <row r="7" spans="1:6" ht="15.75" customHeight="1">
      <c r="A7" s="131" t="s">
        <v>301</v>
      </c>
      <c r="B7" s="131"/>
      <c r="C7" s="131"/>
      <c r="D7" s="131"/>
      <c r="E7" s="131"/>
      <c r="F7" s="131"/>
    </row>
    <row r="8" spans="1:6" ht="15.75" customHeight="1">
      <c r="A8" s="131" t="s">
        <v>302</v>
      </c>
      <c r="B8" s="131"/>
      <c r="C8" s="131"/>
      <c r="D8" s="131"/>
      <c r="E8" s="131"/>
      <c r="F8" s="131"/>
    </row>
    <row r="9" spans="1:6" ht="13.5" customHeight="1">
      <c r="A9" s="238"/>
      <c r="B9" s="238"/>
      <c r="C9" s="238"/>
      <c r="D9" s="238"/>
      <c r="E9" s="238"/>
      <c r="F9" s="239" t="s">
        <v>303</v>
      </c>
    </row>
    <row r="10" spans="1:6" ht="12.75" customHeight="1">
      <c r="A10" s="240" t="s">
        <v>304</v>
      </c>
      <c r="B10" s="240"/>
      <c r="C10" s="240"/>
      <c r="D10" s="241" t="s">
        <v>305</v>
      </c>
      <c r="E10" s="241" t="s">
        <v>190</v>
      </c>
      <c r="F10" s="242" t="s">
        <v>191</v>
      </c>
    </row>
    <row r="11" spans="1:6" ht="12.75" customHeight="1">
      <c r="A11" s="243" t="s">
        <v>187</v>
      </c>
      <c r="B11" s="244" t="s">
        <v>8</v>
      </c>
      <c r="C11" s="244" t="s">
        <v>188</v>
      </c>
      <c r="D11" s="241"/>
      <c r="E11" s="241"/>
      <c r="F11" s="242"/>
    </row>
    <row r="12" spans="1:6" ht="13.5" customHeight="1">
      <c r="A12" s="243"/>
      <c r="B12" s="244"/>
      <c r="C12" s="244"/>
      <c r="D12" s="244"/>
      <c r="E12" s="244"/>
      <c r="F12" s="242"/>
    </row>
    <row r="13" spans="1:6" ht="13.5" customHeight="1">
      <c r="A13" s="245">
        <v>1</v>
      </c>
      <c r="B13" s="246">
        <v>2</v>
      </c>
      <c r="C13" s="247">
        <v>3</v>
      </c>
      <c r="D13" s="246">
        <v>4</v>
      </c>
      <c r="E13" s="246">
        <v>5</v>
      </c>
      <c r="F13" s="248">
        <v>6</v>
      </c>
    </row>
    <row r="14" spans="1:6" ht="13.5" customHeight="1">
      <c r="A14" s="249">
        <v>600</v>
      </c>
      <c r="B14" s="250"/>
      <c r="C14" s="250"/>
      <c r="D14" s="251" t="s">
        <v>306</v>
      </c>
      <c r="E14" s="252">
        <f>E15</f>
        <v>1855931</v>
      </c>
      <c r="F14" s="253">
        <f>F15</f>
        <v>1855931</v>
      </c>
    </row>
    <row r="15" spans="1:6" ht="12.75" customHeight="1">
      <c r="A15" s="254"/>
      <c r="B15" s="255">
        <v>60014</v>
      </c>
      <c r="C15" s="255"/>
      <c r="D15" s="256" t="s">
        <v>307</v>
      </c>
      <c r="E15" s="257">
        <f>E16+E19</f>
        <v>1855931</v>
      </c>
      <c r="F15" s="258">
        <f>+F18+F20</f>
        <v>1855931</v>
      </c>
    </row>
    <row r="16" spans="1:6" ht="12.75" customHeight="1">
      <c r="A16" s="254"/>
      <c r="B16" s="259"/>
      <c r="C16" s="259">
        <v>2310</v>
      </c>
      <c r="D16" s="260" t="s">
        <v>308</v>
      </c>
      <c r="E16" s="261">
        <v>1585931</v>
      </c>
      <c r="F16" s="262"/>
    </row>
    <row r="17" spans="1:6" ht="12.75" customHeight="1">
      <c r="A17" s="254"/>
      <c r="B17" s="259"/>
      <c r="C17" s="259"/>
      <c r="D17" s="260" t="s">
        <v>309</v>
      </c>
      <c r="E17" s="263"/>
      <c r="F17" s="262"/>
    </row>
    <row r="18" spans="1:6" ht="12.75" customHeight="1">
      <c r="A18" s="254"/>
      <c r="B18" s="264"/>
      <c r="C18" s="259">
        <v>4270</v>
      </c>
      <c r="D18" s="260" t="s">
        <v>217</v>
      </c>
      <c r="E18" s="265"/>
      <c r="F18" s="266">
        <v>1585931</v>
      </c>
    </row>
    <row r="19" spans="1:6" ht="12.75" customHeight="1">
      <c r="A19" s="254"/>
      <c r="B19" s="264"/>
      <c r="C19" s="259">
        <v>6610</v>
      </c>
      <c r="D19" s="260" t="s">
        <v>310</v>
      </c>
      <c r="E19" s="267">
        <v>270000</v>
      </c>
      <c r="F19" s="266"/>
    </row>
    <row r="20" spans="1:6" ht="12.75" customHeight="1">
      <c r="A20" s="254"/>
      <c r="B20" s="264"/>
      <c r="C20" s="259">
        <v>6050</v>
      </c>
      <c r="D20" s="260" t="s">
        <v>311</v>
      </c>
      <c r="E20" s="265"/>
      <c r="F20" s="266">
        <v>270000</v>
      </c>
    </row>
    <row r="21" spans="1:6" ht="12.75" customHeight="1">
      <c r="A21" s="254"/>
      <c r="B21" s="264"/>
      <c r="C21" s="259"/>
      <c r="D21" s="260"/>
      <c r="E21" s="268"/>
      <c r="F21" s="269"/>
    </row>
    <row r="22" spans="1:6" ht="13.5" customHeight="1">
      <c r="A22" s="270">
        <v>630</v>
      </c>
      <c r="B22" s="271"/>
      <c r="C22" s="272"/>
      <c r="D22" s="273" t="s">
        <v>312</v>
      </c>
      <c r="E22" s="274"/>
      <c r="F22" s="275">
        <f>F23</f>
        <v>122463</v>
      </c>
    </row>
    <row r="23" spans="1:6" ht="12.75" customHeight="1">
      <c r="A23" s="254"/>
      <c r="B23" s="276">
        <v>63003</v>
      </c>
      <c r="C23" s="277"/>
      <c r="D23" s="278" t="s">
        <v>313</v>
      </c>
      <c r="E23" s="279"/>
      <c r="F23" s="280">
        <f>+F24</f>
        <v>122463</v>
      </c>
    </row>
    <row r="24" spans="1:6" ht="12.75" customHeight="1">
      <c r="A24" s="254"/>
      <c r="B24" s="264"/>
      <c r="C24" s="259">
        <v>2339</v>
      </c>
      <c r="D24" s="281" t="s">
        <v>314</v>
      </c>
      <c r="E24" s="282"/>
      <c r="F24" s="266">
        <v>122463</v>
      </c>
    </row>
    <row r="25" spans="1:6" ht="12.75" customHeight="1">
      <c r="A25" s="254"/>
      <c r="B25" s="264"/>
      <c r="C25" s="259"/>
      <c r="D25" s="260" t="s">
        <v>315</v>
      </c>
      <c r="E25" s="282"/>
      <c r="F25" s="266"/>
    </row>
    <row r="26" spans="1:6" ht="12.75" customHeight="1">
      <c r="A26" s="254"/>
      <c r="B26" s="264"/>
      <c r="C26" s="283"/>
      <c r="D26" s="260"/>
      <c r="E26" s="268"/>
      <c r="F26" s="269"/>
    </row>
    <row r="27" spans="1:6" ht="12.75" customHeight="1">
      <c r="A27" s="254"/>
      <c r="B27" s="264"/>
      <c r="C27" s="283"/>
      <c r="D27" s="260"/>
      <c r="E27" s="268"/>
      <c r="F27" s="269"/>
    </row>
    <row r="28" spans="1:6" ht="13.5" customHeight="1">
      <c r="A28" s="270">
        <v>750</v>
      </c>
      <c r="B28" s="271"/>
      <c r="C28" s="284"/>
      <c r="D28" s="273" t="s">
        <v>245</v>
      </c>
      <c r="E28" s="285"/>
      <c r="F28" s="275">
        <f>F29</f>
        <v>4557</v>
      </c>
    </row>
    <row r="29" spans="1:6" ht="12.75" customHeight="1">
      <c r="A29" s="254"/>
      <c r="B29" s="255">
        <v>75020</v>
      </c>
      <c r="C29" s="286"/>
      <c r="D29" s="287" t="s">
        <v>316</v>
      </c>
      <c r="E29" s="288"/>
      <c r="F29" s="289">
        <f>F30</f>
        <v>4557</v>
      </c>
    </row>
    <row r="30" spans="1:6" ht="12.75" customHeight="1">
      <c r="A30" s="254"/>
      <c r="B30" s="264"/>
      <c r="C30" s="259">
        <v>2339</v>
      </c>
      <c r="D30" s="281" t="s">
        <v>314</v>
      </c>
      <c r="E30" s="268"/>
      <c r="F30" s="266">
        <v>4557</v>
      </c>
    </row>
    <row r="31" spans="1:6" ht="12.75" customHeight="1">
      <c r="A31" s="254"/>
      <c r="B31" s="264"/>
      <c r="C31" s="259"/>
      <c r="D31" s="260" t="s">
        <v>315</v>
      </c>
      <c r="E31" s="268"/>
      <c r="F31" s="269"/>
    </row>
    <row r="32" spans="1:6" ht="12.75" customHeight="1">
      <c r="A32" s="254"/>
      <c r="B32" s="264"/>
      <c r="C32" s="259"/>
      <c r="D32" s="260"/>
      <c r="E32" s="268"/>
      <c r="F32" s="269"/>
    </row>
    <row r="33" spans="1:6" ht="13.5" customHeight="1">
      <c r="A33" s="254"/>
      <c r="B33" s="264"/>
      <c r="C33" s="259"/>
      <c r="D33" s="260"/>
      <c r="E33" s="267"/>
      <c r="F33" s="266"/>
    </row>
    <row r="34" spans="1:6" ht="13.5" customHeight="1">
      <c r="A34" s="290">
        <v>852</v>
      </c>
      <c r="B34" s="291"/>
      <c r="C34" s="292"/>
      <c r="D34" s="293" t="s">
        <v>278</v>
      </c>
      <c r="E34" s="294">
        <f>E35+E41</f>
        <v>250574</v>
      </c>
      <c r="F34" s="295">
        <f>F35+F41+F48</f>
        <v>747602</v>
      </c>
    </row>
    <row r="35" spans="1:6" ht="12.75" customHeight="1">
      <c r="A35" s="296"/>
      <c r="B35" s="297">
        <v>85201</v>
      </c>
      <c r="C35" s="298"/>
      <c r="D35" s="299" t="s">
        <v>317</v>
      </c>
      <c r="E35" s="300">
        <f>E36</f>
        <v>161352</v>
      </c>
      <c r="F35" s="301">
        <f>SUM(F39:F39)</f>
        <v>277000</v>
      </c>
    </row>
    <row r="36" spans="1:6" ht="12.75" customHeight="1">
      <c r="A36" s="296"/>
      <c r="B36" s="302"/>
      <c r="C36" s="303">
        <v>2310</v>
      </c>
      <c r="D36" s="281" t="s">
        <v>318</v>
      </c>
      <c r="E36" s="304">
        <v>161352</v>
      </c>
      <c r="F36" s="305"/>
    </row>
    <row r="37" spans="1:6" ht="12.75" customHeight="1">
      <c r="A37" s="296"/>
      <c r="B37" s="302"/>
      <c r="C37" s="303"/>
      <c r="D37" s="260" t="s">
        <v>319</v>
      </c>
      <c r="E37" s="304"/>
      <c r="F37" s="306"/>
    </row>
    <row r="38" spans="1:6" ht="12.75" customHeight="1">
      <c r="A38" s="296"/>
      <c r="B38" s="302"/>
      <c r="C38" s="303">
        <v>2310</v>
      </c>
      <c r="D38" s="281" t="s">
        <v>320</v>
      </c>
      <c r="E38" s="304"/>
      <c r="F38" s="306"/>
    </row>
    <row r="39" spans="1:6" ht="12.75" customHeight="1">
      <c r="A39" s="296"/>
      <c r="B39" s="302"/>
      <c r="C39" s="303"/>
      <c r="D39" s="281" t="s">
        <v>309</v>
      </c>
      <c r="E39" s="304"/>
      <c r="F39" s="306">
        <v>277000</v>
      </c>
    </row>
    <row r="40" spans="1:6" ht="12.75" customHeight="1">
      <c r="A40" s="296"/>
      <c r="B40" s="302"/>
      <c r="C40" s="303"/>
      <c r="D40" s="281"/>
      <c r="E40" s="304"/>
      <c r="F40" s="306"/>
    </row>
    <row r="41" spans="1:6" ht="12.75" customHeight="1">
      <c r="A41" s="307"/>
      <c r="B41" s="308">
        <v>85204</v>
      </c>
      <c r="C41" s="309"/>
      <c r="D41" s="310" t="s">
        <v>321</v>
      </c>
      <c r="E41" s="311">
        <f>E42</f>
        <v>89222</v>
      </c>
      <c r="F41" s="312">
        <f>F46+F44</f>
        <v>450602</v>
      </c>
    </row>
    <row r="42" spans="1:6" ht="12.75" customHeight="1">
      <c r="A42" s="313"/>
      <c r="B42" s="314"/>
      <c r="C42" s="303">
        <v>2310</v>
      </c>
      <c r="D42" s="281" t="s">
        <v>318</v>
      </c>
      <c r="E42" s="304">
        <v>89222</v>
      </c>
      <c r="F42" s="306"/>
    </row>
    <row r="43" spans="1:6" ht="12.75" customHeight="1">
      <c r="A43" s="313"/>
      <c r="B43" s="314"/>
      <c r="C43" s="303"/>
      <c r="D43" s="260" t="s">
        <v>319</v>
      </c>
      <c r="E43" s="304"/>
      <c r="F43" s="306"/>
    </row>
    <row r="44" spans="1:6" ht="12.75" customHeight="1">
      <c r="A44" s="313"/>
      <c r="B44" s="314"/>
      <c r="C44" s="303">
        <v>2310</v>
      </c>
      <c r="D44" s="281" t="s">
        <v>320</v>
      </c>
      <c r="E44" s="304"/>
      <c r="F44" s="306">
        <v>361380</v>
      </c>
    </row>
    <row r="45" spans="1:6" ht="12.75" customHeight="1">
      <c r="A45" s="313"/>
      <c r="B45" s="314"/>
      <c r="C45" s="303"/>
      <c r="D45" s="281" t="s">
        <v>309</v>
      </c>
      <c r="E45" s="304"/>
      <c r="F45" s="306"/>
    </row>
    <row r="46" spans="1:6" ht="12.75" customHeight="1">
      <c r="A46" s="313"/>
      <c r="B46" s="314"/>
      <c r="C46" s="303">
        <v>3110</v>
      </c>
      <c r="D46" s="260" t="s">
        <v>322</v>
      </c>
      <c r="E46" s="304"/>
      <c r="F46" s="306">
        <v>89222</v>
      </c>
    </row>
    <row r="47" spans="1:6" ht="12.75" customHeight="1">
      <c r="A47" s="313"/>
      <c r="B47" s="314"/>
      <c r="C47" s="303"/>
      <c r="D47" s="281"/>
      <c r="E47" s="304"/>
      <c r="F47" s="306"/>
    </row>
    <row r="48" spans="1:6" ht="12.75" customHeight="1">
      <c r="A48" s="313"/>
      <c r="B48" s="315">
        <v>85295</v>
      </c>
      <c r="C48" s="316"/>
      <c r="D48" s="317" t="s">
        <v>208</v>
      </c>
      <c r="E48" s="311"/>
      <c r="F48" s="312">
        <f>F50</f>
        <v>20000</v>
      </c>
    </row>
    <row r="49" spans="1:6" ht="12.75" customHeight="1">
      <c r="A49" s="313"/>
      <c r="B49" s="314"/>
      <c r="C49" s="303">
        <v>2310</v>
      </c>
      <c r="D49" s="281" t="s">
        <v>320</v>
      </c>
      <c r="E49" s="304"/>
      <c r="F49" s="306"/>
    </row>
    <row r="50" spans="1:6" ht="12.75" customHeight="1">
      <c r="A50" s="313"/>
      <c r="B50" s="314"/>
      <c r="C50" s="303"/>
      <c r="D50" s="281" t="s">
        <v>309</v>
      </c>
      <c r="E50" s="304"/>
      <c r="F50" s="306">
        <v>20000</v>
      </c>
    </row>
    <row r="51" spans="1:6" ht="12.75" customHeight="1">
      <c r="A51" s="313"/>
      <c r="B51" s="314"/>
      <c r="C51" s="303"/>
      <c r="D51" s="129"/>
      <c r="E51" s="304"/>
      <c r="F51" s="306"/>
    </row>
    <row r="52" spans="1:6" ht="13.5" customHeight="1">
      <c r="A52" s="313"/>
      <c r="B52" s="314"/>
      <c r="C52" s="303"/>
      <c r="D52" s="129"/>
      <c r="E52" s="304"/>
      <c r="F52" s="306"/>
    </row>
    <row r="53" spans="1:6" ht="13.5" customHeight="1">
      <c r="A53" s="318">
        <v>853</v>
      </c>
      <c r="B53" s="319"/>
      <c r="C53" s="291"/>
      <c r="D53" s="320" t="s">
        <v>287</v>
      </c>
      <c r="E53" s="321">
        <f>E54</f>
        <v>0</v>
      </c>
      <c r="F53" s="295">
        <f>F54</f>
        <v>637539</v>
      </c>
    </row>
    <row r="54" spans="1:6" ht="12.75" customHeight="1">
      <c r="A54" s="313"/>
      <c r="B54" s="322">
        <v>85333</v>
      </c>
      <c r="C54" s="323"/>
      <c r="D54" s="324" t="s">
        <v>323</v>
      </c>
      <c r="E54" s="300"/>
      <c r="F54" s="301">
        <f>F55</f>
        <v>637539</v>
      </c>
    </row>
    <row r="55" spans="1:6" ht="12.75" customHeight="1">
      <c r="A55" s="313"/>
      <c r="B55" s="314"/>
      <c r="C55" s="303">
        <v>2310</v>
      </c>
      <c r="D55" s="281" t="s">
        <v>320</v>
      </c>
      <c r="E55" s="304"/>
      <c r="F55" s="306">
        <v>637539</v>
      </c>
    </row>
    <row r="56" spans="1:6" ht="12.75" customHeight="1">
      <c r="A56" s="313"/>
      <c r="B56" s="314"/>
      <c r="C56" s="303"/>
      <c r="D56" s="281" t="s">
        <v>309</v>
      </c>
      <c r="E56" s="304"/>
      <c r="F56" s="306"/>
    </row>
    <row r="57" spans="1:6" ht="13.5" customHeight="1">
      <c r="A57" s="313"/>
      <c r="B57" s="314"/>
      <c r="C57" s="303"/>
      <c r="D57" s="129"/>
      <c r="E57" s="304"/>
      <c r="F57" s="306"/>
    </row>
    <row r="58" spans="1:6" ht="13.5" customHeight="1">
      <c r="A58" s="318">
        <v>854</v>
      </c>
      <c r="B58" s="319"/>
      <c r="C58" s="291"/>
      <c r="D58" s="320" t="s">
        <v>324</v>
      </c>
      <c r="E58" s="321"/>
      <c r="F58" s="295">
        <f>F59</f>
        <v>131889</v>
      </c>
    </row>
    <row r="59" spans="1:6" ht="12.75" customHeight="1">
      <c r="A59" s="313"/>
      <c r="B59" s="322">
        <v>85406</v>
      </c>
      <c r="C59" s="323"/>
      <c r="D59" s="325" t="s">
        <v>325</v>
      </c>
      <c r="E59" s="300"/>
      <c r="F59" s="301">
        <f>F60</f>
        <v>131889</v>
      </c>
    </row>
    <row r="60" spans="1:6" ht="12.75" customHeight="1">
      <c r="A60" s="313"/>
      <c r="B60" s="314"/>
      <c r="C60" s="303">
        <v>2310</v>
      </c>
      <c r="D60" s="281" t="s">
        <v>320</v>
      </c>
      <c r="E60" s="304"/>
      <c r="F60" s="306">
        <v>131889</v>
      </c>
    </row>
    <row r="61" spans="1:6" ht="12.75" customHeight="1">
      <c r="A61" s="313"/>
      <c r="B61" s="314"/>
      <c r="C61" s="303"/>
      <c r="D61" s="281" t="s">
        <v>309</v>
      </c>
      <c r="E61" s="304"/>
      <c r="F61" s="306"/>
    </row>
    <row r="62" spans="1:6" ht="12.75" customHeight="1">
      <c r="A62" s="313"/>
      <c r="B62" s="314"/>
      <c r="C62" s="303"/>
      <c r="D62" s="281"/>
      <c r="E62" s="304"/>
      <c r="F62" s="306"/>
    </row>
    <row r="63" spans="1:6" ht="13.5" customHeight="1">
      <c r="A63" s="326">
        <v>900</v>
      </c>
      <c r="B63" s="327"/>
      <c r="C63" s="328"/>
      <c r="D63" s="329" t="s">
        <v>326</v>
      </c>
      <c r="E63" s="330"/>
      <c r="F63" s="331">
        <f>F64</f>
        <v>60000</v>
      </c>
    </row>
    <row r="64" spans="1:6" ht="12.75" customHeight="1">
      <c r="A64" s="313"/>
      <c r="B64" s="322">
        <v>90095</v>
      </c>
      <c r="C64" s="323"/>
      <c r="D64" s="299" t="s">
        <v>208</v>
      </c>
      <c r="E64" s="300"/>
      <c r="F64" s="301">
        <f>F66</f>
        <v>60000</v>
      </c>
    </row>
    <row r="65" spans="1:6" ht="12.75" customHeight="1">
      <c r="A65" s="313"/>
      <c r="B65" s="314"/>
      <c r="C65" s="303">
        <v>6610</v>
      </c>
      <c r="D65" s="281" t="s">
        <v>327</v>
      </c>
      <c r="E65" s="304"/>
      <c r="F65" s="306"/>
    </row>
    <row r="66" spans="1:6" ht="12.75" customHeight="1">
      <c r="A66" s="313"/>
      <c r="B66" s="314"/>
      <c r="C66" s="303"/>
      <c r="D66" s="281" t="s">
        <v>309</v>
      </c>
      <c r="E66" s="304"/>
      <c r="F66" s="306">
        <v>60000</v>
      </c>
    </row>
    <row r="67" spans="1:6" ht="13.5" customHeight="1">
      <c r="A67" s="313"/>
      <c r="B67" s="314"/>
      <c r="C67" s="303"/>
      <c r="D67" s="281"/>
      <c r="E67" s="304"/>
      <c r="F67" s="306"/>
    </row>
    <row r="68" spans="1:6" ht="13.5" customHeight="1">
      <c r="A68" s="318">
        <v>921</v>
      </c>
      <c r="B68" s="319"/>
      <c r="C68" s="291"/>
      <c r="D68" s="332" t="s">
        <v>328</v>
      </c>
      <c r="E68" s="321">
        <f>E69</f>
        <v>0</v>
      </c>
      <c r="F68" s="295" t="e">
        <f>F69</f>
        <v>#NAME?</v>
      </c>
    </row>
    <row r="69" spans="1:6" ht="12.75" customHeight="1">
      <c r="A69" s="313"/>
      <c r="B69" s="315">
        <v>92116</v>
      </c>
      <c r="C69" s="316"/>
      <c r="D69" s="333" t="s">
        <v>329</v>
      </c>
      <c r="E69" s="311"/>
      <c r="F69" s="312" t="e">
        <f>F70</f>
        <v>#NAME?</v>
      </c>
    </row>
    <row r="70" spans="1:6" ht="12.75" customHeight="1">
      <c r="A70" s="313"/>
      <c r="B70" s="314"/>
      <c r="C70" s="303">
        <v>2310</v>
      </c>
      <c r="D70" s="281" t="s">
        <v>320</v>
      </c>
      <c r="E70" s="304"/>
      <c r="F70" s="306" t="e">
        <f>"'[1]wydatki ukł.wyk.'!f653"</f>
        <v>#NAME?</v>
      </c>
    </row>
    <row r="71" spans="1:6" ht="12.75" customHeight="1">
      <c r="A71" s="334"/>
      <c r="B71" s="315"/>
      <c r="C71" s="316"/>
      <c r="D71" s="278" t="s">
        <v>309</v>
      </c>
      <c r="E71" s="311"/>
      <c r="F71" s="312"/>
    </row>
    <row r="72" spans="1:6" ht="13.5" customHeight="1">
      <c r="A72" s="96"/>
      <c r="B72" s="96"/>
      <c r="C72" s="96"/>
      <c r="D72" s="335" t="s">
        <v>292</v>
      </c>
      <c r="E72" s="336">
        <f>E68+E58+E53+E34+E14+E22+E28</f>
        <v>2106505</v>
      </c>
      <c r="F72" s="337" t="e">
        <f>F68+F58+F53+F34+F14+F22+F28+F63</f>
        <v>#NAME?</v>
      </c>
    </row>
    <row r="73" spans="1:6" ht="12.75" customHeight="1">
      <c r="A73" s="96"/>
      <c r="B73" s="96"/>
      <c r="C73" s="96"/>
      <c r="D73" s="338" t="s">
        <v>293</v>
      </c>
      <c r="E73" s="339"/>
      <c r="F73" s="340" t="e">
        <f>F72-F76</f>
        <v>#NAME?</v>
      </c>
    </row>
    <row r="74" spans="1:6" ht="12.75" customHeight="1">
      <c r="A74" s="96"/>
      <c r="B74" s="96"/>
      <c r="C74" s="96"/>
      <c r="D74" s="341" t="s">
        <v>294</v>
      </c>
      <c r="E74" s="342"/>
      <c r="F74" s="343">
        <f>0</f>
        <v>0</v>
      </c>
    </row>
    <row r="75" spans="1:6" ht="12.75" customHeight="1">
      <c r="A75" s="96"/>
      <c r="B75" s="96"/>
      <c r="C75" s="96"/>
      <c r="D75" s="344" t="s">
        <v>330</v>
      </c>
      <c r="E75" s="345"/>
      <c r="F75" s="346" t="e">
        <f>F70+F55+F44+F39+F30+F24+F50+F60</f>
        <v>#NAME?</v>
      </c>
    </row>
    <row r="76" spans="1:6" ht="13.5" customHeight="1">
      <c r="A76" s="96"/>
      <c r="B76" s="96"/>
      <c r="C76" s="96"/>
      <c r="D76" s="347" t="s">
        <v>296</v>
      </c>
      <c r="E76" s="348"/>
      <c r="F76" s="349">
        <f>+F66+F20</f>
        <v>330000</v>
      </c>
    </row>
    <row r="77" spans="1:6" ht="12.75" customHeight="1">
      <c r="A77" s="96"/>
      <c r="B77" s="96"/>
      <c r="C77" s="96"/>
      <c r="D77" s="96"/>
      <c r="E77" s="96"/>
      <c r="F77" s="96"/>
    </row>
    <row r="78" spans="1:6" ht="12.75" customHeight="1">
      <c r="A78" s="96"/>
      <c r="B78" s="96"/>
      <c r="C78" s="96"/>
      <c r="D78" s="96"/>
      <c r="E78" s="96"/>
      <c r="F78" s="96"/>
    </row>
    <row r="79" spans="1:6" ht="12.75" customHeight="1">
      <c r="A79" s="96"/>
      <c r="B79" s="96"/>
      <c r="C79" s="96"/>
      <c r="D79" s="96"/>
      <c r="E79" s="96"/>
      <c r="F79" s="96"/>
    </row>
    <row r="80" spans="1:6" ht="12.75" customHeight="1">
      <c r="A80" s="96"/>
      <c r="B80" s="96"/>
      <c r="C80" s="96"/>
      <c r="D80" s="96"/>
      <c r="E80" s="96"/>
      <c r="F80" s="96"/>
    </row>
    <row r="81" spans="1:6" ht="12.75" customHeight="1">
      <c r="A81" s="96"/>
      <c r="B81" s="96"/>
      <c r="C81" s="96"/>
      <c r="D81" s="96"/>
      <c r="E81" s="96"/>
      <c r="F81" s="96"/>
    </row>
    <row r="82" spans="1:6" ht="12.75" customHeight="1">
      <c r="A82" s="96"/>
      <c r="B82" s="96"/>
      <c r="C82" s="96"/>
      <c r="D82" s="96"/>
      <c r="E82" s="96"/>
      <c r="F82" s="96"/>
    </row>
  </sheetData>
  <mergeCells count="10">
    <mergeCell ref="A6:F6"/>
    <mergeCell ref="A7:F7"/>
    <mergeCell ref="A8:F8"/>
    <mergeCell ref="A10:C10"/>
    <mergeCell ref="D10:D12"/>
    <mergeCell ref="E10:E12"/>
    <mergeCell ref="F10:F12"/>
    <mergeCell ref="A11:A12"/>
    <mergeCell ref="B11:B12"/>
    <mergeCell ref="C11:C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 topLeftCell="A4">
      <selection activeCell="F22" sqref="F22"/>
    </sheetView>
  </sheetViews>
  <sheetFormatPr defaultColWidth="9.140625" defaultRowHeight="12.75" customHeight="1"/>
  <cols>
    <col min="1" max="1" width="4.8515625" style="33" customWidth="1"/>
    <col min="2" max="3" width="7.421875" style="33" customWidth="1"/>
    <col min="4" max="4" width="46.8515625" style="33" customWidth="1"/>
    <col min="5" max="5" width="10.57421875" style="33" customWidth="1"/>
    <col min="6" max="6" width="14.00390625" style="33" customWidth="1"/>
    <col min="7" max="16384" width="8.7109375" style="33" customWidth="1"/>
  </cols>
  <sheetData>
    <row r="1" spans="1:6" ht="12.75" customHeight="1">
      <c r="A1" s="236"/>
      <c r="B1" s="236"/>
      <c r="C1" s="236"/>
      <c r="D1" s="236"/>
      <c r="F1" s="350" t="s">
        <v>331</v>
      </c>
    </row>
    <row r="2" spans="1:6" ht="12.75" customHeight="1">
      <c r="A2" s="236"/>
      <c r="B2" s="236"/>
      <c r="C2" s="236"/>
      <c r="D2" s="236"/>
      <c r="F2" s="350" t="s">
        <v>298</v>
      </c>
    </row>
    <row r="3" spans="1:6" ht="12.75" customHeight="1">
      <c r="A3" s="236"/>
      <c r="B3" s="236"/>
      <c r="C3" s="236"/>
      <c r="D3" s="238"/>
      <c r="F3" s="350" t="s">
        <v>2</v>
      </c>
    </row>
    <row r="4" spans="1:6" ht="12.75" customHeight="1">
      <c r="A4" s="236"/>
      <c r="B4" s="236"/>
      <c r="C4" s="236"/>
      <c r="D4" s="238"/>
      <c r="F4" s="350" t="s">
        <v>332</v>
      </c>
    </row>
    <row r="5" spans="1:6" ht="12.75" customHeight="1">
      <c r="A5" s="236"/>
      <c r="B5" s="236"/>
      <c r="C5" s="236"/>
      <c r="D5" s="238"/>
      <c r="E5" s="237"/>
      <c r="F5" s="237"/>
    </row>
    <row r="6" spans="1:6" ht="15.75" customHeight="1">
      <c r="A6" s="131" t="s">
        <v>300</v>
      </c>
      <c r="B6" s="131"/>
      <c r="C6" s="131"/>
      <c r="D6" s="131"/>
      <c r="E6" s="131"/>
      <c r="F6" s="131"/>
    </row>
    <row r="7" spans="1:6" ht="15.75" customHeight="1">
      <c r="A7" s="131" t="s">
        <v>333</v>
      </c>
      <c r="B7" s="131"/>
      <c r="C7" s="131"/>
      <c r="D7" s="131"/>
      <c r="E7" s="131"/>
      <c r="F7" s="131"/>
    </row>
    <row r="8" spans="1:6" ht="15.75" customHeight="1">
      <c r="A8" s="131" t="s">
        <v>334</v>
      </c>
      <c r="B8" s="131"/>
      <c r="C8" s="131"/>
      <c r="D8" s="131"/>
      <c r="E8" s="131"/>
      <c r="F8" s="131"/>
    </row>
    <row r="10" spans="1:6" ht="13.5" customHeight="1">
      <c r="A10" s="238"/>
      <c r="B10" s="238"/>
      <c r="C10" s="238"/>
      <c r="D10" s="238"/>
      <c r="E10" s="238"/>
      <c r="F10" s="239" t="s">
        <v>303</v>
      </c>
    </row>
    <row r="11" spans="1:6" ht="12.75" customHeight="1">
      <c r="A11" s="240" t="s">
        <v>304</v>
      </c>
      <c r="B11" s="240"/>
      <c r="C11" s="240"/>
      <c r="D11" s="241" t="s">
        <v>305</v>
      </c>
      <c r="E11" s="241" t="s">
        <v>190</v>
      </c>
      <c r="F11" s="242" t="s">
        <v>191</v>
      </c>
    </row>
    <row r="12" spans="1:6" ht="12.75" customHeight="1">
      <c r="A12" s="243" t="s">
        <v>187</v>
      </c>
      <c r="B12" s="244" t="s">
        <v>8</v>
      </c>
      <c r="C12" s="244" t="s">
        <v>188</v>
      </c>
      <c r="D12" s="241"/>
      <c r="E12" s="241"/>
      <c r="F12" s="242"/>
    </row>
    <row r="13" spans="1:6" ht="13.5" customHeight="1">
      <c r="A13" s="243"/>
      <c r="B13" s="244"/>
      <c r="C13" s="244"/>
      <c r="D13" s="244"/>
      <c r="E13" s="244"/>
      <c r="F13" s="242"/>
    </row>
    <row r="14" spans="1:6" ht="13.5" customHeight="1">
      <c r="A14" s="245">
        <v>1</v>
      </c>
      <c r="B14" s="246">
        <v>2</v>
      </c>
      <c r="C14" s="247">
        <v>3</v>
      </c>
      <c r="D14" s="246">
        <v>4</v>
      </c>
      <c r="E14" s="246">
        <v>5</v>
      </c>
      <c r="F14" s="248">
        <v>6</v>
      </c>
    </row>
    <row r="15" spans="1:6" ht="13.5" customHeight="1">
      <c r="A15" s="351">
        <v>852</v>
      </c>
      <c r="B15" s="352"/>
      <c r="C15" s="352"/>
      <c r="D15" s="352" t="s">
        <v>278</v>
      </c>
      <c r="E15" s="353">
        <f>E16</f>
        <v>50000</v>
      </c>
      <c r="F15" s="354">
        <f>F16</f>
        <v>50000</v>
      </c>
    </row>
    <row r="16" spans="1:6" ht="12.75" customHeight="1">
      <c r="A16" s="355"/>
      <c r="B16" s="356">
        <v>85295</v>
      </c>
      <c r="C16" s="356"/>
      <c r="D16" s="356" t="s">
        <v>208</v>
      </c>
      <c r="E16" s="357">
        <f>SUM(E17)</f>
        <v>50000</v>
      </c>
      <c r="F16" s="358">
        <f>SUM(F20:F25)</f>
        <v>50000</v>
      </c>
    </row>
    <row r="17" spans="1:6" ht="12.75" customHeight="1">
      <c r="A17" s="355"/>
      <c r="B17" s="359"/>
      <c r="C17" s="359">
        <v>2120</v>
      </c>
      <c r="D17" s="359" t="s">
        <v>335</v>
      </c>
      <c r="E17" s="360">
        <v>50000</v>
      </c>
      <c r="F17" s="361"/>
    </row>
    <row r="18" spans="1:6" ht="12.75" customHeight="1">
      <c r="A18" s="355"/>
      <c r="B18" s="359"/>
      <c r="C18" s="359"/>
      <c r="D18" s="359" t="s">
        <v>336</v>
      </c>
      <c r="E18" s="360"/>
      <c r="F18" s="361"/>
    </row>
    <row r="19" spans="1:6" ht="12.75" customHeight="1">
      <c r="A19" s="355"/>
      <c r="B19" s="359"/>
      <c r="C19" s="359"/>
      <c r="D19" s="359" t="s">
        <v>337</v>
      </c>
      <c r="E19" s="360"/>
      <c r="F19" s="361"/>
    </row>
    <row r="20" spans="1:6" ht="12.75" customHeight="1">
      <c r="A20" s="355"/>
      <c r="B20" s="359"/>
      <c r="C20" s="359">
        <v>4110</v>
      </c>
      <c r="D20" s="260" t="s">
        <v>338</v>
      </c>
      <c r="E20" s="360"/>
      <c r="F20" s="361">
        <v>677</v>
      </c>
    </row>
    <row r="21" spans="1:6" ht="12.75" customHeight="1">
      <c r="A21" s="355"/>
      <c r="B21" s="359"/>
      <c r="C21" s="359">
        <v>4120</v>
      </c>
      <c r="D21" s="260" t="s">
        <v>248</v>
      </c>
      <c r="E21" s="360"/>
      <c r="F21" s="361">
        <v>96</v>
      </c>
    </row>
    <row r="22" spans="1:6" ht="12.75" customHeight="1">
      <c r="A22" s="355"/>
      <c r="B22" s="359"/>
      <c r="C22" s="359">
        <v>4170</v>
      </c>
      <c r="D22" s="359" t="s">
        <v>249</v>
      </c>
      <c r="E22" s="360"/>
      <c r="F22" s="361">
        <v>4427</v>
      </c>
    </row>
    <row r="23" spans="1:6" ht="12.75" customHeight="1">
      <c r="A23" s="355"/>
      <c r="B23" s="359"/>
      <c r="C23" s="359">
        <v>4210</v>
      </c>
      <c r="D23" s="260" t="s">
        <v>215</v>
      </c>
      <c r="E23" s="360"/>
      <c r="F23" s="361">
        <v>2346</v>
      </c>
    </row>
    <row r="24" spans="1:6" ht="12.75" customHeight="1">
      <c r="A24" s="355"/>
      <c r="B24" s="359"/>
      <c r="C24" s="359">
        <v>4300</v>
      </c>
      <c r="D24" s="260" t="s">
        <v>202</v>
      </c>
      <c r="E24" s="360"/>
      <c r="F24" s="361">
        <v>41926</v>
      </c>
    </row>
    <row r="25" spans="1:6" ht="12.75" customHeight="1">
      <c r="A25" s="355"/>
      <c r="B25" s="359"/>
      <c r="C25" s="359">
        <v>4430</v>
      </c>
      <c r="D25" s="260" t="s">
        <v>238</v>
      </c>
      <c r="E25" s="360" t="s">
        <v>339</v>
      </c>
      <c r="F25" s="361">
        <v>528</v>
      </c>
    </row>
    <row r="26" spans="1:6" ht="12.75" customHeight="1">
      <c r="A26" s="355"/>
      <c r="B26" s="359"/>
      <c r="C26" s="359"/>
      <c r="D26" s="260"/>
      <c r="E26" s="360"/>
      <c r="F26" s="361"/>
    </row>
    <row r="27" spans="1:6" ht="13.5" customHeight="1">
      <c r="A27" s="362"/>
      <c r="B27" s="363"/>
      <c r="C27" s="363"/>
      <c r="D27" s="364" t="s">
        <v>340</v>
      </c>
      <c r="E27" s="336">
        <f>E15</f>
        <v>50000</v>
      </c>
      <c r="F27" s="337">
        <f>F15</f>
        <v>50000</v>
      </c>
    </row>
  </sheetData>
  <mergeCells count="10">
    <mergeCell ref="A6:F6"/>
    <mergeCell ref="A7:F7"/>
    <mergeCell ref="A8:F8"/>
    <mergeCell ref="A11:C11"/>
    <mergeCell ref="D11:D13"/>
    <mergeCell ref="E11:E13"/>
    <mergeCell ref="F11:F13"/>
    <mergeCell ref="A12:A13"/>
    <mergeCell ref="B12:B13"/>
    <mergeCell ref="C12:C13"/>
  </mergeCells>
  <printOptions/>
  <pageMargins left="0.7" right="0.7" top="0.75" bottom="0.75" header="0.5118055555555555" footer="0.5118055555555555"/>
  <pageSetup horizontalDpi="300" verticalDpi="3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workbookViewId="0" topLeftCell="A16">
      <selection activeCell="H25" sqref="H25"/>
    </sheetView>
  </sheetViews>
  <sheetFormatPr defaultColWidth="9.140625" defaultRowHeight="12.75" customHeight="1"/>
  <cols>
    <col min="1" max="1" width="4.7109375" style="1" customWidth="1"/>
    <col min="2" max="2" width="40.140625" style="1" customWidth="1"/>
    <col min="3" max="3" width="14.00390625" style="1" customWidth="1"/>
    <col min="4" max="4" width="0" style="1" hidden="1" customWidth="1"/>
    <col min="5" max="5" width="13.7109375" style="1" customWidth="1"/>
    <col min="6" max="16384" width="9.140625" style="1" customWidth="1"/>
  </cols>
  <sheetData>
    <row r="1" spans="1:5" ht="15" customHeight="1">
      <c r="A1" s="365"/>
      <c r="B1" s="365"/>
      <c r="C1" s="365"/>
      <c r="D1" s="366" t="s">
        <v>341</v>
      </c>
      <c r="E1" s="367" t="s">
        <v>342</v>
      </c>
    </row>
    <row r="2" spans="1:5" ht="15" customHeight="1">
      <c r="A2" s="365"/>
      <c r="B2" s="365"/>
      <c r="C2" s="365"/>
      <c r="D2" s="366" t="s">
        <v>343</v>
      </c>
      <c r="E2" s="365"/>
    </row>
    <row r="3" spans="1:5" ht="15" customHeight="1">
      <c r="A3" s="365"/>
      <c r="B3" s="365"/>
      <c r="C3" s="365"/>
      <c r="D3" s="366" t="s">
        <v>2</v>
      </c>
      <c r="E3" s="365"/>
    </row>
    <row r="4" spans="1:5" ht="15" customHeight="1">
      <c r="A4" s="365"/>
      <c r="B4" s="365"/>
      <c r="C4" s="365"/>
      <c r="D4" s="366" t="s">
        <v>344</v>
      </c>
      <c r="E4" s="365"/>
    </row>
    <row r="5" spans="1:5" ht="15" customHeight="1">
      <c r="A5" s="365"/>
      <c r="B5" s="365"/>
      <c r="C5" s="365"/>
      <c r="D5" s="366"/>
      <c r="E5" s="365"/>
    </row>
    <row r="6" spans="1:5" ht="15" customHeight="1">
      <c r="A6" s="368" t="s">
        <v>345</v>
      </c>
      <c r="B6" s="368"/>
      <c r="C6" s="368"/>
      <c r="D6" s="368"/>
      <c r="E6" s="368"/>
    </row>
    <row r="8" ht="13.5" customHeight="1">
      <c r="E8" s="369" t="s">
        <v>5</v>
      </c>
    </row>
    <row r="9" spans="1:5" ht="13.5" customHeight="1">
      <c r="A9" s="370" t="s">
        <v>346</v>
      </c>
      <c r="B9" s="370" t="s">
        <v>347</v>
      </c>
      <c r="C9" s="370" t="s">
        <v>304</v>
      </c>
      <c r="D9" s="371" t="s">
        <v>348</v>
      </c>
      <c r="E9" s="371"/>
    </row>
    <row r="10" spans="1:5" ht="12.75" customHeight="1">
      <c r="A10" s="372"/>
      <c r="B10" s="372"/>
      <c r="C10" s="372" t="s">
        <v>188</v>
      </c>
      <c r="D10" s="373" t="s">
        <v>349</v>
      </c>
      <c r="E10" s="370" t="s">
        <v>350</v>
      </c>
    </row>
    <row r="11" spans="1:5" ht="13.5" customHeight="1">
      <c r="A11" s="372"/>
      <c r="B11" s="372"/>
      <c r="C11" s="372"/>
      <c r="D11" s="374" t="s">
        <v>351</v>
      </c>
      <c r="E11" s="374" t="s">
        <v>79</v>
      </c>
    </row>
    <row r="12" spans="1:5" ht="9" customHeight="1">
      <c r="A12" s="375">
        <v>1</v>
      </c>
      <c r="B12" s="375">
        <v>2</v>
      </c>
      <c r="C12" s="375">
        <v>3</v>
      </c>
      <c r="D12" s="375">
        <v>4</v>
      </c>
      <c r="E12" s="375">
        <v>5</v>
      </c>
    </row>
    <row r="13" spans="1:5" ht="19.5" customHeight="1">
      <c r="A13" s="376" t="s">
        <v>22</v>
      </c>
      <c r="B13" s="377" t="s">
        <v>352</v>
      </c>
      <c r="C13" s="376"/>
      <c r="D13" s="378">
        <v>48874566</v>
      </c>
      <c r="E13" s="378">
        <v>58073177</v>
      </c>
    </row>
    <row r="14" spans="1:5" ht="19.5" customHeight="1">
      <c r="A14" s="379" t="s">
        <v>60</v>
      </c>
      <c r="B14" s="380" t="s">
        <v>12</v>
      </c>
      <c r="C14" s="379"/>
      <c r="D14" s="381">
        <v>52140783</v>
      </c>
      <c r="E14" s="381">
        <v>60406885</v>
      </c>
    </row>
    <row r="15" spans="1:5" ht="19.5" customHeight="1">
      <c r="A15" s="379"/>
      <c r="B15" s="380" t="s">
        <v>353</v>
      </c>
      <c r="C15" s="379"/>
      <c r="D15" s="381"/>
      <c r="E15" s="381"/>
    </row>
    <row r="16" spans="1:5" ht="19.5" customHeight="1">
      <c r="A16" s="382"/>
      <c r="B16" s="383" t="s">
        <v>354</v>
      </c>
      <c r="C16" s="382"/>
      <c r="D16" s="384">
        <f>D13-D14</f>
        <v>-3266217</v>
      </c>
      <c r="E16" s="384">
        <f>E13-E14</f>
        <v>-2333708</v>
      </c>
    </row>
    <row r="17" spans="1:5" ht="19.5" customHeight="1">
      <c r="A17" s="370" t="s">
        <v>355</v>
      </c>
      <c r="B17" s="385" t="s">
        <v>356</v>
      </c>
      <c r="C17" s="386"/>
      <c r="D17" s="387">
        <f>D18-D28</f>
        <v>6047592</v>
      </c>
      <c r="E17" s="387">
        <f>E18-E28</f>
        <v>2333708</v>
      </c>
    </row>
    <row r="18" spans="1:5" ht="19.5" customHeight="1">
      <c r="A18" s="388" t="s">
        <v>357</v>
      </c>
      <c r="B18" s="388"/>
      <c r="C18" s="375"/>
      <c r="D18" s="389">
        <f>SUM(D19:D27)</f>
        <v>6588930</v>
      </c>
      <c r="E18" s="389">
        <f>SUM(E19:E27)</f>
        <v>4104279</v>
      </c>
    </row>
    <row r="19" spans="1:5" ht="19.5" customHeight="1">
      <c r="A19" s="390" t="s">
        <v>22</v>
      </c>
      <c r="B19" s="391" t="s">
        <v>358</v>
      </c>
      <c r="C19" s="390" t="s">
        <v>359</v>
      </c>
      <c r="D19" s="392">
        <v>2295049</v>
      </c>
      <c r="E19" s="392">
        <v>986232</v>
      </c>
    </row>
    <row r="20" spans="1:5" ht="19.5" customHeight="1">
      <c r="A20" s="379" t="s">
        <v>60</v>
      </c>
      <c r="B20" s="380" t="s">
        <v>360</v>
      </c>
      <c r="C20" s="379" t="s">
        <v>359</v>
      </c>
      <c r="D20" s="381"/>
      <c r="E20" s="381"/>
    </row>
    <row r="21" spans="1:5" ht="49.5" customHeight="1">
      <c r="A21" s="379" t="s">
        <v>26</v>
      </c>
      <c r="B21" s="393" t="s">
        <v>361</v>
      </c>
      <c r="C21" s="379" t="s">
        <v>362</v>
      </c>
      <c r="D21" s="381"/>
      <c r="E21" s="381">
        <v>0</v>
      </c>
    </row>
    <row r="22" spans="1:5" ht="19.5" customHeight="1">
      <c r="A22" s="379" t="s">
        <v>28</v>
      </c>
      <c r="B22" s="380" t="s">
        <v>363</v>
      </c>
      <c r="C22" s="379" t="s">
        <v>364</v>
      </c>
      <c r="D22" s="381"/>
      <c r="E22" s="381">
        <v>296672</v>
      </c>
    </row>
    <row r="23" spans="1:5" ht="19.5" customHeight="1">
      <c r="A23" s="379" t="s">
        <v>31</v>
      </c>
      <c r="B23" s="380" t="s">
        <v>365</v>
      </c>
      <c r="C23" s="379" t="s">
        <v>366</v>
      </c>
      <c r="D23" s="381"/>
      <c r="E23" s="381"/>
    </row>
    <row r="24" spans="1:5" ht="19.5" customHeight="1">
      <c r="A24" s="379" t="s">
        <v>33</v>
      </c>
      <c r="B24" s="380" t="s">
        <v>367</v>
      </c>
      <c r="C24" s="379" t="s">
        <v>368</v>
      </c>
      <c r="D24" s="381">
        <v>2193881</v>
      </c>
      <c r="E24" s="381">
        <v>2193881</v>
      </c>
    </row>
    <row r="25" spans="1:5" ht="19.5" customHeight="1">
      <c r="A25" s="379" t="s">
        <v>36</v>
      </c>
      <c r="B25" s="380" t="s">
        <v>369</v>
      </c>
      <c r="C25" s="379" t="s">
        <v>370</v>
      </c>
      <c r="D25" s="381">
        <v>2100000</v>
      </c>
      <c r="E25" s="381">
        <v>0</v>
      </c>
    </row>
    <row r="26" spans="1:5" ht="19.5" customHeight="1">
      <c r="A26" s="379" t="s">
        <v>38</v>
      </c>
      <c r="B26" s="380" t="s">
        <v>371</v>
      </c>
      <c r="C26" s="379" t="s">
        <v>372</v>
      </c>
      <c r="D26" s="381"/>
      <c r="E26" s="381"/>
    </row>
    <row r="27" spans="1:5" ht="19.5" customHeight="1">
      <c r="A27" s="376" t="s">
        <v>40</v>
      </c>
      <c r="B27" s="377" t="s">
        <v>373</v>
      </c>
      <c r="C27" s="376" t="s">
        <v>374</v>
      </c>
      <c r="D27" s="378"/>
      <c r="E27" s="378">
        <v>627494</v>
      </c>
    </row>
    <row r="28" spans="1:5" ht="19.5" customHeight="1">
      <c r="A28" s="388" t="s">
        <v>375</v>
      </c>
      <c r="B28" s="388"/>
      <c r="C28" s="375"/>
      <c r="D28" s="389">
        <f>SUM(D29:D36)</f>
        <v>541338</v>
      </c>
      <c r="E28" s="389">
        <f>SUM(E29:E36)</f>
        <v>1770571</v>
      </c>
    </row>
    <row r="29" spans="1:5" ht="19.5" customHeight="1">
      <c r="A29" s="394" t="s">
        <v>22</v>
      </c>
      <c r="B29" s="395" t="s">
        <v>376</v>
      </c>
      <c r="C29" s="394" t="s">
        <v>377</v>
      </c>
      <c r="D29" s="396">
        <v>511338</v>
      </c>
      <c r="E29" s="396">
        <v>689499</v>
      </c>
    </row>
    <row r="30" spans="1:5" ht="19.5" customHeight="1">
      <c r="A30" s="379" t="s">
        <v>60</v>
      </c>
      <c r="B30" s="380" t="s">
        <v>378</v>
      </c>
      <c r="C30" s="379" t="s">
        <v>377</v>
      </c>
      <c r="D30" s="381"/>
      <c r="E30" s="381"/>
    </row>
    <row r="31" spans="1:5" ht="49.5" customHeight="1">
      <c r="A31" s="379" t="s">
        <v>26</v>
      </c>
      <c r="B31" s="393" t="s">
        <v>379</v>
      </c>
      <c r="C31" s="379" t="s">
        <v>380</v>
      </c>
      <c r="D31" s="381"/>
      <c r="E31" s="381"/>
    </row>
    <row r="32" spans="1:5" ht="19.5" customHeight="1">
      <c r="A32" s="379" t="s">
        <v>28</v>
      </c>
      <c r="B32" s="380" t="s">
        <v>381</v>
      </c>
      <c r="C32" s="379" t="s">
        <v>382</v>
      </c>
      <c r="D32" s="381">
        <v>30000</v>
      </c>
      <c r="E32" s="381">
        <v>296672</v>
      </c>
    </row>
    <row r="33" spans="1:5" ht="19.5" customHeight="1">
      <c r="A33" s="379" t="s">
        <v>31</v>
      </c>
      <c r="B33" s="380" t="s">
        <v>383</v>
      </c>
      <c r="C33" s="379" t="s">
        <v>384</v>
      </c>
      <c r="D33" s="381"/>
      <c r="E33" s="381"/>
    </row>
    <row r="34" spans="1:5" ht="19.5" customHeight="1">
      <c r="A34" s="379" t="s">
        <v>33</v>
      </c>
      <c r="B34" s="380" t="s">
        <v>385</v>
      </c>
      <c r="C34" s="379" t="s">
        <v>386</v>
      </c>
      <c r="D34" s="381"/>
      <c r="E34" s="381"/>
    </row>
    <row r="35" spans="1:5" ht="19.5" customHeight="1">
      <c r="A35" s="379" t="s">
        <v>36</v>
      </c>
      <c r="B35" s="397" t="s">
        <v>387</v>
      </c>
      <c r="C35" s="398" t="s">
        <v>388</v>
      </c>
      <c r="D35" s="399"/>
      <c r="E35" s="399"/>
    </row>
    <row r="36" spans="1:5" ht="19.5" customHeight="1">
      <c r="A36" s="400" t="s">
        <v>38</v>
      </c>
      <c r="B36" s="401" t="s">
        <v>389</v>
      </c>
      <c r="C36" s="400" t="s">
        <v>390</v>
      </c>
      <c r="D36" s="402">
        <v>0</v>
      </c>
      <c r="E36" s="402">
        <v>784400</v>
      </c>
    </row>
    <row r="37" spans="1:5" ht="19.5" customHeight="1">
      <c r="A37" s="403"/>
      <c r="B37" s="404"/>
      <c r="C37" s="404"/>
      <c r="D37" s="404"/>
      <c r="E37" s="404"/>
    </row>
    <row r="38" ht="12.75" customHeight="1">
      <c r="A38" s="367"/>
    </row>
    <row r="39" spans="1:2" ht="14.25" customHeight="1">
      <c r="A39" s="367" t="s">
        <v>391</v>
      </c>
      <c r="B39" s="1" t="s">
        <v>392</v>
      </c>
    </row>
    <row r="40" ht="12.75" customHeight="1">
      <c r="A40" s="367"/>
    </row>
    <row r="41" ht="12.75" customHeight="1">
      <c r="A41" s="367"/>
    </row>
    <row r="42" ht="12.75" customHeight="1">
      <c r="A42" s="367"/>
    </row>
    <row r="43" ht="12.75" customHeight="1">
      <c r="A43" s="367"/>
    </row>
    <row r="44" ht="12.75" customHeight="1">
      <c r="A44" s="367"/>
    </row>
    <row r="45" ht="12.75" customHeight="1">
      <c r="A45" s="367"/>
    </row>
    <row r="46" ht="12.75" customHeight="1">
      <c r="A46" s="367"/>
    </row>
    <row r="47" ht="12.75" customHeight="1">
      <c r="A47" s="367"/>
    </row>
    <row r="48" ht="12.75" customHeight="1">
      <c r="A48" s="367"/>
    </row>
    <row r="49" ht="12.75" customHeight="1">
      <c r="A49" s="367"/>
    </row>
    <row r="50" ht="12.75" customHeight="1">
      <c r="A50" s="367"/>
    </row>
    <row r="51" ht="12.75" customHeight="1">
      <c r="A51" s="367"/>
    </row>
    <row r="52" ht="12.75" customHeight="1">
      <c r="A52" s="367"/>
    </row>
    <row r="53" ht="12.75" customHeight="1">
      <c r="A53" s="367"/>
    </row>
    <row r="54" ht="12.75" customHeight="1">
      <c r="A54" s="367"/>
    </row>
  </sheetData>
  <mergeCells count="4">
    <mergeCell ref="A6:E6"/>
    <mergeCell ref="D9:E9"/>
    <mergeCell ref="A18:B18"/>
    <mergeCell ref="A28:B2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workbookViewId="0" topLeftCell="A19">
      <selection activeCell="D17" sqref="D17"/>
    </sheetView>
  </sheetViews>
  <sheetFormatPr defaultColWidth="9.140625" defaultRowHeight="12.75" customHeight="1"/>
  <cols>
    <col min="1" max="1" width="5.28125" style="33" customWidth="1"/>
    <col min="2" max="2" width="8.7109375" style="33" customWidth="1"/>
    <col min="3" max="3" width="11.00390625" style="33" customWidth="1"/>
    <col min="4" max="4" width="43.8515625" style="33" customWidth="1"/>
    <col min="5" max="5" width="16.140625" style="33" customWidth="1"/>
    <col min="6" max="6" width="15.140625" style="33" customWidth="1"/>
    <col min="7" max="7" width="15.421875" style="33" customWidth="1"/>
    <col min="8" max="16384" width="8.7109375" style="33" customWidth="1"/>
  </cols>
  <sheetData>
    <row r="1" ht="12.75" customHeight="1">
      <c r="F1" s="33" t="s">
        <v>393</v>
      </c>
    </row>
    <row r="2" ht="12.75" customHeight="1">
      <c r="F2" s="33" t="s">
        <v>394</v>
      </c>
    </row>
    <row r="3" ht="12.75" customHeight="1">
      <c r="F3" s="33" t="s">
        <v>2</v>
      </c>
    </row>
    <row r="4" ht="12.75" customHeight="1">
      <c r="F4" s="33" t="s">
        <v>3</v>
      </c>
    </row>
    <row r="7" spans="1:5" ht="60" customHeight="1">
      <c r="A7" s="2" t="s">
        <v>395</v>
      </c>
      <c r="B7" s="2"/>
      <c r="C7" s="2"/>
      <c r="D7" s="2"/>
      <c r="E7" s="2"/>
    </row>
    <row r="8" spans="4:5" ht="19.5" customHeight="1">
      <c r="D8" s="405"/>
      <c r="E8" s="405"/>
    </row>
    <row r="9" spans="4:7" ht="19.5" customHeight="1">
      <c r="D9" s="1"/>
      <c r="G9" s="406" t="s">
        <v>5</v>
      </c>
    </row>
    <row r="10" spans="1:7" ht="18.75" customHeight="1">
      <c r="A10" s="407" t="s">
        <v>6</v>
      </c>
      <c r="B10" s="408" t="s">
        <v>7</v>
      </c>
      <c r="C10" s="408" t="s">
        <v>396</v>
      </c>
      <c r="D10" s="408" t="s">
        <v>397</v>
      </c>
      <c r="E10" s="409" t="s">
        <v>398</v>
      </c>
      <c r="F10" s="409"/>
      <c r="G10" s="409"/>
    </row>
    <row r="11" spans="1:7" ht="18.75" customHeight="1">
      <c r="A11" s="407"/>
      <c r="B11" s="408"/>
      <c r="C11" s="408"/>
      <c r="D11" s="408"/>
      <c r="E11" s="410" t="s">
        <v>399</v>
      </c>
      <c r="F11" s="410" t="s">
        <v>400</v>
      </c>
      <c r="G11" s="411" t="s">
        <v>401</v>
      </c>
    </row>
    <row r="12" spans="1:7" s="415" customFormat="1" ht="7.5" customHeight="1">
      <c r="A12" s="412">
        <v>1</v>
      </c>
      <c r="B12" s="413">
        <v>2</v>
      </c>
      <c r="C12" s="413">
        <v>3</v>
      </c>
      <c r="D12" s="413">
        <v>5</v>
      </c>
      <c r="E12" s="413">
        <v>6</v>
      </c>
      <c r="F12" s="413">
        <v>7</v>
      </c>
      <c r="G12" s="414">
        <v>8</v>
      </c>
    </row>
    <row r="13" spans="1:7" ht="21" customHeight="1">
      <c r="A13" s="416" t="s">
        <v>402</v>
      </c>
      <c r="B13" s="416"/>
      <c r="C13" s="416"/>
      <c r="D13" s="416"/>
      <c r="E13" s="416"/>
      <c r="F13" s="416"/>
      <c r="G13" s="416"/>
    </row>
    <row r="14" spans="1:7" ht="19.5" customHeight="1">
      <c r="A14" s="417" t="s">
        <v>22</v>
      </c>
      <c r="B14" s="210">
        <v>853</v>
      </c>
      <c r="C14" s="210">
        <v>85311</v>
      </c>
      <c r="D14" s="210" t="s">
        <v>403</v>
      </c>
      <c r="E14" s="418"/>
      <c r="F14" s="418">
        <v>49320</v>
      </c>
      <c r="G14" s="179"/>
    </row>
    <row r="15" spans="1:7" ht="19.5" customHeight="1">
      <c r="A15" s="419"/>
      <c r="B15" s="420"/>
      <c r="C15" s="420"/>
      <c r="D15" s="420" t="s">
        <v>404</v>
      </c>
      <c r="E15" s="421"/>
      <c r="F15" s="421">
        <v>302440</v>
      </c>
      <c r="G15" s="422"/>
    </row>
    <row r="16" spans="1:7" ht="19.5" customHeight="1">
      <c r="A16" s="419"/>
      <c r="B16" s="420"/>
      <c r="C16" s="420"/>
      <c r="D16" s="420" t="s">
        <v>405</v>
      </c>
      <c r="E16" s="421"/>
      <c r="F16" s="421">
        <v>49320</v>
      </c>
      <c r="G16" s="422"/>
    </row>
    <row r="17" spans="1:7" ht="19.5" customHeight="1">
      <c r="A17" s="419"/>
      <c r="B17" s="420"/>
      <c r="C17" s="420"/>
      <c r="D17" s="420" t="s">
        <v>406</v>
      </c>
      <c r="E17" s="421"/>
      <c r="F17" s="421">
        <v>81378</v>
      </c>
      <c r="G17" s="422"/>
    </row>
    <row r="18" spans="1:7" ht="21" customHeight="1">
      <c r="A18" s="423" t="s">
        <v>407</v>
      </c>
      <c r="B18" s="423"/>
      <c r="C18" s="423"/>
      <c r="D18" s="423"/>
      <c r="E18" s="423"/>
      <c r="F18" s="423"/>
      <c r="G18" s="423"/>
    </row>
    <row r="19" spans="1:7" ht="21" customHeight="1">
      <c r="A19" s="424" t="s">
        <v>22</v>
      </c>
      <c r="B19" s="425">
        <v>630</v>
      </c>
      <c r="C19" s="425">
        <v>63003</v>
      </c>
      <c r="D19" s="426" t="s">
        <v>408</v>
      </c>
      <c r="E19" s="426"/>
      <c r="F19" s="426"/>
      <c r="G19" s="427">
        <v>3600</v>
      </c>
    </row>
    <row r="20" spans="1:7" ht="42.75" customHeight="1">
      <c r="A20" s="419" t="s">
        <v>60</v>
      </c>
      <c r="B20" s="420">
        <v>801</v>
      </c>
      <c r="C20" s="420">
        <v>80195</v>
      </c>
      <c r="D20" s="428" t="s">
        <v>409</v>
      </c>
      <c r="E20" s="421"/>
      <c r="F20" s="421"/>
      <c r="G20" s="422">
        <v>8420</v>
      </c>
    </row>
    <row r="21" spans="1:7" ht="42.75" customHeight="1">
      <c r="A21" s="419" t="s">
        <v>26</v>
      </c>
      <c r="B21" s="420">
        <v>801</v>
      </c>
      <c r="C21" s="420">
        <v>80195</v>
      </c>
      <c r="D21" s="429" t="s">
        <v>408</v>
      </c>
      <c r="E21" s="421"/>
      <c r="F21" s="421"/>
      <c r="G21" s="422">
        <v>2600</v>
      </c>
    </row>
    <row r="22" spans="1:7" ht="27" customHeight="1">
      <c r="A22" s="430" t="s">
        <v>28</v>
      </c>
      <c r="B22" s="420">
        <v>852</v>
      </c>
      <c r="C22" s="420">
        <v>85220</v>
      </c>
      <c r="D22" s="428" t="s">
        <v>410</v>
      </c>
      <c r="E22" s="421"/>
      <c r="F22" s="421"/>
      <c r="G22" s="422">
        <v>12000</v>
      </c>
    </row>
    <row r="23" spans="1:7" ht="29.25" customHeight="1">
      <c r="A23" s="419" t="s">
        <v>31</v>
      </c>
      <c r="B23" s="420">
        <v>921</v>
      </c>
      <c r="C23" s="420">
        <v>92105</v>
      </c>
      <c r="D23" s="428" t="s">
        <v>411</v>
      </c>
      <c r="E23" s="421"/>
      <c r="F23" s="421"/>
      <c r="G23" s="422">
        <v>14000</v>
      </c>
    </row>
    <row r="24" spans="1:7" ht="54.75" customHeight="1">
      <c r="A24" s="419" t="s">
        <v>33</v>
      </c>
      <c r="B24" s="420">
        <v>921</v>
      </c>
      <c r="C24" s="420">
        <v>92105</v>
      </c>
      <c r="D24" s="428" t="s">
        <v>412</v>
      </c>
      <c r="E24" s="421"/>
      <c r="F24" s="421"/>
      <c r="G24" s="422">
        <v>29680</v>
      </c>
    </row>
    <row r="25" spans="1:7" ht="40.5" customHeight="1">
      <c r="A25" s="430" t="s">
        <v>36</v>
      </c>
      <c r="B25" s="420">
        <v>921</v>
      </c>
      <c r="C25" s="420">
        <v>92105</v>
      </c>
      <c r="D25" s="428" t="s">
        <v>413</v>
      </c>
      <c r="E25" s="421"/>
      <c r="F25" s="421"/>
      <c r="G25" s="422">
        <v>15000</v>
      </c>
    </row>
    <row r="26" spans="1:7" ht="29.25" customHeight="1">
      <c r="A26" s="419" t="s">
        <v>38</v>
      </c>
      <c r="B26" s="420">
        <v>921</v>
      </c>
      <c r="C26" s="420">
        <v>92105</v>
      </c>
      <c r="D26" s="428" t="s">
        <v>414</v>
      </c>
      <c r="E26" s="421"/>
      <c r="F26" s="421"/>
      <c r="G26" s="422">
        <v>12200</v>
      </c>
    </row>
    <row r="27" spans="1:7" ht="45" customHeight="1">
      <c r="A27" s="419" t="s">
        <v>40</v>
      </c>
      <c r="B27" s="420">
        <v>921</v>
      </c>
      <c r="C27" s="420">
        <v>92105</v>
      </c>
      <c r="D27" s="428" t="s">
        <v>415</v>
      </c>
      <c r="E27" s="421"/>
      <c r="F27" s="421"/>
      <c r="G27" s="422">
        <v>4000</v>
      </c>
    </row>
    <row r="28" spans="1:7" s="1" customFormat="1" ht="82.5" customHeight="1">
      <c r="A28" s="430" t="s">
        <v>42</v>
      </c>
      <c r="B28" s="431">
        <v>926</v>
      </c>
      <c r="C28" s="431">
        <v>92605</v>
      </c>
      <c r="D28" s="428" t="s">
        <v>416</v>
      </c>
      <c r="E28" s="432"/>
      <c r="F28" s="432"/>
      <c r="G28" s="433">
        <v>34000</v>
      </c>
    </row>
    <row r="29" spans="1:7" ht="43.5" customHeight="1">
      <c r="A29" s="419" t="s">
        <v>45</v>
      </c>
      <c r="B29" s="431">
        <v>926</v>
      </c>
      <c r="C29" s="431">
        <v>92605</v>
      </c>
      <c r="D29" s="434" t="s">
        <v>417</v>
      </c>
      <c r="E29" s="421"/>
      <c r="F29" s="421"/>
      <c r="G29" s="422">
        <v>3000</v>
      </c>
    </row>
    <row r="30" spans="1:7" ht="33.75" customHeight="1">
      <c r="A30" s="419" t="s">
        <v>418</v>
      </c>
      <c r="B30" s="431">
        <v>926</v>
      </c>
      <c r="C30" s="431">
        <v>92605</v>
      </c>
      <c r="D30" s="428" t="s">
        <v>419</v>
      </c>
      <c r="E30" s="421"/>
      <c r="F30" s="421"/>
      <c r="G30" s="422">
        <v>10000</v>
      </c>
    </row>
    <row r="31" spans="1:7" ht="29.25" customHeight="1">
      <c r="A31" s="430" t="s">
        <v>420</v>
      </c>
      <c r="B31" s="431">
        <v>926</v>
      </c>
      <c r="C31" s="431">
        <v>92605</v>
      </c>
      <c r="D31" s="428" t="s">
        <v>421</v>
      </c>
      <c r="E31" s="421"/>
      <c r="F31" s="421"/>
      <c r="G31" s="422">
        <v>2000</v>
      </c>
    </row>
    <row r="32" spans="1:7" ht="39" customHeight="1">
      <c r="A32" s="419" t="s">
        <v>422</v>
      </c>
      <c r="B32" s="431">
        <v>926</v>
      </c>
      <c r="C32" s="431">
        <v>92605</v>
      </c>
      <c r="D32" s="428" t="s">
        <v>423</v>
      </c>
      <c r="E32" s="421"/>
      <c r="F32" s="421"/>
      <c r="G32" s="422">
        <v>18000</v>
      </c>
    </row>
    <row r="33" spans="1:7" ht="47.25" customHeight="1">
      <c r="A33" s="419" t="s">
        <v>424</v>
      </c>
      <c r="B33" s="431">
        <v>926</v>
      </c>
      <c r="C33" s="431">
        <v>92605</v>
      </c>
      <c r="D33" s="428" t="s">
        <v>425</v>
      </c>
      <c r="E33" s="421"/>
      <c r="F33" s="421"/>
      <c r="G33" s="422">
        <v>3000</v>
      </c>
    </row>
    <row r="34" spans="1:7" ht="19.5" customHeight="1">
      <c r="A34" s="435" t="s">
        <v>47</v>
      </c>
      <c r="B34" s="435"/>
      <c r="C34" s="435"/>
      <c r="D34" s="435"/>
      <c r="E34" s="436">
        <f>SUM(E20:E33,E14:E17)</f>
        <v>0</v>
      </c>
      <c r="F34" s="436">
        <f>SUM(F20:F33,F14:F17)</f>
        <v>482458</v>
      </c>
      <c r="G34" s="437">
        <f>SUM(G19:G33,G14:G17)</f>
        <v>171500</v>
      </c>
    </row>
    <row r="37" ht="14.25" customHeight="1">
      <c r="A37" s="438" t="s">
        <v>426</v>
      </c>
    </row>
  </sheetData>
  <mergeCells count="9">
    <mergeCell ref="A7:E7"/>
    <mergeCell ref="A10:A11"/>
    <mergeCell ref="B10:B11"/>
    <mergeCell ref="C10:C11"/>
    <mergeCell ref="D10:D11"/>
    <mergeCell ref="E10:G10"/>
    <mergeCell ref="A13:G13"/>
    <mergeCell ref="A18:G18"/>
    <mergeCell ref="A34:D34"/>
  </mergeCells>
  <printOptions horizontalCentered="1"/>
  <pageMargins left="0.39375" right="0.39375" top="0.5118055555555555" bottom="0.9840277777777777" header="0.5118055555555555" footer="0.5118055555555555"/>
  <pageSetup horizontalDpi="300" verticalDpi="3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workbookViewId="0" topLeftCell="A7">
      <selection activeCell="J20" sqref="J20"/>
    </sheetView>
  </sheetViews>
  <sheetFormatPr defaultColWidth="9.140625" defaultRowHeight="12.75" customHeight="1"/>
  <cols>
    <col min="1" max="1" width="4.7109375" style="33" customWidth="1"/>
    <col min="2" max="2" width="26.57421875" style="33" customWidth="1"/>
    <col min="3" max="3" width="12.7109375" style="33" customWidth="1"/>
    <col min="4" max="5" width="10.7109375" style="33" customWidth="1"/>
    <col min="6" max="7" width="12.7109375" style="33" customWidth="1"/>
    <col min="8" max="8" width="10.7109375" style="33" customWidth="1"/>
    <col min="9" max="9" width="10.57421875" style="33" customWidth="1"/>
    <col min="10" max="10" width="15.57421875" style="33" customWidth="1"/>
    <col min="11" max="11" width="17.7109375" style="33" customWidth="1"/>
    <col min="12" max="16384" width="8.7109375" style="33" customWidth="1"/>
  </cols>
  <sheetData>
    <row r="1" ht="12.75" customHeight="1">
      <c r="J1" s="33" t="s">
        <v>427</v>
      </c>
    </row>
    <row r="2" ht="12.75" customHeight="1">
      <c r="J2" s="33" t="s">
        <v>428</v>
      </c>
    </row>
    <row r="3" ht="12.75" customHeight="1">
      <c r="J3" s="33" t="s">
        <v>2</v>
      </c>
    </row>
    <row r="4" ht="12.75" customHeight="1">
      <c r="J4" s="33" t="s">
        <v>429</v>
      </c>
    </row>
    <row r="8" spans="1:11" ht="16.5" customHeight="1">
      <c r="A8" s="439" t="s">
        <v>430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</row>
    <row r="9" spans="1:11" ht="16.5" customHeight="1">
      <c r="A9" s="439" t="s">
        <v>431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0" ht="13.5" customHeight="1">
      <c r="A10" s="405"/>
      <c r="B10" s="405"/>
      <c r="C10" s="405"/>
      <c r="D10" s="405"/>
      <c r="E10" s="405"/>
      <c r="F10" s="405"/>
      <c r="G10" s="405"/>
      <c r="H10" s="405"/>
      <c r="I10" s="405"/>
      <c r="J10" s="405"/>
    </row>
    <row r="11" spans="1:11" ht="4.5" customHeight="1">
      <c r="A11" s="1"/>
      <c r="B11" s="1"/>
      <c r="C11" s="1"/>
      <c r="D11" s="1"/>
      <c r="E11" s="1"/>
      <c r="F11" s="1"/>
      <c r="G11" s="1"/>
      <c r="H11" s="1"/>
      <c r="I11" s="1"/>
      <c r="J11" s="4"/>
      <c r="K11" s="440" t="s">
        <v>5</v>
      </c>
    </row>
    <row r="12" spans="1:11" ht="15" customHeight="1">
      <c r="A12" s="410" t="s">
        <v>6</v>
      </c>
      <c r="B12" s="410" t="s">
        <v>432</v>
      </c>
      <c r="C12" s="441" t="s">
        <v>433</v>
      </c>
      <c r="D12" s="441" t="s">
        <v>434</v>
      </c>
      <c r="E12" s="441"/>
      <c r="F12" s="441"/>
      <c r="G12" s="441"/>
      <c r="H12" s="441" t="s">
        <v>191</v>
      </c>
      <c r="I12" s="441"/>
      <c r="J12" s="441" t="s">
        <v>435</v>
      </c>
      <c r="K12" s="441" t="s">
        <v>436</v>
      </c>
    </row>
    <row r="13" spans="1:11" ht="15" customHeight="1">
      <c r="A13" s="410"/>
      <c r="B13" s="410"/>
      <c r="C13" s="441"/>
      <c r="D13" s="441" t="s">
        <v>437</v>
      </c>
      <c r="E13" s="441" t="s">
        <v>76</v>
      </c>
      <c r="F13" s="441"/>
      <c r="G13" s="441"/>
      <c r="H13" s="441" t="s">
        <v>437</v>
      </c>
      <c r="I13" s="441" t="s">
        <v>438</v>
      </c>
      <c r="J13" s="441"/>
      <c r="K13" s="441"/>
    </row>
    <row r="14" spans="1:11" ht="15" customHeight="1">
      <c r="A14" s="410"/>
      <c r="B14" s="410"/>
      <c r="C14" s="441"/>
      <c r="D14" s="441"/>
      <c r="E14" s="442" t="s">
        <v>439</v>
      </c>
      <c r="F14" s="441" t="s">
        <v>76</v>
      </c>
      <c r="G14" s="441"/>
      <c r="H14" s="441"/>
      <c r="I14" s="441"/>
      <c r="J14" s="441"/>
      <c r="K14" s="441"/>
    </row>
    <row r="15" spans="1:11" ht="20.25" customHeight="1">
      <c r="A15" s="410"/>
      <c r="B15" s="410"/>
      <c r="C15" s="441"/>
      <c r="D15" s="441"/>
      <c r="E15" s="442"/>
      <c r="F15" s="441" t="s">
        <v>440</v>
      </c>
      <c r="G15" s="441" t="s">
        <v>441</v>
      </c>
      <c r="H15" s="441"/>
      <c r="I15" s="441"/>
      <c r="J15" s="441"/>
      <c r="K15" s="441"/>
    </row>
    <row r="16" spans="1:11" ht="14.25" customHeight="1">
      <c r="A16" s="413">
        <v>1</v>
      </c>
      <c r="B16" s="413">
        <v>2</v>
      </c>
      <c r="C16" s="413">
        <v>3</v>
      </c>
      <c r="D16" s="413">
        <v>4</v>
      </c>
      <c r="E16" s="413">
        <v>5</v>
      </c>
      <c r="F16" s="413">
        <v>6</v>
      </c>
      <c r="G16" s="413">
        <v>7</v>
      </c>
      <c r="H16" s="413">
        <v>8</v>
      </c>
      <c r="I16" s="413">
        <v>9</v>
      </c>
      <c r="J16" s="413">
        <v>10</v>
      </c>
      <c r="K16" s="413">
        <v>11</v>
      </c>
    </row>
    <row r="17" spans="1:11" ht="21.75" customHeight="1">
      <c r="A17" s="443" t="s">
        <v>355</v>
      </c>
      <c r="B17" s="444" t="s">
        <v>442</v>
      </c>
      <c r="C17" s="444"/>
      <c r="D17" s="444"/>
      <c r="E17" s="443"/>
      <c r="F17" s="443"/>
      <c r="G17" s="444"/>
      <c r="H17" s="444"/>
      <c r="I17" s="444"/>
      <c r="J17" s="444"/>
      <c r="K17" s="443" t="s">
        <v>48</v>
      </c>
    </row>
    <row r="18" spans="1:11" ht="21.75" customHeight="1">
      <c r="A18" s="445"/>
      <c r="B18" s="446" t="s">
        <v>81</v>
      </c>
      <c r="C18" s="447"/>
      <c r="D18" s="447"/>
      <c r="E18" s="445"/>
      <c r="F18" s="445"/>
      <c r="G18" s="447"/>
      <c r="H18" s="447"/>
      <c r="I18" s="447"/>
      <c r="J18" s="447"/>
      <c r="K18" s="445"/>
    </row>
    <row r="19" spans="1:11" ht="57" customHeight="1">
      <c r="A19" s="448"/>
      <c r="B19" s="449" t="s">
        <v>443</v>
      </c>
      <c r="C19" s="450">
        <v>0</v>
      </c>
      <c r="D19" s="450">
        <v>196522</v>
      </c>
      <c r="E19" s="450">
        <v>0</v>
      </c>
      <c r="F19" s="450">
        <v>0</v>
      </c>
      <c r="G19" s="450">
        <v>0</v>
      </c>
      <c r="H19" s="450">
        <v>196522</v>
      </c>
      <c r="I19" s="450">
        <v>0</v>
      </c>
      <c r="J19" s="450">
        <f>C19+D19-H19</f>
        <v>0</v>
      </c>
      <c r="K19" s="448" t="s">
        <v>48</v>
      </c>
    </row>
    <row r="20" spans="1:11" ht="72.75" customHeight="1">
      <c r="A20" s="451"/>
      <c r="B20" s="452" t="s">
        <v>444</v>
      </c>
      <c r="C20" s="453">
        <v>150832</v>
      </c>
      <c r="D20" s="453">
        <v>297300</v>
      </c>
      <c r="E20" s="453">
        <v>0</v>
      </c>
      <c r="F20" s="453">
        <v>0</v>
      </c>
      <c r="G20" s="453">
        <v>0</v>
      </c>
      <c r="H20" s="453">
        <v>233300</v>
      </c>
      <c r="I20" s="453">
        <v>64000</v>
      </c>
      <c r="J20" s="453">
        <f>C20+D20-H20</f>
        <v>214832</v>
      </c>
      <c r="K20" s="451" t="s">
        <v>48</v>
      </c>
    </row>
    <row r="21" spans="1:11" s="457" customFormat="1" ht="21.75" customHeight="1">
      <c r="A21" s="454" t="s">
        <v>47</v>
      </c>
      <c r="B21" s="454"/>
      <c r="C21" s="455">
        <f>C19+C20</f>
        <v>150832</v>
      </c>
      <c r="D21" s="455">
        <f aca="true" t="shared" si="0" ref="D21:J21">D19+D20</f>
        <v>493822</v>
      </c>
      <c r="E21" s="455">
        <f t="shared" si="0"/>
        <v>0</v>
      </c>
      <c r="F21" s="455">
        <f t="shared" si="0"/>
        <v>0</v>
      </c>
      <c r="G21" s="455">
        <f t="shared" si="0"/>
        <v>0</v>
      </c>
      <c r="H21" s="455">
        <f t="shared" si="0"/>
        <v>429822</v>
      </c>
      <c r="I21" s="455">
        <f t="shared" si="0"/>
        <v>64000</v>
      </c>
      <c r="J21" s="455">
        <f t="shared" si="0"/>
        <v>214832</v>
      </c>
      <c r="K21" s="456"/>
    </row>
    <row r="22" ht="14.25" customHeight="1"/>
    <row r="23" ht="12.75" customHeight="1">
      <c r="A23" s="458" t="s">
        <v>445</v>
      </c>
    </row>
    <row r="24" ht="12.75" customHeight="1">
      <c r="A24" s="458" t="s">
        <v>446</v>
      </c>
    </row>
    <row r="25" ht="12.75" customHeight="1">
      <c r="A25" s="458" t="s">
        <v>447</v>
      </c>
    </row>
    <row r="26" ht="12.75" customHeight="1">
      <c r="A26" s="458" t="s">
        <v>448</v>
      </c>
    </row>
  </sheetData>
  <mergeCells count="16">
    <mergeCell ref="A8:K8"/>
    <mergeCell ref="A9:K9"/>
    <mergeCell ref="A12:A15"/>
    <mergeCell ref="B12:B15"/>
    <mergeCell ref="C12:C15"/>
    <mergeCell ref="D12:G12"/>
    <mergeCell ref="H12:I12"/>
    <mergeCell ref="J12:J15"/>
    <mergeCell ref="K12:K15"/>
    <mergeCell ref="D13:D15"/>
    <mergeCell ref="E13:G13"/>
    <mergeCell ref="H13:H15"/>
    <mergeCell ref="I13:I15"/>
    <mergeCell ref="E14:E15"/>
    <mergeCell ref="F14:G14"/>
    <mergeCell ref="A21:B21"/>
  </mergeCells>
  <printOptions horizontalCentered="1"/>
  <pageMargins left="0.5118055555555555" right="0.5118055555555555" top="0.7875" bottom="0.196527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