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955" windowHeight="6540" tabRatio="764" firstSheet="11" activeTab="18"/>
  </bookViews>
  <sheets>
    <sheet name="Dochody-ukł.wykon." sheetId="1" r:id="rId1"/>
    <sheet name="Doch wg źród. (2)" sheetId="2" r:id="rId2"/>
    <sheet name="Wydatki wg grup" sheetId="3" r:id="rId3"/>
    <sheet name="WYDATKI ukł.wyk." sheetId="4" r:id="rId4"/>
    <sheet name="Wieloletnie programy" sheetId="5" r:id="rId5"/>
    <sheet name="Inwestycje 2007" sheetId="6" r:id="rId6"/>
    <sheet name="Projekty unijne (2)" sheetId="7" r:id="rId7"/>
    <sheet name="Żródła finans." sheetId="8" r:id="rId8"/>
    <sheet name="Doch.i wyd..zlec.zał.3" sheetId="9" r:id="rId9"/>
    <sheet name="Doch. i wyd. adm.-4a" sheetId="10" r:id="rId10"/>
    <sheet name="Wspolne 232-4" sheetId="11" r:id="rId11"/>
    <sheet name="Gosp. pom." sheetId="12" r:id="rId12"/>
    <sheet name="Stowarzyszenia 10" sheetId="13" r:id="rId13"/>
    <sheet name="PFOŚiGW" sheetId="14" r:id="rId14"/>
    <sheet name="PFGZGiK" sheetId="15" r:id="rId15"/>
    <sheet name="Prognoza dł. 8" sheetId="16" r:id="rId16"/>
    <sheet name="15" sheetId="17" r:id="rId17"/>
    <sheet name="16" sheetId="18" r:id="rId18"/>
    <sheet name="Sytuacja finans." sheetId="19" r:id="rId19"/>
  </sheets>
  <externalReferences>
    <externalReference r:id="rId22"/>
    <externalReference r:id="rId23"/>
  </externalReferences>
  <definedNames>
    <definedName name="_xlnm.Print_Area" localSheetId="8">'Doch.i wyd..zlec.zał.3'!$A$1:$G$150</definedName>
    <definedName name="_xlnm.Print_Area" localSheetId="0">'Dochody-ukł.wykon.'!$A$1:$I$295</definedName>
    <definedName name="_xlnm.Print_Area" localSheetId="11">'Gosp. pom.'!$A$1:$K$18</definedName>
    <definedName name="_xlnm.Print_Area" localSheetId="5">'Inwestycje 2007'!$A$1:$L$26</definedName>
    <definedName name="_xlnm.Print_Area" localSheetId="14">'PFGZGiK'!$A$1:$E$27</definedName>
    <definedName name="_xlnm.Print_Area" localSheetId="15">'Prognoza dł. 8'!$A$1:$AA$34</definedName>
    <definedName name="_xlnm.Print_Area" localSheetId="3">'WYDATKI ukł.wyk.'!$A$1:$H$677</definedName>
    <definedName name="_xlnm.Print_Titles" localSheetId="8">'Doch.i wyd..zlec.zał.3'!$18:$18</definedName>
    <definedName name="_xlnm.Print_Titles" localSheetId="0">'Dochody-ukł.wykon.'!$11:$11</definedName>
    <definedName name="_xlnm.Print_Titles" localSheetId="15">'Prognoza dł. 8'!$A:$A</definedName>
    <definedName name="_xlnm.Print_Titles" localSheetId="6">'Projekty unijne (2)'!$13:$13</definedName>
    <definedName name="_xlnm.Print_Titles" localSheetId="18">'Sytuacja finans.'!$A:$A</definedName>
    <definedName name="_xlnm.Print_Titles" localSheetId="10">'Wspolne 232-4'!$13:$13</definedName>
    <definedName name="_xlnm.Print_Titles" localSheetId="3">'WYDATKI ukł.wyk.'!$13:$13</definedName>
    <definedName name="_xlnm.Print_Titles" localSheetId="2">'Wydatki wg grup'!$11:$11</definedName>
  </definedNames>
  <calcPr fullCalcOnLoad="1"/>
</workbook>
</file>

<file path=xl/sharedStrings.xml><?xml version="1.0" encoding="utf-8"?>
<sst xmlns="http://schemas.openxmlformats.org/spreadsheetml/2006/main" count="2486" uniqueCount="996">
  <si>
    <t>z dnia .............2006 r.</t>
  </si>
  <si>
    <t>Załącznik nr 3a</t>
  </si>
  <si>
    <t>do uchwały Nr.............</t>
  </si>
  <si>
    <t>z dnia................2006 r.</t>
  </si>
  <si>
    <t>RPO Warmia i Mazury na lata 2007-2013; projekt kluczowy pn. "Program rozwoju turystyki w obszarze Kanału Elbląskiego i Pojezierza Iławskiego na lata 2007-2013"; fiszka Nr ZPRL 3.1.8.50</t>
  </si>
  <si>
    <t>1.8</t>
  </si>
  <si>
    <t>1.9</t>
  </si>
  <si>
    <t>1.10</t>
  </si>
  <si>
    <t>RPO Warmia i Mazury na lata 2007-2013; projekt kluczowy pn. "Program rozwoju turystyki w obszarze Kanału Elbląskiego i Pojezierza Iławskiego na lata 2007-2013"; fiszka Nr ZPRL 2.12.14</t>
  </si>
  <si>
    <t>1.11</t>
  </si>
  <si>
    <t>Załącznik nr 5</t>
  </si>
  <si>
    <t>do uchwały nr.........</t>
  </si>
  <si>
    <t>z dnia...........2006 r.</t>
  </si>
  <si>
    <t>Załącznik nr 9</t>
  </si>
  <si>
    <t>do uchwały nr ...........</t>
  </si>
  <si>
    <t>Załącznik nr 11</t>
  </si>
  <si>
    <t>do uchwały nr..........</t>
  </si>
  <si>
    <t>Załącznik nr 12</t>
  </si>
  <si>
    <t>Załącznik nr 14</t>
  </si>
  <si>
    <t>do uchwały Nr...........</t>
  </si>
  <si>
    <t>z dnia..............2006 r.</t>
  </si>
  <si>
    <t>w 2006 r.</t>
  </si>
  <si>
    <t>Plan dochodów budżetu powiatu elbląskiego na 2007 r.</t>
  </si>
  <si>
    <t>Załącznik nr 2</t>
  </si>
  <si>
    <t>do uchwały Nr.........</t>
  </si>
  <si>
    <t>z dnia..................</t>
  </si>
  <si>
    <t>na 2007 rok</t>
  </si>
  <si>
    <t>Przychody ogółem, w tym:</t>
  </si>
  <si>
    <t>Wydatki ogółem, w tym:</t>
  </si>
  <si>
    <t>Wydatki bieżące, z tego:</t>
  </si>
  <si>
    <t>Wydatki majątkowe, z tego:</t>
  </si>
  <si>
    <t>5. Środki pozyskane z innych źródeł - § 2700, § 2460</t>
  </si>
  <si>
    <t>Załącznik nr 6</t>
  </si>
  <si>
    <t>do uchwały Nr ................</t>
  </si>
  <si>
    <t>z dnia ................. 2006 r.</t>
  </si>
  <si>
    <t xml:space="preserve">Dochody i wydatki związane z realizacją zadań z zakresu administracji </t>
  </si>
  <si>
    <t>Dochody</t>
  </si>
  <si>
    <t>W y s z c z e g ó l n i e n i e</t>
  </si>
  <si>
    <t>z tyt.dotacji</t>
  </si>
  <si>
    <t>na realiz.zadań</t>
  </si>
  <si>
    <t>z zakr.adm.rząd.</t>
  </si>
  <si>
    <t>Prace geodez.-urządzeniowe na potrzeby rolnictwa</t>
  </si>
  <si>
    <t>Dot.cel.otrz.z budż.pań.na zad.bież.z zakr.adm.rząd.</t>
  </si>
  <si>
    <t>Skladki na Fundusz Pracy</t>
  </si>
  <si>
    <t>Opłaty z tytułu zakupu usług telekom. tel. stacjonarn.</t>
  </si>
  <si>
    <t>4430</t>
  </si>
  <si>
    <t>4440</t>
  </si>
  <si>
    <t>Odpisy na zakładowy fund.świadczeń socjalnych</t>
  </si>
  <si>
    <t>4350</t>
  </si>
  <si>
    <t>4370</t>
  </si>
  <si>
    <t>Opłaty z tytułu zakupu usług telekom. tel. stacjon.</t>
  </si>
  <si>
    <t>4410</t>
  </si>
  <si>
    <t>Szkolenia pracowników niebęd. człon. kor. sł. cyw.</t>
  </si>
  <si>
    <t>4740</t>
  </si>
  <si>
    <t>Zakup mater. papier. do sprzętu druk. i urządz. kser.</t>
  </si>
  <si>
    <t>4750</t>
  </si>
  <si>
    <t>Zakup akcesoriów komput., w tym programów i licen.</t>
  </si>
  <si>
    <t>3030</t>
  </si>
  <si>
    <t>Opłaty z tytułu zakupu usług telekom. tel. Stacjon.</t>
  </si>
  <si>
    <t>Zakup materiałów pap. do sprz. drukar. i urządz kser.</t>
  </si>
  <si>
    <t>Składki na ubezp.zdr.oraz świad.dla os.nie obj.ubezp.zdr.</t>
  </si>
  <si>
    <t>Dodatkowe wynagrodzenie roczne</t>
  </si>
  <si>
    <t>Opłaty z tytułu zakupu usług telekom. tel. Stacjonar.</t>
  </si>
  <si>
    <t>Szkolenia pracowników niebęd. człon. korp. sł. cyw.</t>
  </si>
  <si>
    <t>Zakup materiałów pap. do sprz. drukar. i urządz. kser.</t>
  </si>
  <si>
    <t>Dochody i wydatki ogółem, z tego:</t>
  </si>
  <si>
    <t>a) Wydatki bieżące, w tym:</t>
  </si>
  <si>
    <t>- wynagrodzenia § 4010,4040, 4170</t>
  </si>
  <si>
    <t>- pochodne od wynagrodzeń § 4110,4120</t>
  </si>
  <si>
    <t>- świadczenia społeczne § 3110</t>
  </si>
  <si>
    <t>b) Wydatki majątkowe § 6....</t>
  </si>
  <si>
    <t>do uchwały Nr .............</t>
  </si>
  <si>
    <t>z dnia ..................... 2006 r.</t>
  </si>
  <si>
    <t>Dochody i wydatki związane z realizacją zadań</t>
  </si>
  <si>
    <t>realizowanych na podstawie porozumień (umów) między</t>
  </si>
  <si>
    <t>jednostkami samorządu terytorialnego  w 2007 r.</t>
  </si>
  <si>
    <t xml:space="preserve">  w złotych</t>
  </si>
  <si>
    <t>N a z w a</t>
  </si>
  <si>
    <t>1. Umowy</t>
  </si>
  <si>
    <t>Dotacje celowe otrzymane od samorządu województwa</t>
  </si>
  <si>
    <t xml:space="preserve">na zadania bieżące realizowane na podstawie porozumień </t>
  </si>
  <si>
    <t>/umów/ między jednostkami samorządu terytorialnego</t>
  </si>
  <si>
    <t>2. Porozumienia</t>
  </si>
  <si>
    <t xml:space="preserve">Dotacje celowe otrzymane z gminy na zadania bieżące </t>
  </si>
  <si>
    <t>Składki na ubepieczenie społeczne</t>
  </si>
  <si>
    <t>Zakup materiałów papier. do sprz. druk. i urządzeń ksero.</t>
  </si>
  <si>
    <t>Dotacje celowe przekazane gminie na zadania bieżące real.</t>
  </si>
  <si>
    <t>na podst. porozumień między jednostkami samorządu ter.</t>
  </si>
  <si>
    <t xml:space="preserve"> - dotacje</t>
  </si>
  <si>
    <t xml:space="preserve">z dnia ................... 2005 r. </t>
  </si>
  <si>
    <t xml:space="preserve">Dotacje celowe na zadania własne powiatu </t>
  </si>
  <si>
    <t xml:space="preserve">realizowane przez podmioty należące i nienależące </t>
  </si>
  <si>
    <t xml:space="preserve"> do sektora finansów publicznych w 2007 r. </t>
  </si>
  <si>
    <t>Lp</t>
  </si>
  <si>
    <t>Razem, w tym:</t>
  </si>
  <si>
    <t>Zlot ekologiczny "Powitanie wiosny"</t>
  </si>
  <si>
    <t>"Aktywizowanie społeczności lokalnej powiatu elbląskiego poprzez wspieranie organizacji pozarządowych z terenu powiatu"</t>
  </si>
  <si>
    <t>Ogólnopolski Plener Plastyczny "Bliżej natury"</t>
  </si>
  <si>
    <t>Ogólnopolski Przegląd Kultury Mniejszości Narodowej "Integracje"</t>
  </si>
  <si>
    <t>Powiatowy Festyn Licealny</t>
  </si>
  <si>
    <t>Regionalny Festiwal Piosenki Ukraińskiej</t>
  </si>
  <si>
    <t>Powiatowe Igrzyska Młodzieży Szkolnej</t>
  </si>
  <si>
    <t>Powiatowe Mistrzostwa Gimnazjów "Gimnazjada"</t>
  </si>
  <si>
    <t>Powiatowe Mistrzostwa Szkół Ponadgimnazjalnych "Licealiada"</t>
  </si>
  <si>
    <t>"Puchar Ferii 2005" - sport dla wszystkich dzieci</t>
  </si>
  <si>
    <t>Organizacja zajęć sportowo-rekreacyjnych dla dzieci i młodzieży z Uczniowskich Klubów Sportowych Powiatu Elbląskiego</t>
  </si>
  <si>
    <t>Organizacja uczestnictwa reprezentacji powiatu dzieci i młodzieży szkolnej w imprezach sportowych na szczeblu wojewódzkim, ogólnopolskim i międzynarodowym</t>
  </si>
  <si>
    <t>Mistrzostwa Polski Wiejskich Szkół Podstawowych w Halowej Piłce Nożnej</t>
  </si>
  <si>
    <t>Powiatowa inauguracja sportowego roku szkolnego 2007/2008</t>
  </si>
  <si>
    <t>Turnieje ogólnopolskie unihokeja dzieci i młodzieży w Elblągu</t>
  </si>
  <si>
    <t>Turniej Koszykówki o Puchar Starosty Elbląskiego z okazji Dnia Niepodległości</t>
  </si>
  <si>
    <t>Edukacja młodzieży z zakresu ratownictwa wodnego i bezpieczeństwa nad akwenami</t>
  </si>
  <si>
    <t>Powiatowa Spartakiada Osób Niepełnosprawnych</t>
  </si>
  <si>
    <t>Otwarte mistrzostwa powiatu elbląskiego w biegu na orientację</t>
  </si>
  <si>
    <t>Powiatowa Olimpiada Sportowa Przedszkolaków</t>
  </si>
  <si>
    <t>Ogólnopolskie zawody w trójboju sportowym</t>
  </si>
  <si>
    <t>Międzynarodowy rodzinny turniej w rzucie podkową o puchar Starosty Elbląskiego</t>
  </si>
  <si>
    <t>Przygotowanie i udział reprezentacji powiatu elbląskiego w Ogólnopolskiej Spartakiadzie Młodzieży i Mistrzostwach Polski w lekkiej atletyce osób niepełnosprawnych</t>
  </si>
  <si>
    <t xml:space="preserve"> OGÓŁEM  KWOTA  DOTACJI</t>
  </si>
  <si>
    <t>1.4</t>
  </si>
  <si>
    <t>1.5</t>
  </si>
  <si>
    <t>1.6</t>
  </si>
  <si>
    <t>1.7</t>
  </si>
  <si>
    <t>Przebudowa drogi powiatowej Nr 1119N Karczowiska Górne-Marwica na odcinku Stankowo-Marwica od km 18+400 do km 22+423, gm. Rychliki</t>
  </si>
  <si>
    <t>Budowa bazy rekreacyjno-biwakowej przy pochylni Buczyniec, gm. Pasłęk</t>
  </si>
  <si>
    <t>Remont mostu przez Kanał Jagieloński w miejscowości Kępa Rybacka w ciągu drogi powiatowej Nr 1101N Nowakowo-Kępa Rybacka-Bielnik Drugi, gm. Elbląg</t>
  </si>
  <si>
    <t>E.</t>
  </si>
  <si>
    <t>Wartość udzielonych pożyczek</t>
  </si>
  <si>
    <t>Budowa kompleksu sportowo-rekreacyjnego w Pasłęku przy Zespole Szkół Ekonomicznych i Technicznych w Pasłęku</t>
  </si>
  <si>
    <t>Utworzenie zespołu sportowo-rekreacyjnego Domu Dziecka w Marwicy, gm. Rychliki</t>
  </si>
  <si>
    <t>Inkubator Przedsiębiorczości Turystycznej Obszaru Kanału Elbląskiego w Pasłęku</t>
  </si>
  <si>
    <t>Przebudowa drogi powiatowej Nr 1103 N Bielnik Drugi-Jegłownik-Gronowo Elbląskie-Stare Dolno-Marwica na odcinku Dolno-Wysoka-Powodowo (2007-2011)</t>
  </si>
  <si>
    <t xml:space="preserve"> oraz dochodów i wydatków rachunków dochodów własnych jednostek budżetowych na 2007 r.</t>
  </si>
  <si>
    <t>2338</t>
  </si>
  <si>
    <t>2339</t>
  </si>
  <si>
    <t>Dotacje celowe otrzymane od samorządu województwa na</t>
  </si>
  <si>
    <t>zadania bieżące real. na pods. poroz. (umów) między j.s.t.</t>
  </si>
  <si>
    <t xml:space="preserve">Dotacje celowe przekazane dla powiatu na inwestycje </t>
  </si>
  <si>
    <t>i zakupy inwest. innych jedn. sekt. finans. publ.</t>
  </si>
  <si>
    <t>RPO Warmia i Mazury na lata 2007-2013; projekt kluczowy pn. "Program rozwoju turystyki w obszarze Kanału Elbląskiego i Pojezierza Iławskiego na lata 2007-2013"; fiszka Nr ZPRL 3.1.2.44</t>
  </si>
  <si>
    <t>5. Infrastruktura transportowa lokalna i regionalna</t>
  </si>
  <si>
    <t>5.2. Budowa, rozbudowa i modernizacja infrastruktury transportowej, służącej rozwojowi lokalnemu</t>
  </si>
  <si>
    <t>Przebudowa drogi powiatowej Nr 1103N Kazimierzowo-Helenowo-Wikrowo-Jegłownik-Gronowo Elbląskie-Stare Dolno-Marwica na odcinku długości 7,1 km Helenowo-Jegłownik od km 0+00 do km 7+100, gm. Elbląg</t>
  </si>
  <si>
    <t>RPO Warmia i Mazury na lata 2007-2013; projekt kluczowy pn. "Program rozwoju turystyki w obszarze Kanału Elbląskiego i Pojezierza Iławskiego na lata 2007-2013"; fiszka Nr ZPRL 3.1.3.45</t>
  </si>
  <si>
    <t xml:space="preserve">Przebudowa drogi powiatowej Nr 1185N Rychliki-Gołutowo na odcinku o dł. 4,265 km od km 9+869 do km 14+134, gm. Rychliki  </t>
  </si>
  <si>
    <t>RPO Warmia i Mazury na lata 2007-2013; projekt kluczowy pn. "Program rozwoju turystyki w obszarze Kanału Elbląskiego i Pojezierza Iławskiego na lata 2007-2013"; fiszka Nr ZPRL 3.1.4.46</t>
  </si>
  <si>
    <t>Przebudowa drogi powiatowej Nr 1103N Bielnik Drugi-Jegłownik-Gronowo Elbląskie-Stare Dolno-Marwica na odcinku Stare Dolno-Wysoka-Powodowo od km 18+148 do km 23+248 o długości 5,1 km, gm. Rychliki</t>
  </si>
  <si>
    <t>RPO Warmia i Mazury na lata 2007-2013; projekt kluczowy pn. "Program rozwoju turystyki w obszarze Kanału Elbląskiego i Pojezierza Iławskiego na lata 2007-2013"; fiszka Nr ZPRL 3.1.5.47</t>
  </si>
  <si>
    <t>RPO Warmia i Mazury na lata 2007-2013; projekt kluczowy pn. "Program rozwoju turystyki w obszarze Kanału Elbląskiego i Pojezierza Iławskiego na lata 2007-2013"; fiszka Nr ZPRL 3.1.7.49</t>
  </si>
  <si>
    <t>Przebudowa drogi powiatowej Nr 1185 Jelonki-Śliwice-Rychliki-Gołutowo na odcinku Jelonki-Śliwice o dł. 4,545 km od km 0+000 do km 4+545, gm. Rychliki</t>
  </si>
  <si>
    <t>RPO Warmia i Mazury na lata 2007-2013; projekt kluczowy pn. "Program rozwoju turystyki w obszarze Kanału Elbląskiego i Pojezierza Iławskiego na lata 2007-2013"; fiszka Nr ZPRL 2.9.11</t>
  </si>
  <si>
    <t>2. Turystyka</t>
  </si>
  <si>
    <t>Wzrost potencjału turystycznego Warmii i Mazur</t>
  </si>
  <si>
    <t>Poprawa dostepu do portu w Elblągu - budowa mostu zwodzonego w m. Nowakowo w ciągu drogi powiatowej Nr 1100N rz. Elbląg, gm. Elbląg</t>
  </si>
  <si>
    <t>RPO Warmia i Mazury na lata 2007-2013; projekt kluczowy pn. "Program rozwoju turystyki w obszarze Kanału Elbląskiego i Pojezierza Iławskiego na lata 2007-2013"; fiszka Nr ZPRL 3.1.6.48</t>
  </si>
  <si>
    <t>RPO Warmia i Mazury na lata 2007-2013; projekt kluczowy pn. "Program rozwoju turystyki w obszarze Kanału Elbląskiego i Pojezierza Iławskiego na lata 2007-2013"; fiszka Nr ZPRL 2.10.12</t>
  </si>
  <si>
    <t>Walka z patologiami realizacja programu "Bezpieczna szkoła"</t>
  </si>
  <si>
    <t>Prognozowana sytuacja finansowa powiatu w latach spłaty długu</t>
  </si>
  <si>
    <t>Przewidywane wykonanie w 2006 r.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</si>
  <si>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</si>
  <si>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</si>
  <si>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</si>
  <si>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</si>
  <si>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</si>
  <si>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</si>
  <si>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</si>
  <si>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</si>
  <si>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</si>
  <si>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</si>
  <si>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</si>
  <si>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</si>
  <si>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</si>
  <si>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</si>
  <si>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</si>
  <si>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</si>
  <si>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</si>
  <si>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</si>
  <si>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</si>
  <si>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</si>
  <si>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</si>
  <si>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</si>
  <si>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</si>
  <si>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</si>
  <si>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</si>
  <si>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</si>
  <si>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</si>
  <si>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</si>
  <si>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</si>
  <si>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</si>
  <si>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</si>
  <si>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</si>
  <si>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</si>
  <si>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2008 r</t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</si>
  <si>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</si>
  <si>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</si>
  <si>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</si>
  <si>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</si>
  <si>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</si>
  <si>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</si>
  <si>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</si>
  <si>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</si>
  <si>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</si>
  <si>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</si>
  <si>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</si>
  <si>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</si>
  <si>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</si>
  <si>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</si>
  <si>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</si>
  <si>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2025 r.</t>
  </si>
  <si>
    <t>2026 r.</t>
  </si>
  <si>
    <t>2027 r.</t>
  </si>
  <si>
    <t>2028 r.</t>
  </si>
  <si>
    <t>2029 r.</t>
  </si>
  <si>
    <t>RPO Warmia i Mazury na lata 2007-2013; projekt kluczowy pn. "Program rozwoju turystyki w obszarze Kanału Elbląskiego i Pojezierza Iławskiego na lata 2007-2013"; fiszka Nr ZPRL 2.11.13</t>
  </si>
  <si>
    <t>2 - Wzmocnienie zasobów ludzkich w regionach</t>
  </si>
  <si>
    <t>Zintegrowany Program Operacyjny Rozwoju Regionalnego</t>
  </si>
  <si>
    <t>2.2 Wyrównywanie szans edukacyjnych poprzez programy stypendialne</t>
  </si>
  <si>
    <t>Pomoc stypendialna studentom powiatu elbląskiego z obszarów zmarginalizowanych</t>
  </si>
  <si>
    <t>Pomoc stypendialna uczniom szkół ponadgimnazjalnym powiatu elbląskiego z obszarów wiejskich na rok szkolny 2006/2007</t>
  </si>
  <si>
    <t>Sektorowy Program Operacyjny Rozwoju Zasobów Ludzkich 2004-2006</t>
  </si>
  <si>
    <t>I. Aktywna polityka rynku pracy oraz integracji zawodowej i społecznej</t>
  </si>
  <si>
    <t>Kobiety na topie</t>
  </si>
  <si>
    <t>Dotacje celowe otrzymane z budżetu państwa na zadania bieżące</t>
  </si>
  <si>
    <t>real. na podst. porozumień z organami administracji rządowej</t>
  </si>
  <si>
    <t>1.6 Integracja i reintegracja zawodowa kobiet</t>
  </si>
  <si>
    <t>Załącznik nr 4</t>
  </si>
  <si>
    <t>do uchwały nr........</t>
  </si>
  <si>
    <t>z dnia...................2006 r.</t>
  </si>
  <si>
    <t>w 2007 roku</t>
  </si>
  <si>
    <t xml:space="preserve">rządowej i innych zadań zleconych odrębnymi ustawami </t>
  </si>
  <si>
    <t>Załącznik nr 7</t>
  </si>
  <si>
    <t xml:space="preserve"> administracji rządowej w 2007 roku</t>
  </si>
  <si>
    <t xml:space="preserve"> realizowanych na podstawie porozumień z organami </t>
  </si>
  <si>
    <t xml:space="preserve">Dochody i wydatki związane z realizacją zadań bieżących </t>
  </si>
  <si>
    <t>Załącznik  nr 10</t>
  </si>
  <si>
    <t>do Uchwały Nr ...............</t>
  </si>
  <si>
    <t xml:space="preserve">z dnia ...................... 2006 r. </t>
  </si>
  <si>
    <t>Prognoza kwoty długu powiatu elbląskiego</t>
  </si>
  <si>
    <t>Przewidywany stan na koniec roku</t>
  </si>
  <si>
    <t>Rodzaj</t>
  </si>
  <si>
    <t>Wykonanie</t>
  </si>
  <si>
    <t>L.p.</t>
  </si>
  <si>
    <t>zadłużenia</t>
  </si>
  <si>
    <t>na koniec</t>
  </si>
  <si>
    <t>31.12.2005 r.</t>
  </si>
  <si>
    <t>Wyemitowane papiery wartościowe</t>
  </si>
  <si>
    <t>Przyjęte depozyty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</si>
  <si>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</si>
  <si>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</si>
  <si>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</si>
  <si>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</si>
  <si>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</si>
  <si>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Procentowy (%) udział długu w dochodach</t>
  </si>
  <si>
    <t>Wymagalne zobowiązania:</t>
  </si>
  <si>
    <t>1) jednostek budżetowych,</t>
  </si>
  <si>
    <t>2) wynikające z:</t>
  </si>
  <si>
    <t>31.12.2006 r.</t>
  </si>
  <si>
    <t xml:space="preserve">PW na </t>
  </si>
  <si>
    <t>Załącznik nr 13</t>
  </si>
  <si>
    <t>TREŚĆ</t>
  </si>
  <si>
    <t>Wsk. %      5/4</t>
  </si>
  <si>
    <t>Prace geodezyjno-urządzeniowe na potrzeby rolnictwa. Razem dochody, w tym:</t>
  </si>
  <si>
    <t xml:space="preserve">a) dotacje celowe </t>
  </si>
  <si>
    <t xml:space="preserve"> - na zadania zlecone </t>
  </si>
  <si>
    <t>Pozostała działalność. Razem dochody, w tym:</t>
  </si>
  <si>
    <t xml:space="preserve">a) dochody własne </t>
  </si>
  <si>
    <t xml:space="preserve">   - z majątku powiatu</t>
  </si>
  <si>
    <t>Gospodarka leśna. Razem dochody, w tym:</t>
  </si>
  <si>
    <t>a) środki pozyskane z innych źródeł</t>
  </si>
  <si>
    <t>600</t>
  </si>
  <si>
    <t>60014</t>
  </si>
  <si>
    <t>Drogi publiczne i powiatowe. Razem dochody, w tym:</t>
  </si>
  <si>
    <t xml:space="preserve">  - z majątku powiatu </t>
  </si>
  <si>
    <t xml:space="preserve">  - pozostałe dochody</t>
  </si>
  <si>
    <t xml:space="preserve">b) dotacje celowe </t>
  </si>
  <si>
    <t xml:space="preserve">  -  dotacja na umowy i porozumienia  z jst </t>
  </si>
  <si>
    <t>60078</t>
  </si>
  <si>
    <t>Usuwanie skutków klęsk żywiołowych. Razem dochody, w tym:</t>
  </si>
  <si>
    <t xml:space="preserve"> - dotacja na umowy i porozumienia  z jst </t>
  </si>
  <si>
    <t xml:space="preserve"> - dotacja na zadania własne  </t>
  </si>
  <si>
    <t>60095</t>
  </si>
  <si>
    <t xml:space="preserve"> - pozostałe dochody </t>
  </si>
  <si>
    <t>700</t>
  </si>
  <si>
    <t xml:space="preserve">Gospodarka mieszkaniowa </t>
  </si>
  <si>
    <t>70005</t>
  </si>
  <si>
    <t>Gospodarka gruntami i nieruchomościami. Razem dochody, w tym:</t>
  </si>
  <si>
    <t xml:space="preserve"> -  dotacja na zadania zlecone  </t>
  </si>
  <si>
    <t>c) środki pozyskane z innych źródeł</t>
  </si>
  <si>
    <t>710</t>
  </si>
  <si>
    <t xml:space="preserve">Działalność usługowa </t>
  </si>
  <si>
    <t>71013</t>
  </si>
  <si>
    <t>Prace geodezyjne i kartograficzne /nieinwestycyjne/. Razem dochody, w tym:</t>
  </si>
  <si>
    <t xml:space="preserve"> - dotacje na zadania zlecone </t>
  </si>
  <si>
    <t>71014</t>
  </si>
  <si>
    <t>Opracowania geodezyjne i kartograficzne. Razem dochody, w tym:</t>
  </si>
  <si>
    <t>71015</t>
  </si>
  <si>
    <t>Załącznik nr 8</t>
  </si>
  <si>
    <t>Nadzór budowlany. Razem dochody, w tym:</t>
  </si>
  <si>
    <t>750</t>
  </si>
  <si>
    <t xml:space="preserve">Administracja publiczna </t>
  </si>
  <si>
    <t>75011</t>
  </si>
  <si>
    <t>Urzędy wojewódzkie. Razem dochody, w tym:</t>
  </si>
  <si>
    <t>75020</t>
  </si>
  <si>
    <t>Starostwa powiatowe. Razem dochody, w tym:</t>
  </si>
  <si>
    <t>75045</t>
  </si>
  <si>
    <t>Komisje poborowe. Razem dochody, w tym:</t>
  </si>
  <si>
    <t>75095</t>
  </si>
  <si>
    <t>751</t>
  </si>
  <si>
    <t xml:space="preserve">Urzędy naczelnych org.włądzy państwowej, kontroli i ochrony prawa oraz sądownictwa </t>
  </si>
  <si>
    <t>75109</t>
  </si>
  <si>
    <t>Wybory do rad gmin, powiatów i sejmików województw,wybory wójtów, burmistrzów, i prezydentów miast oraz referenda. Razem dochody, w tym:</t>
  </si>
  <si>
    <t>754</t>
  </si>
  <si>
    <t xml:space="preserve">Bezpieczeństwo publiczne i ochrona przeciwpożarowa </t>
  </si>
  <si>
    <t>75414</t>
  </si>
  <si>
    <t>Obrona cywilna. Razem dochody, w tym:</t>
  </si>
  <si>
    <t>756</t>
  </si>
  <si>
    <t>Dochody od osób prawnych,od osób fizycznych i od innych jednostek nie posiadających osob.prawnej</t>
  </si>
  <si>
    <t>75622</t>
  </si>
  <si>
    <t>Udziały powiatów w podatkach stanowiących dochód budżetu państwa. Razem dochody, w tym:</t>
  </si>
  <si>
    <t>758</t>
  </si>
  <si>
    <t xml:space="preserve">Różne rozliczenia </t>
  </si>
  <si>
    <t>75801</t>
  </si>
  <si>
    <t>Część oświatowa subwencji ogólnej dla j.s.t. Razem dochody, w tym:</t>
  </si>
  <si>
    <t xml:space="preserve">a) subwencje </t>
  </si>
  <si>
    <t>75802</t>
  </si>
  <si>
    <t>Uzupełnienie subwencji ogólnej dla j.s.t. Razem dochody, w tym</t>
  </si>
  <si>
    <t>75803</t>
  </si>
  <si>
    <t>Część wyrównawcza subwencji ogólnej dla powiatów. Razem dochody, w tym:</t>
  </si>
  <si>
    <t>75814</t>
  </si>
  <si>
    <t>Różne rozliczenia finansowe. Razem dochody, w tym:</t>
  </si>
  <si>
    <t>75832</t>
  </si>
  <si>
    <t xml:space="preserve">Część równoważąca subwencji ogólnej dla powiatów. Razem dochody, w tym: </t>
  </si>
  <si>
    <t>801</t>
  </si>
  <si>
    <t xml:space="preserve">Oświata i wychowanie </t>
  </si>
  <si>
    <t>Licea ogólnokształcące.Razem dochody, w tym:</t>
  </si>
  <si>
    <t xml:space="preserve">b) środki pozyskane z innych źródeł </t>
  </si>
  <si>
    <t xml:space="preserve">c) dotacje celowe </t>
  </si>
  <si>
    <t xml:space="preserve">  -dotacje na umowy i porozumienia z j.s.t.</t>
  </si>
  <si>
    <t>Szkoły zawodowe. Razem dochody, w tym:</t>
  </si>
  <si>
    <t>Komisje egzaminacyjne. Razem dochody, w tym:</t>
  </si>
  <si>
    <t>Gospodarstwa pomocnicze. Razem dochody, w tym:</t>
  </si>
  <si>
    <t>803</t>
  </si>
  <si>
    <t xml:space="preserve">Szkolnictwo wyższe </t>
  </si>
  <si>
    <t>Pomoc materialna dla studentów i doktorantów. Razem dochody w tym:</t>
  </si>
  <si>
    <t>851</t>
  </si>
  <si>
    <t xml:space="preserve">Ochrona zdrowia </t>
  </si>
  <si>
    <t>85111</t>
  </si>
  <si>
    <t>Szpitale ogólne. Razem dochody, w tym:</t>
  </si>
  <si>
    <t xml:space="preserve"> - dotacje na zadania własne </t>
  </si>
  <si>
    <t>85154</t>
  </si>
  <si>
    <t>Przeciwdziałanie alkoholizmowi. Razem dochody, w tym:</t>
  </si>
  <si>
    <t>85156</t>
  </si>
  <si>
    <t>Składki na ubezpieczenia zdrowotne oraz świadczenia dla osób nie objętych obowiązkiem ubezp.zdrowotnego. Razem dochody, w tym:</t>
  </si>
  <si>
    <t>852</t>
  </si>
  <si>
    <t>85201</t>
  </si>
  <si>
    <t>Placówki opiekuńczo-wykonawcze. Razem dochody, w tym:</t>
  </si>
  <si>
    <t>Domy pomocy społecznej. Razem dochody, w tym:</t>
  </si>
  <si>
    <t>Ośrodki wsparcia. Razem dochody, w tym:</t>
  </si>
  <si>
    <t>Rodziny zastępcze. Razem dochody, w tym:</t>
  </si>
  <si>
    <t>Powiatowe centra pomocy rodzinie. Razem dochody, w tym:</t>
  </si>
  <si>
    <t xml:space="preserve"> - dotacja na umowy i porozumienia  z org.administracji rzadowej</t>
  </si>
  <si>
    <t xml:space="preserve">  -dotacje na zadania własne </t>
  </si>
  <si>
    <t>Jednostki specjalistyczne poradnictwa, mieszkania chronione. Razem dochody, w tym:</t>
  </si>
  <si>
    <t>85295</t>
  </si>
  <si>
    <t>853</t>
  </si>
  <si>
    <t xml:space="preserve">Pozostałe zadania w zakresie polityki społecznej </t>
  </si>
  <si>
    <t>85321</t>
  </si>
  <si>
    <t>Zespoły d/s orzekania o niepełnosprawności. Razem dochody, w tym:</t>
  </si>
  <si>
    <t xml:space="preserve"> -  dotacje na zadania zlecone</t>
  </si>
  <si>
    <t>85324</t>
  </si>
  <si>
    <t>Państwowy Fundusz Rehabilitacji Osób Niepełnosprawnych. Razem dochody, w tym:</t>
  </si>
  <si>
    <t>85333</t>
  </si>
  <si>
    <t>Powiatowe urzędy pracy. Razem dochody, w tym:</t>
  </si>
  <si>
    <t>85334</t>
  </si>
  <si>
    <t>Zakup agregatu prądotwórczego na prom</t>
  </si>
  <si>
    <t>Zarząd Dróg Powiat. Pasłęk</t>
  </si>
  <si>
    <t>Zespół Szkół Pasłęk</t>
  </si>
  <si>
    <t>Dom Pomocy Społecznej Rangóry</t>
  </si>
  <si>
    <t xml:space="preserve">Ogółem </t>
  </si>
  <si>
    <t>Pomoc dla repartiantów. Razem dochody, w tym:</t>
  </si>
  <si>
    <t>85395</t>
  </si>
  <si>
    <t xml:space="preserve"> - dotacje na umowy i porozumienia z org.administracji rządowej</t>
  </si>
  <si>
    <t>854</t>
  </si>
  <si>
    <t>85406</t>
  </si>
  <si>
    <t>Poradnie psychol.-pedagog.oraz inne poradnie specjalistyczne. Razem dochody, w tym:</t>
  </si>
  <si>
    <t>85415</t>
  </si>
  <si>
    <t xml:space="preserve">Internaty i bursy szkolne. Razem dochody, w tym: </t>
  </si>
  <si>
    <t>Pomoc materialna dla uczniów. Razem dochody, w tym:</t>
  </si>
  <si>
    <t xml:space="preserve"> -  dotacje na zadania własne</t>
  </si>
  <si>
    <t xml:space="preserve"> - dotacje na umowy i porozumienia z j.s.t.</t>
  </si>
  <si>
    <t>85420</t>
  </si>
  <si>
    <t>Młodzieżowe ośrodki wychowawcze. Razem dochody, w tym:</t>
  </si>
  <si>
    <t>85410</t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</si>
  <si>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</si>
  <si>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</si>
  <si>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</si>
  <si>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</si>
  <si>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</si>
  <si>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</si>
  <si>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</si>
  <si>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</si>
  <si>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</si>
  <si>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</si>
  <si>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</si>
  <si>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</si>
  <si>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</si>
  <si>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</si>
  <si>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</si>
  <si>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</si>
  <si>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</si>
  <si>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</si>
  <si>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</si>
  <si>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</si>
  <si>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</si>
  <si>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</si>
  <si>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</si>
  <si>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</si>
  <si>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</si>
  <si>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</si>
  <si>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</si>
  <si>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</si>
  <si>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</si>
  <si>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</si>
  <si>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</si>
  <si>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</si>
  <si>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</si>
  <si>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</si>
  <si>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</si>
  <si>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</si>
  <si>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</si>
  <si>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</si>
  <si>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</si>
  <si>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</si>
  <si>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</si>
  <si>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</si>
  <si>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</si>
  <si>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</si>
  <si>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</si>
  <si>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</si>
  <si>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</si>
  <si>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</si>
  <si>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</si>
  <si>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</si>
  <si>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</si>
  <si>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</si>
  <si>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</si>
  <si>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</si>
  <si>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</si>
  <si>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</si>
  <si>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</si>
  <si>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</si>
  <si>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2009 r.</t>
  </si>
  <si>
    <t>Plan przychodów i wydatków zakładów budżetowych, gospodarstw pomocniczych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</si>
  <si>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</si>
  <si>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</si>
  <si>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</si>
  <si>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</si>
  <si>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</si>
  <si>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</si>
  <si>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</si>
  <si>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</si>
  <si>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</si>
  <si>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</si>
  <si>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</si>
  <si>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</si>
  <si>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</si>
  <si>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</si>
  <si>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</si>
  <si>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</si>
  <si>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</si>
  <si>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</si>
  <si>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</si>
  <si>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</si>
  <si>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</si>
  <si>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</si>
  <si>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</si>
  <si>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</si>
  <si>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</si>
  <si>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 i rozchody budżetu w 2007 r.</t>
  </si>
  <si>
    <t>Przychody*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</si>
  <si>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</si>
  <si>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</si>
  <si>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</si>
  <si>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</si>
  <si>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</si>
  <si>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</si>
  <si>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</si>
  <si>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</si>
  <si>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</si>
  <si>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</si>
  <si>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</si>
  <si>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</si>
  <si>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</si>
  <si>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</si>
  <si>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</si>
  <si>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</si>
  <si>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</si>
  <si>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</si>
  <si>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</si>
  <si>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</si>
  <si>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</si>
  <si>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</si>
  <si>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</si>
  <si>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</si>
  <si>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</si>
  <si>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</si>
  <si>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</si>
  <si>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</si>
  <si>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</si>
  <si>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</si>
  <si>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</si>
  <si>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</si>
  <si>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</si>
  <si>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</si>
  <si>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</si>
  <si>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</si>
  <si>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</si>
  <si>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</si>
  <si>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</si>
  <si>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</si>
  <si>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</si>
  <si>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</si>
  <si>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</si>
  <si>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</si>
  <si>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</si>
  <si>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dotacje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</si>
  <si>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</si>
  <si>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</si>
  <si>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</si>
  <si>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</si>
  <si>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</si>
  <si>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</si>
  <si>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</si>
  <si>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</si>
  <si>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</si>
  <si>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</si>
  <si>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</si>
  <si>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</si>
  <si>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</si>
  <si>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</si>
  <si>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</si>
  <si>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</si>
  <si>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</si>
  <si>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</si>
  <si>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</si>
  <si>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</si>
  <si>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</si>
  <si>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</si>
  <si>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</si>
  <si>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</si>
  <si>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</si>
  <si>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</si>
  <si>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</si>
  <si>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</si>
  <si>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</si>
  <si>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</si>
  <si>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</si>
  <si>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</si>
  <si>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</si>
  <si>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</si>
  <si>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</si>
  <si>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Wykończenie IV piętra wraz z montażem dźwigu w  budynku Starostwa Powiatowego ul. Saperów 14A</t>
  </si>
  <si>
    <t>Plan wydatków budżetu powiatu elbląskiego na 2007 rok</t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</si>
  <si>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</si>
  <si>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</si>
  <si>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</si>
  <si>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</si>
  <si>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</si>
  <si>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</si>
  <si>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</si>
  <si>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</si>
  <si>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</si>
  <si>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</si>
  <si>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</si>
  <si>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</si>
  <si>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</si>
  <si>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</si>
  <si>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</si>
  <si>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</si>
  <si>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</si>
  <si>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</si>
  <si>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</si>
  <si>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</si>
  <si>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</si>
  <si>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</si>
  <si>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</si>
  <si>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</si>
  <si>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</si>
  <si>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</si>
  <si>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</si>
  <si>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</si>
  <si>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</si>
  <si>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</si>
  <si>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</si>
  <si>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</si>
  <si>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</si>
  <si>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</si>
  <si>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</si>
  <si>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</si>
  <si>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</si>
  <si>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</si>
  <si>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</si>
  <si>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</si>
  <si>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</si>
  <si>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</si>
  <si>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</si>
  <si>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</si>
  <si>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</si>
  <si>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</si>
  <si>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</si>
  <si>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budżetu powiatu na 2007 r.</t>
  </si>
  <si>
    <t>Wydatki budżetu powiatu na  2007 r.</t>
  </si>
  <si>
    <t xml:space="preserve">*** źródła dochodów wskazanych przez Zarząd </t>
  </si>
  <si>
    <t>Plan przychodów i wydatków Powiatowego Funduszu</t>
  </si>
  <si>
    <t>Urząd Powiatu X-Firma Y</t>
  </si>
  <si>
    <t>Urząd Powiatu X-Firma X</t>
  </si>
  <si>
    <t>010</t>
  </si>
  <si>
    <t>Rolnictwo i łowiectwo</t>
  </si>
  <si>
    <t>Prace geodezyjno-urządzeniowe na potrzeby rolnictwa</t>
  </si>
  <si>
    <t>01005</t>
  </si>
  <si>
    <t>01095</t>
  </si>
  <si>
    <t>Pozostała działalność</t>
  </si>
  <si>
    <t>020</t>
  </si>
  <si>
    <t>Leśnictwo</t>
  </si>
  <si>
    <t>02001</t>
  </si>
  <si>
    <t>Nadzór na gospodarką leśną</t>
  </si>
  <si>
    <t>02002</t>
  </si>
  <si>
    <t>Transport i łączność</t>
  </si>
  <si>
    <t>PW na 2006 r.</t>
  </si>
  <si>
    <t>Wsk. %      6/5</t>
  </si>
  <si>
    <t>Drogi publiczne powiatowe</t>
  </si>
  <si>
    <t>Załącznik nr 1</t>
  </si>
  <si>
    <t>do Uchwały Nr .............</t>
  </si>
  <si>
    <t>Zarządu Powiatu w Elblągu</t>
  </si>
  <si>
    <t>z dnia ........................ 2005 r.</t>
  </si>
  <si>
    <t>Dz.</t>
  </si>
  <si>
    <t xml:space="preserve">W y s z c z e g ó l n i e n i e </t>
  </si>
  <si>
    <t>PW za 2006 r.</t>
  </si>
  <si>
    <t>Wsk. %       6:5</t>
  </si>
  <si>
    <t>Plan po zmianach na 2005 r.</t>
  </si>
  <si>
    <t>4300</t>
  </si>
  <si>
    <t>Zakup usług pozostałych</t>
  </si>
  <si>
    <t>8550</t>
  </si>
  <si>
    <t>Różne rozliczenia finansowe</t>
  </si>
  <si>
    <t xml:space="preserve">Różne wydatki na rzecz osób fizycznych </t>
  </si>
  <si>
    <t>Dotacje celowe na zadania bieżące wg porozumień między jst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</si>
  <si>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</si>
  <si>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</si>
  <si>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</si>
  <si>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</si>
  <si>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</si>
  <si>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</si>
  <si>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</si>
  <si>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</si>
  <si>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</si>
  <si>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</si>
  <si>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dostępu do sieci Internet</t>
  </si>
  <si>
    <t>Opłaty z tytułu zakupu usług telekom. tel. komórkowej</t>
  </si>
  <si>
    <t>Opłaty z tytułu zakupu usług telekom. tel. stacjonarnej</t>
  </si>
  <si>
    <t>Podróże służbowe krajowe</t>
  </si>
  <si>
    <t>Różne opłaty i składki</t>
  </si>
  <si>
    <t>Odpisy na zakładowy fundusz świadczeń socjalnych</t>
  </si>
  <si>
    <t>Podatek od nieruchomości</t>
  </si>
  <si>
    <t>Pozostałe podatki na rzecz budżetów j.s.t.</t>
  </si>
  <si>
    <t>Opłaty na rzecz budżetu państwa</t>
  </si>
  <si>
    <t>Opłaty na rzecz budżetów jednostek samorządu terytorialnego</t>
  </si>
  <si>
    <t>Podatek od towarów i usług</t>
  </si>
  <si>
    <t>Pozostałe odsetki</t>
  </si>
  <si>
    <t>Wydatki inwestycyjne jednostek budżetowych</t>
  </si>
  <si>
    <t>Wydatki na zakupy inwestycyjne jednostek budżetowych</t>
  </si>
  <si>
    <t>Usuwanie skutków klęsk żywiołowych</t>
  </si>
  <si>
    <t>Turystyka</t>
  </si>
  <si>
    <t>Zadania w zakresie upowszechniania turystyki</t>
  </si>
  <si>
    <t>2830</t>
  </si>
  <si>
    <t>Dotacja celowa z budżetu na finansowanie lub dofinansowanie</t>
  </si>
  <si>
    <t>zad.zlec.do realizacji pozost.jedn.nie zalicznym do sekt.fin.publ.</t>
  </si>
  <si>
    <t>4210</t>
  </si>
  <si>
    <t>Gospodarka mieszkaniowa</t>
  </si>
  <si>
    <t>Gospodarka gruntami i nieruchomościami</t>
  </si>
  <si>
    <t>4480</t>
  </si>
  <si>
    <t>4700</t>
  </si>
  <si>
    <t>Szkolenia pracowników niebęd. człon. korpusu sł. cyw.</t>
  </si>
  <si>
    <t>Działalność usługowa</t>
  </si>
  <si>
    <t>Prace geodezyjne i kartograficzne (nieinwestycyjne)</t>
  </si>
  <si>
    <t>Opracowania geodezyjne i kartograficzne</t>
  </si>
  <si>
    <t>Nadzór budowlany</t>
  </si>
  <si>
    <t>Opłaty czynszowe za pomieszczenia biurowe</t>
  </si>
  <si>
    <t>Wydatki na zakupy inwestycyjne</t>
  </si>
  <si>
    <t>Administracja publiczna</t>
  </si>
  <si>
    <t>Urzędy wojewódzkie</t>
  </si>
  <si>
    <t>Zakup materiałów papierniczych do sprzętu drukarskiego i urządzeń kserograficznych</t>
  </si>
  <si>
    <t>Zakup akcesoriów komputerowych, w tym programów i licencji</t>
  </si>
  <si>
    <t>Rady powiatów</t>
  </si>
  <si>
    <t>Różne wydatki na rzecz osób fizycznych</t>
  </si>
  <si>
    <t>Podróże służbowe zagraniczne</t>
  </si>
  <si>
    <t>Starostwa powiatowe</t>
  </si>
  <si>
    <t>Opłaty za usługi internetowe</t>
  </si>
  <si>
    <t>Opłaty z tytułu zakupu usług telekom. tel. Komórkowej</t>
  </si>
  <si>
    <t>Wydatki na zakupy inwestycyjne jednostek budżet.</t>
  </si>
  <si>
    <t>Komisje poborowe</t>
  </si>
  <si>
    <t xml:space="preserve">4170 </t>
  </si>
  <si>
    <t>Urzędy naczelnych org. władzy państwowej, kontroli,</t>
  </si>
  <si>
    <t>i ochrony prawa oraz sądownictwa</t>
  </si>
  <si>
    <t>Wybory do rad gmin, poiwatów i sejmików województw,</t>
  </si>
  <si>
    <t>wybory wójtów, burmistrzów i prezydentów miast oraz refer.</t>
  </si>
  <si>
    <t>Bezpieczeństwo publiczne i ochrona przeciwpożar.</t>
  </si>
  <si>
    <t>Obrona cywilna</t>
  </si>
  <si>
    <t xml:space="preserve">Dotacje celowe przekazane gminie na inwestycje i </t>
  </si>
  <si>
    <t>zakupy inwes. Realizowane na podst. Porozumień</t>
  </si>
  <si>
    <t>między jednostkami samorządu terytorialnego</t>
  </si>
  <si>
    <t xml:space="preserve">Dotacje celowe przekazane gminie na zadania bieżące </t>
  </si>
  <si>
    <t xml:space="preserve">realizowane na podstawie porozumień między </t>
  </si>
  <si>
    <t>jednostkami samorządu terytorialnego</t>
  </si>
  <si>
    <t>Obsługa długu publicznego</t>
  </si>
  <si>
    <t>Obsługa papierów wartościowych, kredytów i pożyczek</t>
  </si>
  <si>
    <t>Odsetki i dyskonta od papierów wart.oraz pożyczek</t>
  </si>
  <si>
    <t>Rozliczenia z tytułu poręczeń i gwarancji udzielonych</t>
  </si>
  <si>
    <t>przez Skarb Państwa lub jedn. Samorz. Terytor.</t>
  </si>
  <si>
    <t>Wypłaty z tytułu poręczeń i gwarancji</t>
  </si>
  <si>
    <t>Różne rozliczenia</t>
  </si>
  <si>
    <t>Rezerwy ogólne i celowe</t>
  </si>
  <si>
    <t>Rezerwy</t>
  </si>
  <si>
    <t>Oświata i wychowanie</t>
  </si>
  <si>
    <t>Szkoły podstawowe</t>
  </si>
  <si>
    <t>Zakup pomocy naukowych,dydaktycznych i książek</t>
  </si>
  <si>
    <t>Gimnazja</t>
  </si>
  <si>
    <t>Zakup pomocy naukowych, dydaktycznych i książek</t>
  </si>
  <si>
    <t>Licea ogólnokształcące</t>
  </si>
  <si>
    <t>Wydatki na zakupy inwestycyjne jednostek</t>
  </si>
  <si>
    <t>Szkoły zawodowe</t>
  </si>
  <si>
    <t>Podatek od towarów i usług VAT</t>
  </si>
  <si>
    <t>Dokształcanie i doskonalenie nauczycieli</t>
  </si>
  <si>
    <t>Dotacja celowa z budżetu na fin.lub dofin.zadań zleconych</t>
  </si>
  <si>
    <t>do realizacji stowarzyszeniom</t>
  </si>
  <si>
    <t>Szkolnictwo wyższe</t>
  </si>
  <si>
    <t>Pomoc materialna dla studentów i doktorantów</t>
  </si>
  <si>
    <t>Stypendia i zasiłki dla studentów</t>
  </si>
  <si>
    <t>Ochrona zdrowia</t>
  </si>
  <si>
    <t>Szpitale ogólne</t>
  </si>
  <si>
    <t>Dotacja podmiotowa z budżetu dla spozoz</t>
  </si>
  <si>
    <t>utworzonego przez j.s.t.</t>
  </si>
  <si>
    <t>Dotacje celowe z budżetu na finansowanie lub dofin.</t>
  </si>
  <si>
    <t>kosztów realizacji inwestycji i zakupów inwestycyjnych</t>
  </si>
  <si>
    <t>innych jednostek sektora finansów publicznych</t>
  </si>
  <si>
    <t>Ratownictwo medyczne</t>
  </si>
  <si>
    <t>Dotacje celowe na zadania bieżące wg porozumień</t>
  </si>
  <si>
    <t>Programy polityki zdrowotnej</t>
  </si>
  <si>
    <t>Przeciwdziałanie alkohlizmowi</t>
  </si>
  <si>
    <t xml:space="preserve">Składki na ubezpieczenia zdrowotne </t>
  </si>
  <si>
    <t>2910</t>
  </si>
  <si>
    <t>Zwrot dotacji wykorzystanych niezgodnie z przeznaczeniem</t>
  </si>
  <si>
    <t>lub pobranych w nadmiernej wysokości</t>
  </si>
  <si>
    <t>4130</t>
  </si>
  <si>
    <t>Składki na ubezpieczenia zdrowotne</t>
  </si>
  <si>
    <t>Pomoc społeczna</t>
  </si>
  <si>
    <t>Placówki opiekuńczo-wychowawcze</t>
  </si>
  <si>
    <t>Świadczenia społeczne</t>
  </si>
  <si>
    <t>Zakup środków żywności</t>
  </si>
  <si>
    <t>Wydatki na zakupy inwesycyjne jednostek budżetowych</t>
  </si>
  <si>
    <t>Domy pomocy społecznej</t>
  </si>
  <si>
    <t>Zakup leków i materiałów medycznych</t>
  </si>
  <si>
    <t>Zakup usług obejmujących wykonanie ekspertyz, analiz i opinii</t>
  </si>
  <si>
    <t>Opłaty na rzecz budżetów jednostek samorząd.terytorial.</t>
  </si>
  <si>
    <t>Ośrodki wsparcia</t>
  </si>
  <si>
    <t>Zakup leków</t>
  </si>
  <si>
    <t>Rodziny zastępcze</t>
  </si>
  <si>
    <t>Powiatowe centra pomocy rodzinie</t>
  </si>
  <si>
    <t>Jednostki specjalist.poradnictwa, mieszkania chronione</t>
  </si>
  <si>
    <t>4260</t>
  </si>
  <si>
    <t>4270</t>
  </si>
  <si>
    <t>Dotacja celowa z budżetu na finansowanie lub dofin.</t>
  </si>
  <si>
    <t>zadań zleconym do realizacji pozostałym jednostkom</t>
  </si>
  <si>
    <t>niezalicznym do sektora finansów publicznych</t>
  </si>
  <si>
    <t>Pozostałe zadania w zakresie polityki społecznej</t>
  </si>
  <si>
    <t>Zespoły ds. orzekania o niepełnosprawności</t>
  </si>
  <si>
    <t>Powiatowe urzędy pracy</t>
  </si>
  <si>
    <t>Wpłaty na PFRON</t>
  </si>
  <si>
    <t>Wynagordzenia bezosobowe</t>
  </si>
  <si>
    <t>Kary i odszkodowanie wypłacane na rzecz osób praw.</t>
  </si>
  <si>
    <t>i innych jednostek organizacyjnych</t>
  </si>
  <si>
    <t>Pomoc dla repatriantów</t>
  </si>
  <si>
    <t>Swiadczenia społeczne</t>
  </si>
  <si>
    <t>Dotacja celowa z budżetu na finansowanie lub dofinan.</t>
  </si>
  <si>
    <t>zadań zleconych stowarzyszeniom</t>
  </si>
  <si>
    <t>Edukacyjna opieka wychowawcza</t>
  </si>
  <si>
    <t>Świetlice szkolne</t>
  </si>
  <si>
    <t>Poradnie psychol.-pedagog.oraz in.porad.spec.</t>
  </si>
  <si>
    <t>Internaty i bursy szkolne</t>
  </si>
  <si>
    <t>podatek od towarów i usług</t>
  </si>
  <si>
    <t>Pomoc materialna dla uczniów</t>
  </si>
  <si>
    <t>Stypendia oraz inne formy pomocy dla uczniów</t>
  </si>
  <si>
    <t>Stypendia dla uczniów</t>
  </si>
  <si>
    <t>Młodzieżowe ośrodki wychowawcze</t>
  </si>
  <si>
    <t>Kultura i ochrona dziedzictwa narodowego</t>
  </si>
  <si>
    <t>Pozostałe zadania w zakresie kultury</t>
  </si>
  <si>
    <t>Biblioteki</t>
  </si>
  <si>
    <t>Kultura fizyczna i sport</t>
  </si>
  <si>
    <t>Zadania w zakresie upowszech. kultury fizycz.i sportu</t>
  </si>
  <si>
    <t>Nagrody i wydatki osobowe nie zaliczone do wynagr.</t>
  </si>
  <si>
    <t>WYDATKI OGÓŁEM</t>
  </si>
  <si>
    <t>płace</t>
  </si>
  <si>
    <t>dług</t>
  </si>
  <si>
    <t>rzeczowe</t>
  </si>
  <si>
    <t>majątkowe</t>
  </si>
  <si>
    <t>Wybory do rad gmin, powiatów i sejmików województw,</t>
  </si>
  <si>
    <t>Przebudowa drogi powiatowej nr 1103N Kazimierzowo-Helenowo-Wikrowo-Jegłownik-Gronowo Elbląskie-Stare Dolno-Marwica na odcinku Helenowo-Jegłownik (2007-2011)</t>
  </si>
  <si>
    <t>Przebudowa drogi powiatowej Nr 1185 N Rychliki-Gołutowo (2007-2011)</t>
  </si>
  <si>
    <t>`6050</t>
  </si>
  <si>
    <t>Przebudowa drogi powiatowej nr 1119N Karczowiska Górne-Marwica na odcinku Stankowo-Marwica (2007-2011)</t>
  </si>
  <si>
    <t>Przebudowa drogi powiatowej Nr 1185 Jelonki-Śliwice-Rychliki-Gołtowo na odcinku Jelonki-Śliwice (2007-2013)</t>
  </si>
  <si>
    <t>Budowa bazy rekreacyjno-biwakowej przy pochylni Buczyniec (2007-2011)</t>
  </si>
  <si>
    <t>Poprawa dostępu do portu w Elblągu- budowa mostu zwodzonego w Nowakowie (2007-2010)</t>
  </si>
  <si>
    <t>Remont mostu przez Kanał Jagieloński w m. Kępa Rybacka - droga 1101N Nowakowo-Kępa Rybacka-Bielnik II (2007-2008)</t>
  </si>
  <si>
    <t>Inkubator Przedsiębiorczości Turystycznej Obszaru Kanału Elbląskiego w Pasłęku (2007-2009)</t>
  </si>
  <si>
    <t>Starostwo Powiatowe</t>
  </si>
  <si>
    <t>Budowa kompleksu sportowo-rekreacyjnego w Pasłęku przy Zespole Szkół Ekonomicznych i Technicznych (2007-2012)</t>
  </si>
  <si>
    <t>Utworzenie zespołu sportowo-rekreacyjnego Domu Dziecka w Marwicy (2007-2010)</t>
  </si>
  <si>
    <t>DD Marwica</t>
  </si>
  <si>
    <t>9.</t>
  </si>
  <si>
    <t>10.</t>
  </si>
  <si>
    <t>11.</t>
  </si>
  <si>
    <t>PW w 2006 r.</t>
  </si>
  <si>
    <t>Wsk. %     5/4</t>
  </si>
  <si>
    <t>Planowane dochody</t>
  </si>
  <si>
    <t>Nadwyżka / Deficyt   I - II</t>
  </si>
  <si>
    <t>Finansowanie   III -  IV</t>
  </si>
  <si>
    <t>Rady Powiatu w Elblągu</t>
  </si>
  <si>
    <t xml:space="preserve"> w złotych</t>
  </si>
  <si>
    <t>Klasyfikacja</t>
  </si>
  <si>
    <t>PW</t>
  </si>
  <si>
    <t>X</t>
  </si>
  <si>
    <t>Przebudowa toalety na parterze w bydynku Starostwa Powiatowego</t>
  </si>
  <si>
    <t>Dokończenie budowy windy</t>
  </si>
  <si>
    <t>Wykonanie dokumentacji techniczno-ekonomicznej na termomodernizację obiektów jednostek organizacyjnych powiatu elbląskiego</t>
  </si>
  <si>
    <t>12.</t>
  </si>
  <si>
    <t>13.</t>
  </si>
  <si>
    <t>Zakup rębaka do gałęzi</t>
  </si>
  <si>
    <t>Zakup frezarki do pni</t>
  </si>
  <si>
    <t>Zakup ładowarko-koparki</t>
  </si>
  <si>
    <t>Zakup systemu GPS (nawigacji satelitarnej)</t>
  </si>
  <si>
    <t>Zakup skrapiarki</t>
  </si>
  <si>
    <t>Projekt "Wrota Warmii i Mazur- elektroniczna platforma funkcjonowania administracji publicznej oraz świadczenia usług publicznych"</t>
  </si>
  <si>
    <t>Zakup ciągnika z kosiarką, siewnika, dmuchawy spalinowej</t>
  </si>
  <si>
    <t>Zakup komputerów</t>
  </si>
  <si>
    <t>80120</t>
  </si>
  <si>
    <t>80130</t>
  </si>
  <si>
    <t>80146</t>
  </si>
  <si>
    <t>80195</t>
  </si>
  <si>
    <t>80197</t>
  </si>
  <si>
    <t>80309</t>
  </si>
  <si>
    <t xml:space="preserve">Pomoc społeczna </t>
  </si>
  <si>
    <t>85202</t>
  </si>
  <si>
    <t>Domu pomocy społecznej</t>
  </si>
  <si>
    <t>85203</t>
  </si>
  <si>
    <t>85204</t>
  </si>
  <si>
    <t>85218</t>
  </si>
  <si>
    <t>85220</t>
  </si>
  <si>
    <t>1.Gospodarstwo Pomocnicze "Pólko" przy Zespole Szkól Ekonomicznych i Technicznych w Pasłęku</t>
  </si>
  <si>
    <t>2. Zakład obsługi Powiatowego Zasobu Geodezyjnego i Kartograficznego w Elblągu</t>
  </si>
  <si>
    <t>Wpływy z usług</t>
  </si>
  <si>
    <t>Przelewy redystrybucyjne</t>
  </si>
  <si>
    <t>Odsetki bankowe</t>
  </si>
  <si>
    <t>Szkolenia pracowników niebędących członkami korpusu służby cywilnej</t>
  </si>
  <si>
    <t>Zakup materiałów papierniczych do sprzętu drukarskiego i urządzeń kserograficznyvh</t>
  </si>
  <si>
    <t>0830</t>
  </si>
  <si>
    <t>0920</t>
  </si>
  <si>
    <t>1</t>
  </si>
  <si>
    <t>2</t>
  </si>
  <si>
    <t>do uchwały Nr ...............</t>
  </si>
  <si>
    <t>z dnia .................... 2006 r.</t>
  </si>
  <si>
    <t xml:space="preserve">      w złotych</t>
  </si>
  <si>
    <t xml:space="preserve">PW  za 2006 r. </t>
  </si>
  <si>
    <t>Wsk. % 6:5</t>
  </si>
  <si>
    <t>Struktura %</t>
  </si>
  <si>
    <t>PW 2005 r.</t>
  </si>
  <si>
    <t>Plan 2006 r.</t>
  </si>
  <si>
    <t>2110</t>
  </si>
  <si>
    <t>Dotacje celowe otrzymane z budżetu państwa  na</t>
  </si>
  <si>
    <t xml:space="preserve">zad. bieżące z zakresu adm.rząd. oraz inne zad.zlecone   </t>
  </si>
  <si>
    <t>0750</t>
  </si>
  <si>
    <t>Dochody z najmu i dzierżawy składników majątkowych</t>
  </si>
  <si>
    <t>Skarbu Państwa lub j.s.t.i innych umów</t>
  </si>
  <si>
    <t>Gospodarka leśna</t>
  </si>
  <si>
    <t>Środki otrzymane od pozostałych jedn.sekt.finansów publ.</t>
  </si>
  <si>
    <t>0690</t>
  </si>
  <si>
    <t>Wpływy z różnych opłat</t>
  </si>
  <si>
    <t>0970</t>
  </si>
  <si>
    <t>Wpływy z różnych dochodów</t>
  </si>
  <si>
    <t>2310</t>
  </si>
  <si>
    <t>Dotacje celowe otrzymane z gminy na zadania bieżące</t>
  </si>
  <si>
    <t>realizowane na podstwie porozumień między j.s.t.</t>
  </si>
  <si>
    <t>6610</t>
  </si>
  <si>
    <t>Dotacje celowe otrzymane z gminy na inwestycje i zakupy</t>
  </si>
  <si>
    <t>inwestycyjne realizowane na podst. porozumien między j.s.t.</t>
  </si>
  <si>
    <t>6430</t>
  </si>
  <si>
    <t xml:space="preserve">Dotacje celowe otrzymane z budżetu państwa na </t>
  </si>
  <si>
    <t>realizacje inwestycji własnych powiatu</t>
  </si>
  <si>
    <t>0470</t>
  </si>
  <si>
    <t>Wpływy z opłat za zarząd, użytkowanie i użytkowanie</t>
  </si>
  <si>
    <t>wieczyste nieruchomości</t>
  </si>
  <si>
    <t>0770</t>
  </si>
  <si>
    <t>Wpłaty z tyt.odpłatnego nabycia pr. własności nieruchom.</t>
  </si>
  <si>
    <t>0910</t>
  </si>
  <si>
    <t>Odsetki od nieterminowych wpłat z tyt. podatków i opłat</t>
  </si>
  <si>
    <t xml:space="preserve">zad.bieżące z zakresu adm.rząd. oraz inne zad.zlecone   </t>
  </si>
  <si>
    <t>2360</t>
  </si>
  <si>
    <t xml:space="preserve">Dochody j.s.t. zw. z real. zadań z zakresu adm.rządowej </t>
  </si>
  <si>
    <t>oraz innych zadań zleconych ustawami</t>
  </si>
  <si>
    <t>2708</t>
  </si>
  <si>
    <t>Środki na dofinansowanie własnych zadań bieżacych</t>
  </si>
  <si>
    <t>powatów, pozyskane z innych źródeł</t>
  </si>
  <si>
    <t>2709</t>
  </si>
  <si>
    <t>8510</t>
  </si>
  <si>
    <t>Wpływy z różnych rozliczeń</t>
  </si>
  <si>
    <t>Prace geodezyjne i kartograficzne /nieinwestycyjne/</t>
  </si>
  <si>
    <t xml:space="preserve">zad.bieżące z zakresu adm.rząd. oraz inne zad. zlecone   </t>
  </si>
  <si>
    <t xml:space="preserve">zad. bieżące z zakresu adm.rząd.oraz inne zad. zlecone   </t>
  </si>
  <si>
    <t>6410</t>
  </si>
  <si>
    <t>Dotacje celowe na inwestycje i zakupy inwestycyjne</t>
  </si>
  <si>
    <t>0420</t>
  </si>
  <si>
    <t xml:space="preserve">Wpływy z opłaty komunikacyjnej </t>
  </si>
  <si>
    <t>0840</t>
  </si>
  <si>
    <t>Wpływy ze sprzedaży wyrobów</t>
  </si>
  <si>
    <t>Odsetki od nieterminowych wpłat z tytułu podatków i opłat</t>
  </si>
  <si>
    <t>0960</t>
  </si>
  <si>
    <t>Otrzymane spadki, darowizny w postaci pieniężnej</t>
  </si>
  <si>
    <t xml:space="preserve">zad.bieżące z zakresu adm.rząd. oraz inne zad. zlecone  </t>
  </si>
  <si>
    <t>Bezpieczeństwo publiczne i ochrona przeciwpożarowa</t>
  </si>
  <si>
    <t>Dochody od osób prawnych, od osób fizycznych i od</t>
  </si>
  <si>
    <t>innych jednostek nieposiadających osob. prawnej</t>
  </si>
  <si>
    <t>Udziały powiatów w podatkach stanowiących dochód</t>
  </si>
  <si>
    <t>budżetu państwa</t>
  </si>
  <si>
    <t>0010</t>
  </si>
  <si>
    <t>Podatek dochodowy od osób fizycznych</t>
  </si>
  <si>
    <t>0020</t>
  </si>
  <si>
    <t>Podatek dochodowy od osób prawnych</t>
  </si>
  <si>
    <t xml:space="preserve">Część oświatowa subwencji ogólnej dla j.s.t. </t>
  </si>
  <si>
    <t>Subwencje ogólne z budżetu państwa</t>
  </si>
  <si>
    <t>Uzupełnienie subwencji ogólnej dla j.s.t.</t>
  </si>
  <si>
    <t>Środki na inwestycje rozpoczęte przed dniem 01.01.1999 r.</t>
  </si>
  <si>
    <t>Część wyrównawcza subwencji ogólnej dla powiatów</t>
  </si>
  <si>
    <t>Część równoważąca subwencji ogólnej dla powiatów</t>
  </si>
  <si>
    <t>2920</t>
  </si>
  <si>
    <t>2700</t>
  </si>
  <si>
    <t>inwestycyjne realizowane na podst. porozumień między j.s.t.</t>
  </si>
  <si>
    <t>Otrzymane spadki, zapisy i darowizny w postaci pieniężnej</t>
  </si>
  <si>
    <t>inwestycyjne realizowane na pods. porozumień między j.s.t.</t>
  </si>
  <si>
    <t>80145</t>
  </si>
  <si>
    <t>Komisje egzaminacyjne</t>
  </si>
  <si>
    <t>2130</t>
  </si>
  <si>
    <t xml:space="preserve">Dotacje celowe otrzymane z budżetu państwa na  </t>
  </si>
  <si>
    <t>realizację bieżących zadań własnych powiatu</t>
  </si>
  <si>
    <t>2380</t>
  </si>
  <si>
    <t>Wpłata do budżetu części zysku przez gosp.pomoc.</t>
  </si>
  <si>
    <t>2328</t>
  </si>
  <si>
    <t>Dotacje celowe otrzymane z powiatu na zadania bieżące</t>
  </si>
  <si>
    <t>realizowane na podstawie porozumień między j.s.t.</t>
  </si>
  <si>
    <t>2329</t>
  </si>
  <si>
    <t>Dotacje celowe otrzymane z budżetu państwa na realizację</t>
  </si>
  <si>
    <t>inwestycji i zakupów inwestycyjnych własnych powiatu</t>
  </si>
  <si>
    <t>Przeciwdziałanie alkoholizmowi</t>
  </si>
  <si>
    <t xml:space="preserve">Dotacje celowe otrzymane od samorządu woj. na </t>
  </si>
  <si>
    <t>zad.bieżące real. na pods. porozumień miedzy j.s.t.</t>
  </si>
  <si>
    <t>Składki na ubezpieczenia zdrowotne oraz świadczenia</t>
  </si>
  <si>
    <t>dla osób nie objętych obowiązkiem ubezp. zdrowotnego</t>
  </si>
  <si>
    <t>0870</t>
  </si>
  <si>
    <t>Wpływy ze sprzedaży składników majątkowych</t>
  </si>
  <si>
    <t>2120</t>
  </si>
  <si>
    <t>Dotacje celowe z budżetu państwa na zadania bieżące real.</t>
  </si>
  <si>
    <t>przez powiat na podst.porozumień z organami adm.rządowej</t>
  </si>
  <si>
    <t>Dotacje celowe otrzymane z budżetu państwa na zadania</t>
  </si>
  <si>
    <t>bieżace realizowane na podstawie porozumień z org. adm. rząd.</t>
  </si>
  <si>
    <t>Jednostki specjal.poradnictwa, mieszkania chronione</t>
  </si>
  <si>
    <t>Zespoły d/s orzekania o niepełnosprawności</t>
  </si>
  <si>
    <t>Państwowy Fundusz Rehabilitacji Osób Niepełnosprawnych</t>
  </si>
  <si>
    <t>2690</t>
  </si>
  <si>
    <t>Środki z Funduszu Pracy otrzymane przez powiat z przezn.</t>
  </si>
  <si>
    <t>na finansowanie kosztów wynagrodzenia i składek pracow.</t>
  </si>
  <si>
    <t>2128</t>
  </si>
  <si>
    <t>2129</t>
  </si>
  <si>
    <t>Poradnie psychol.-pedagog.oraz in.poradnie specjalistyczne.</t>
  </si>
  <si>
    <t>DOCHODY OGÓŁEM</t>
  </si>
  <si>
    <t>1. Dochody własne</t>
  </si>
  <si>
    <t xml:space="preserve"> - udziały w podatku dochodowym</t>
  </si>
  <si>
    <t xml:space="preserve"> - z majątku powiatu</t>
  </si>
  <si>
    <t xml:space="preserve"> - pozostałe dochody</t>
  </si>
  <si>
    <t>2.Dotacje celowe</t>
  </si>
  <si>
    <t xml:space="preserve"> - na zadania własne - § 2130 , 6430</t>
  </si>
  <si>
    <t xml:space="preserve"> - na zadania zlecone  - § 2110, 6410</t>
  </si>
  <si>
    <t xml:space="preserve"> - na umowy i porozumienia z jst-§ 2310,2320,2330,6610</t>
  </si>
  <si>
    <t xml:space="preserve"> - na umowy i porozumienia z org. admin. rządow.</t>
  </si>
  <si>
    <t>3. Subwencje</t>
  </si>
  <si>
    <t>4. Pozostałe dotacje</t>
  </si>
  <si>
    <t>Załącznik nr 3</t>
  </si>
  <si>
    <t>do uchwały Nr</t>
  </si>
  <si>
    <t>Rady Powiatu w Elbląg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</si>
</sst>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_ ;\-#,##0.00\ "/>
    <numFmt numFmtId="170" formatCode="0.0"/>
    <numFmt numFmtId="171" formatCode="#,##0.00\ _z_ł"/>
    <numFmt numFmtId="172" formatCode="#,##0\ _z_ł"/>
    <numFmt numFmtId="173" formatCode="0;[Red]0"/>
    <numFmt numFmtId="174" formatCode="00\-000"/>
    <numFmt numFmtId="175" formatCode="0.0%"/>
    <numFmt numFmtId="176" formatCode="0.000"/>
    <numFmt numFmtId="177" formatCode="0.0000"/>
    <numFmt numFmtId="178" formatCode="0.000000000"/>
    <numFmt numFmtId="179" formatCode="0.00000000"/>
    <numFmt numFmtId="180" formatCode="0.0000000"/>
    <numFmt numFmtId="181" formatCode="0.000000"/>
    <numFmt numFmtId="182" formatCode="0.00000"/>
  </numFmts>
  <fonts count="3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u val="single"/>
      <sz val="9"/>
      <name val="Arial CE"/>
      <family val="2"/>
    </font>
    <font>
      <sz val="11"/>
      <name val="Arial CE"/>
      <family val="2"/>
    </font>
    <font>
      <b/>
      <sz val="14"/>
      <name val="Arial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thin"/>
      <top style="dashed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medium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3" xfId="18" applyFont="1" applyBorder="1">
      <alignment/>
      <protection/>
    </xf>
    <xf numFmtId="0" fontId="12" fillId="0" borderId="4" xfId="18" applyFont="1" applyBorder="1">
      <alignment/>
      <protection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8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1" fillId="0" borderId="0" xfId="18" applyFont="1">
      <alignment/>
      <protection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18" applyFont="1">
      <alignment/>
      <protection/>
    </xf>
    <xf numFmtId="0" fontId="4" fillId="2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4" fillId="2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49" fontId="15" fillId="0" borderId="4" xfId="0" applyNumberFormat="1" applyFont="1" applyBorder="1" applyAlignment="1">
      <alignment horizontal="center" vertical="top" wrapText="1"/>
    </xf>
    <xf numFmtId="49" fontId="0" fillId="0" borderId="8" xfId="0" applyNumberFormat="1" applyFont="1" applyFill="1" applyBorder="1" applyAlignment="1">
      <alignment horizontal="center"/>
    </xf>
    <xf numFmtId="49" fontId="15" fillId="0" borderId="5" xfId="0" applyNumberFormat="1" applyFont="1" applyBorder="1" applyAlignment="1">
      <alignment horizontal="center" vertical="top" wrapText="1"/>
    </xf>
    <xf numFmtId="3" fontId="15" fillId="0" borderId="5" xfId="0" applyNumberFormat="1" applyFont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/>
    </xf>
    <xf numFmtId="0" fontId="15" fillId="0" borderId="14" xfId="0" applyFont="1" applyBorder="1" applyAlignment="1">
      <alignment vertical="top" wrapText="1"/>
    </xf>
    <xf numFmtId="0" fontId="0" fillId="0" borderId="12" xfId="0" applyFont="1" applyFill="1" applyBorder="1" applyAlignment="1">
      <alignment/>
    </xf>
    <xf numFmtId="49" fontId="15" fillId="0" borderId="15" xfId="0" applyNumberFormat="1" applyFont="1" applyBorder="1" applyAlignment="1">
      <alignment horizontal="center" vertical="top" wrapText="1"/>
    </xf>
    <xf numFmtId="0" fontId="15" fillId="0" borderId="15" xfId="0" applyFont="1" applyBorder="1" applyAlignment="1">
      <alignment vertical="top" wrapText="1"/>
    </xf>
    <xf numFmtId="3" fontId="15" fillId="0" borderId="15" xfId="0" applyNumberFormat="1" applyFont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0" fillId="0" borderId="16" xfId="0" applyFont="1" applyFill="1" applyBorder="1" applyAlignment="1">
      <alignment/>
    </xf>
    <xf numFmtId="3" fontId="15" fillId="0" borderId="1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/>
    </xf>
    <xf numFmtId="49" fontId="15" fillId="0" borderId="17" xfId="0" applyNumberFormat="1" applyFont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" fontId="15" fillId="0" borderId="8" xfId="0" applyNumberFormat="1" applyFont="1" applyBorder="1" applyAlignment="1">
      <alignment vertical="top" wrapText="1"/>
    </xf>
    <xf numFmtId="3" fontId="18" fillId="0" borderId="17" xfId="0" applyNumberFormat="1" applyFont="1" applyBorder="1" applyAlignment="1">
      <alignment vertical="top" wrapText="1"/>
    </xf>
    <xf numFmtId="3" fontId="18" fillId="0" borderId="14" xfId="0" applyNumberFormat="1" applyFont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15" fillId="0" borderId="19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0" fontId="25" fillId="0" borderId="25" xfId="0" applyFont="1" applyFill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25" fillId="0" borderId="0" xfId="0" applyFont="1" applyFill="1" applyAlignment="1">
      <alignment horizontal="center" vertical="center" shrinkToFit="1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25" fillId="0" borderId="19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30" xfId="0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49" fontId="4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25" fillId="0" borderId="0" xfId="0" applyNumberFormat="1" applyFont="1" applyFill="1" applyAlignment="1">
      <alignment/>
    </xf>
    <xf numFmtId="49" fontId="4" fillId="0" borderId="3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center"/>
    </xf>
    <xf numFmtId="0" fontId="27" fillId="0" borderId="7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0" fillId="0" borderId="19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49" fontId="4" fillId="0" borderId="7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49" fontId="0" fillId="0" borderId="9" xfId="0" applyNumberFormat="1" applyFont="1" applyFill="1" applyBorder="1" applyAlignment="1">
      <alignment horizontal="center"/>
    </xf>
    <xf numFmtId="3" fontId="15" fillId="0" borderId="44" xfId="0" applyNumberFormat="1" applyFont="1" applyBorder="1" applyAlignment="1">
      <alignment vertical="top" wrapText="1"/>
    </xf>
    <xf numFmtId="3" fontId="15" fillId="0" borderId="9" xfId="0" applyNumberFormat="1" applyFont="1" applyBorder="1" applyAlignment="1">
      <alignment vertical="top" wrapText="1"/>
    </xf>
    <xf numFmtId="49" fontId="0" fillId="0" borderId="19" xfId="0" applyNumberFormat="1" applyFont="1" applyFill="1" applyBorder="1" applyAlignment="1">
      <alignment horizontal="center"/>
    </xf>
    <xf numFmtId="3" fontId="15" fillId="0" borderId="19" xfId="0" applyNumberFormat="1" applyFont="1" applyBorder="1" applyAlignment="1">
      <alignment vertical="top" wrapText="1"/>
    </xf>
    <xf numFmtId="0" fontId="0" fillId="0" borderId="9" xfId="0" applyFont="1" applyFill="1" applyBorder="1" applyAlignment="1">
      <alignment/>
    </xf>
    <xf numFmtId="0" fontId="15" fillId="0" borderId="9" xfId="0" applyFont="1" applyBorder="1" applyAlignment="1">
      <alignment vertical="top" wrapText="1"/>
    </xf>
    <xf numFmtId="0" fontId="15" fillId="0" borderId="45" xfId="0" applyFont="1" applyBorder="1" applyAlignment="1">
      <alignment vertical="top" wrapText="1"/>
    </xf>
    <xf numFmtId="3" fontId="4" fillId="0" borderId="46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3" fontId="15" fillId="0" borderId="40" xfId="0" applyNumberFormat="1" applyFont="1" applyBorder="1" applyAlignment="1">
      <alignment vertical="top" wrapText="1"/>
    </xf>
    <xf numFmtId="0" fontId="15" fillId="0" borderId="47" xfId="0" applyFont="1" applyBorder="1" applyAlignment="1">
      <alignment vertical="top" wrapText="1"/>
    </xf>
    <xf numFmtId="0" fontId="15" fillId="0" borderId="34" xfId="0" applyFont="1" applyBorder="1" applyAlignment="1">
      <alignment vertical="top" wrapText="1"/>
    </xf>
    <xf numFmtId="0" fontId="0" fillId="0" borderId="18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27" fillId="0" borderId="7" xfId="0" applyFont="1" applyFill="1" applyBorder="1" applyAlignment="1">
      <alignment wrapText="1"/>
    </xf>
    <xf numFmtId="0" fontId="27" fillId="0" borderId="32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0" fillId="0" borderId="48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0" fontId="0" fillId="0" borderId="4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25" fillId="0" borderId="0" xfId="0" applyFont="1" applyAlignment="1">
      <alignment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48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56" xfId="0" applyFont="1" applyBorder="1" applyAlignment="1">
      <alignment vertical="center"/>
    </xf>
    <xf numFmtId="0" fontId="7" fillId="0" borderId="56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0" fontId="27" fillId="0" borderId="57" xfId="0" applyFont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3" fontId="0" fillId="0" borderId="16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right" vertical="top" wrapText="1"/>
    </xf>
    <xf numFmtId="3" fontId="0" fillId="0" borderId="18" xfId="0" applyNumberFormat="1" applyFont="1" applyFill="1" applyBorder="1" applyAlignment="1">
      <alignment/>
    </xf>
    <xf numFmtId="49" fontId="15" fillId="0" borderId="8" xfId="0" applyNumberFormat="1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3" fontId="15" fillId="0" borderId="30" xfId="0" applyNumberFormat="1" applyFont="1" applyBorder="1" applyAlignment="1">
      <alignment vertical="top" wrapText="1"/>
    </xf>
    <xf numFmtId="0" fontId="0" fillId="0" borderId="16" xfId="0" applyFont="1" applyFill="1" applyBorder="1" applyAlignment="1">
      <alignment wrapText="1"/>
    </xf>
    <xf numFmtId="0" fontId="0" fillId="0" borderId="54" xfId="0" applyFont="1" applyFill="1" applyBorder="1" applyAlignment="1">
      <alignment/>
    </xf>
    <xf numFmtId="0" fontId="19" fillId="0" borderId="52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3" fontId="18" fillId="0" borderId="57" xfId="0" applyNumberFormat="1" applyFont="1" applyBorder="1" applyAlignment="1">
      <alignment vertical="top" wrapText="1"/>
    </xf>
    <xf numFmtId="0" fontId="15" fillId="0" borderId="59" xfId="0" applyFont="1" applyBorder="1" applyAlignment="1">
      <alignment vertical="top" wrapText="1"/>
    </xf>
    <xf numFmtId="0" fontId="15" fillId="0" borderId="56" xfId="0" applyFont="1" applyBorder="1" applyAlignment="1">
      <alignment vertical="top" wrapText="1"/>
    </xf>
    <xf numFmtId="0" fontId="15" fillId="0" borderId="60" xfId="0" applyFont="1" applyBorder="1" applyAlignment="1">
      <alignment vertical="top" wrapText="1"/>
    </xf>
    <xf numFmtId="3" fontId="18" fillId="0" borderId="46" xfId="0" applyNumberFormat="1" applyFont="1" applyBorder="1" applyAlignment="1">
      <alignment vertical="top" wrapText="1"/>
    </xf>
    <xf numFmtId="3" fontId="15" fillId="0" borderId="59" xfId="0" applyNumberFormat="1" applyFont="1" applyBorder="1" applyAlignment="1">
      <alignment vertical="top" wrapText="1"/>
    </xf>
    <xf numFmtId="3" fontId="15" fillId="0" borderId="56" xfId="0" applyNumberFormat="1" applyFont="1" applyBorder="1" applyAlignment="1">
      <alignment vertical="top" wrapText="1"/>
    </xf>
    <xf numFmtId="0" fontId="15" fillId="0" borderId="58" xfId="0" applyFont="1" applyBorder="1" applyAlignment="1">
      <alignment vertical="top" wrapText="1"/>
    </xf>
    <xf numFmtId="3" fontId="15" fillId="0" borderId="58" xfId="0" applyNumberFormat="1" applyFont="1" applyBorder="1" applyAlignment="1">
      <alignment vertical="top" wrapText="1"/>
    </xf>
    <xf numFmtId="3" fontId="18" fillId="0" borderId="61" xfId="0" applyNumberFormat="1" applyFont="1" applyBorder="1" applyAlignment="1">
      <alignment horizontal="center" vertical="center" wrapText="1"/>
    </xf>
    <xf numFmtId="3" fontId="18" fillId="0" borderId="62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170" fontId="6" fillId="0" borderId="0" xfId="0" applyNumberFormat="1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170" fontId="18" fillId="0" borderId="14" xfId="0" applyNumberFormat="1" applyFont="1" applyBorder="1" applyAlignment="1">
      <alignment vertical="top" wrapText="1"/>
    </xf>
    <xf numFmtId="170" fontId="0" fillId="0" borderId="0" xfId="0" applyNumberFormat="1" applyAlignment="1">
      <alignment vertical="center"/>
    </xf>
    <xf numFmtId="170" fontId="18" fillId="0" borderId="9" xfId="0" applyNumberFormat="1" applyFont="1" applyBorder="1" applyAlignment="1">
      <alignment vertical="top" wrapText="1"/>
    </xf>
    <xf numFmtId="170" fontId="18" fillId="0" borderId="17" xfId="0" applyNumberFormat="1" applyFont="1" applyBorder="1" applyAlignment="1">
      <alignment vertical="top" wrapText="1"/>
    </xf>
    <xf numFmtId="170" fontId="18" fillId="0" borderId="19" xfId="0" applyNumberFormat="1" applyFont="1" applyBorder="1" applyAlignment="1">
      <alignment vertical="top" wrapText="1"/>
    </xf>
    <xf numFmtId="170" fontId="15" fillId="0" borderId="8" xfId="0" applyNumberFormat="1" applyFont="1" applyBorder="1" applyAlignment="1">
      <alignment vertical="top" wrapText="1"/>
    </xf>
    <xf numFmtId="170" fontId="15" fillId="0" borderId="1" xfId="0" applyNumberFormat="1" applyFont="1" applyBorder="1" applyAlignment="1">
      <alignment vertical="top" wrapText="1"/>
    </xf>
    <xf numFmtId="3" fontId="0" fillId="0" borderId="5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left"/>
    </xf>
    <xf numFmtId="3" fontId="27" fillId="0" borderId="36" xfId="0" applyNumberFormat="1" applyFont="1" applyFill="1" applyBorder="1" applyAlignment="1">
      <alignment/>
    </xf>
    <xf numFmtId="3" fontId="27" fillId="0" borderId="19" xfId="0" applyNumberFormat="1" applyFont="1" applyFill="1" applyBorder="1" applyAlignment="1">
      <alignment/>
    </xf>
    <xf numFmtId="2" fontId="27" fillId="0" borderId="63" xfId="0" applyNumberFormat="1" applyFont="1" applyFill="1" applyBorder="1" applyAlignment="1">
      <alignment/>
    </xf>
    <xf numFmtId="2" fontId="27" fillId="0" borderId="23" xfId="0" applyNumberFormat="1" applyFont="1" applyFill="1" applyBorder="1" applyAlignment="1">
      <alignment/>
    </xf>
    <xf numFmtId="2" fontId="27" fillId="0" borderId="43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7" fillId="0" borderId="34" xfId="0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3" fontId="7" fillId="0" borderId="63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2" fontId="7" fillId="0" borderId="63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7" fillId="0" borderId="4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7" xfId="0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3" fontId="7" fillId="0" borderId="38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19" xfId="0" applyNumberFormat="1" applyFont="1" applyFill="1" applyBorder="1" applyAlignment="1">
      <alignment/>
    </xf>
    <xf numFmtId="2" fontId="7" fillId="0" borderId="31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28" fillId="0" borderId="7" xfId="0" applyFont="1" applyFill="1" applyBorder="1" applyAlignment="1">
      <alignment/>
    </xf>
    <xf numFmtId="49" fontId="7" fillId="0" borderId="17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2" fontId="7" fillId="0" borderId="36" xfId="0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0" fontId="27" fillId="0" borderId="7" xfId="0" applyFont="1" applyFill="1" applyBorder="1" applyAlignment="1">
      <alignment horizontal="center"/>
    </xf>
    <xf numFmtId="3" fontId="27" fillId="0" borderId="17" xfId="0" applyNumberFormat="1" applyFont="1" applyFill="1" applyBorder="1" applyAlignment="1">
      <alignment/>
    </xf>
    <xf numFmtId="2" fontId="27" fillId="0" borderId="36" xfId="0" applyNumberFormat="1" applyFont="1" applyFill="1" applyBorder="1" applyAlignment="1">
      <alignment/>
    </xf>
    <xf numFmtId="2" fontId="27" fillId="0" borderId="17" xfId="0" applyNumberFormat="1" applyFont="1" applyFill="1" applyBorder="1" applyAlignment="1">
      <alignment/>
    </xf>
    <xf numFmtId="2" fontId="27" fillId="0" borderId="33" xfId="0" applyNumberFormat="1" applyFont="1" applyFill="1" applyBorder="1" applyAlignment="1">
      <alignment/>
    </xf>
    <xf numFmtId="49" fontId="27" fillId="0" borderId="34" xfId="0" applyNumberFormat="1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27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27" fillId="0" borderId="19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9" fontId="27" fillId="0" borderId="32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38" xfId="0" applyFont="1" applyFill="1" applyBorder="1" applyAlignment="1">
      <alignment/>
    </xf>
    <xf numFmtId="2" fontId="7" fillId="0" borderId="38" xfId="0" applyNumberFormat="1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3" fontId="27" fillId="0" borderId="11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27" fillId="0" borderId="17" xfId="0" applyFont="1" applyFill="1" applyBorder="1" applyAlignment="1">
      <alignment horizontal="center"/>
    </xf>
    <xf numFmtId="0" fontId="27" fillId="0" borderId="17" xfId="0" applyFont="1" applyFill="1" applyBorder="1" applyAlignment="1">
      <alignment/>
    </xf>
    <xf numFmtId="3" fontId="27" fillId="0" borderId="36" xfId="0" applyNumberFormat="1" applyFont="1" applyFill="1" applyBorder="1" applyAlignment="1">
      <alignment horizontal="right"/>
    </xf>
    <xf numFmtId="3" fontId="27" fillId="0" borderId="17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27" fillId="0" borderId="19" xfId="0" applyFont="1" applyFill="1" applyBorder="1" applyAlignment="1">
      <alignment/>
    </xf>
    <xf numFmtId="49" fontId="7" fillId="0" borderId="30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/>
    </xf>
    <xf numFmtId="2" fontId="7" fillId="0" borderId="30" xfId="0" applyNumberFormat="1" applyFont="1" applyFill="1" applyBorder="1" applyAlignment="1">
      <alignment/>
    </xf>
    <xf numFmtId="49" fontId="7" fillId="0" borderId="32" xfId="0" applyNumberFormat="1" applyFont="1" applyFill="1" applyBorder="1" applyAlignment="1" quotePrefix="1">
      <alignment horizontal="center"/>
    </xf>
    <xf numFmtId="3" fontId="27" fillId="0" borderId="38" xfId="0" applyNumberFormat="1" applyFont="1" applyFill="1" applyBorder="1" applyAlignment="1">
      <alignment/>
    </xf>
    <xf numFmtId="0" fontId="29" fillId="0" borderId="19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 horizontal="right"/>
    </xf>
    <xf numFmtId="3" fontId="27" fillId="0" borderId="11" xfId="0" applyNumberFormat="1" applyFont="1" applyFill="1" applyBorder="1" applyAlignment="1">
      <alignment horizontal="right"/>
    </xf>
    <xf numFmtId="0" fontId="27" fillId="0" borderId="42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7" fillId="0" borderId="17" xfId="0" applyNumberFormat="1" applyFont="1" applyFill="1" applyBorder="1" applyAlignment="1">
      <alignment horizontal="right"/>
    </xf>
    <xf numFmtId="0" fontId="7" fillId="0" borderId="30" xfId="0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3" fontId="27" fillId="0" borderId="19" xfId="0" applyNumberFormat="1" applyFont="1" applyFill="1" applyBorder="1" applyAlignment="1">
      <alignment horizontal="right"/>
    </xf>
    <xf numFmtId="3" fontId="27" fillId="0" borderId="25" xfId="0" applyNumberFormat="1" applyFont="1" applyFill="1" applyBorder="1" applyAlignment="1">
      <alignment horizontal="right" vertical="center"/>
    </xf>
    <xf numFmtId="3" fontId="27" fillId="0" borderId="23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27" fillId="0" borderId="61" xfId="0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170" fontId="15" fillId="0" borderId="15" xfId="0" applyNumberFormat="1" applyFont="1" applyBorder="1" applyAlignment="1">
      <alignment vertical="top" wrapText="1"/>
    </xf>
    <xf numFmtId="49" fontId="15" fillId="0" borderId="9" xfId="0" applyNumberFormat="1" applyFont="1" applyBorder="1" applyAlignment="1">
      <alignment horizontal="center" vertical="top" wrapText="1"/>
    </xf>
    <xf numFmtId="0" fontId="15" fillId="0" borderId="27" xfId="0" applyFont="1" applyBorder="1" applyAlignment="1">
      <alignment vertical="top" wrapText="1"/>
    </xf>
    <xf numFmtId="170" fontId="15" fillId="0" borderId="9" xfId="0" applyNumberFormat="1" applyFont="1" applyBorder="1" applyAlignment="1">
      <alignment vertical="top" wrapText="1"/>
    </xf>
    <xf numFmtId="49" fontId="15" fillId="0" borderId="19" xfId="0" applyNumberFormat="1" applyFont="1" applyBorder="1" applyAlignment="1">
      <alignment horizontal="center" vertical="top" wrapText="1"/>
    </xf>
    <xf numFmtId="49" fontId="15" fillId="0" borderId="30" xfId="0" applyNumberFormat="1" applyFont="1" applyBorder="1" applyAlignment="1">
      <alignment horizontal="center" vertical="top" wrapText="1"/>
    </xf>
    <xf numFmtId="49" fontId="18" fillId="0" borderId="17" xfId="0" applyNumberFormat="1" applyFont="1" applyBorder="1" applyAlignment="1">
      <alignment horizontal="center" vertical="top" wrapText="1"/>
    </xf>
    <xf numFmtId="3" fontId="18" fillId="0" borderId="17" xfId="0" applyNumberFormat="1" applyFont="1" applyBorder="1" applyAlignment="1">
      <alignment vertical="top" wrapText="1"/>
    </xf>
    <xf numFmtId="3" fontId="18" fillId="0" borderId="46" xfId="0" applyNumberFormat="1" applyFont="1" applyBorder="1" applyAlignment="1">
      <alignment vertical="top" wrapText="1"/>
    </xf>
    <xf numFmtId="170" fontId="15" fillId="0" borderId="19" xfId="0" applyNumberFormat="1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49" fontId="18" fillId="0" borderId="17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center" wrapText="1" indent="2"/>
    </xf>
    <xf numFmtId="3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indent="1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left" vertical="center" wrapText="1" indent="2"/>
    </xf>
    <xf numFmtId="3" fontId="0" fillId="0" borderId="8" xfId="0" applyNumberFormat="1" applyBorder="1" applyAlignment="1">
      <alignment vertical="center"/>
    </xf>
    <xf numFmtId="3" fontId="0" fillId="0" borderId="8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66" xfId="0" applyNumberForma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57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5" fillId="0" borderId="0" xfId="0" applyFont="1" applyFill="1" applyAlignment="1">
      <alignment horizontal="right"/>
    </xf>
    <xf numFmtId="0" fontId="9" fillId="2" borderId="27" xfId="0" applyFont="1" applyFill="1" applyBorder="1" applyAlignment="1">
      <alignment/>
    </xf>
    <xf numFmtId="0" fontId="9" fillId="2" borderId="30" xfId="0" applyFont="1" applyFill="1" applyBorder="1" applyAlignment="1">
      <alignment/>
    </xf>
    <xf numFmtId="0" fontId="9" fillId="2" borderId="28" xfId="0" applyFont="1" applyFill="1" applyBorder="1" applyAlignment="1">
      <alignment/>
    </xf>
    <xf numFmtId="0" fontId="9" fillId="2" borderId="64" xfId="0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60" xfId="0" applyFont="1" applyFill="1" applyBorder="1" applyAlignment="1">
      <alignment horizontal="center"/>
    </xf>
    <xf numFmtId="0" fontId="9" fillId="2" borderId="10" xfId="0" applyFont="1" applyFill="1" applyBorder="1" applyAlignment="1">
      <alignment/>
    </xf>
    <xf numFmtId="0" fontId="9" fillId="2" borderId="32" xfId="0" applyFont="1" applyFill="1" applyBorder="1" applyAlignment="1">
      <alignment/>
    </xf>
    <xf numFmtId="0" fontId="9" fillId="2" borderId="3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3" fontId="4" fillId="0" borderId="17" xfId="0" applyNumberFormat="1" applyFont="1" applyFill="1" applyBorder="1" applyAlignment="1">
      <alignment horizontal="right"/>
    </xf>
    <xf numFmtId="3" fontId="4" fillId="0" borderId="46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left"/>
    </xf>
    <xf numFmtId="3" fontId="0" fillId="0" borderId="8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 horizontal="right"/>
    </xf>
    <xf numFmtId="3" fontId="0" fillId="0" borderId="60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3" fontId="0" fillId="0" borderId="60" xfId="0" applyNumberFormat="1" applyBorder="1" applyAlignment="1">
      <alignment vertical="center"/>
    </xf>
    <xf numFmtId="49" fontId="0" fillId="0" borderId="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32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 horizontal="right"/>
    </xf>
    <xf numFmtId="0" fontId="4" fillId="2" borderId="22" xfId="0" applyFont="1" applyFill="1" applyBorder="1" applyAlignment="1">
      <alignment/>
    </xf>
    <xf numFmtId="3" fontId="4" fillId="2" borderId="23" xfId="0" applyNumberFormat="1" applyFont="1" applyFill="1" applyBorder="1" applyAlignment="1">
      <alignment/>
    </xf>
    <xf numFmtId="3" fontId="4" fillId="2" borderId="26" xfId="0" applyNumberFormat="1" applyFont="1" applyFill="1" applyBorder="1" applyAlignment="1">
      <alignment/>
    </xf>
    <xf numFmtId="0" fontId="0" fillId="2" borderId="68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3" fontId="0" fillId="2" borderId="59" xfId="0" applyNumberFormat="1" applyFont="1" applyFill="1" applyBorder="1" applyAlignment="1">
      <alignment/>
    </xf>
    <xf numFmtId="49" fontId="0" fillId="2" borderId="34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3" fontId="0" fillId="2" borderId="60" xfId="0" applyNumberFormat="1" applyFont="1" applyFill="1" applyBorder="1" applyAlignment="1">
      <alignment/>
    </xf>
    <xf numFmtId="49" fontId="0" fillId="2" borderId="52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58" xfId="0" applyFont="1" applyFill="1" applyBorder="1" applyAlignment="1">
      <alignment/>
    </xf>
    <xf numFmtId="49" fontId="0" fillId="2" borderId="10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3" fontId="0" fillId="2" borderId="46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2" xfId="0" applyFont="1" applyBorder="1" applyAlignment="1">
      <alignment horizontal="left"/>
    </xf>
    <xf numFmtId="3" fontId="27" fillId="0" borderId="17" xfId="0" applyNumberFormat="1" applyFont="1" applyBorder="1" applyAlignment="1">
      <alignment horizontal="right"/>
    </xf>
    <xf numFmtId="3" fontId="27" fillId="0" borderId="33" xfId="0" applyNumberFormat="1" applyFont="1" applyBorder="1" applyAlignment="1">
      <alignment horizontal="right"/>
    </xf>
    <xf numFmtId="0" fontId="7" fillId="0" borderId="3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3" fontId="7" fillId="0" borderId="8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3" fontId="7" fillId="0" borderId="19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/>
    </xf>
    <xf numFmtId="3" fontId="7" fillId="0" borderId="33" xfId="0" applyNumberFormat="1" applyFont="1" applyBorder="1" applyAlignment="1">
      <alignment horizontal="right"/>
    </xf>
    <xf numFmtId="0" fontId="27" fillId="0" borderId="32" xfId="0" applyFont="1" applyBorder="1" applyAlignment="1">
      <alignment/>
    </xf>
    <xf numFmtId="3" fontId="27" fillId="0" borderId="32" xfId="0" applyNumberFormat="1" applyFont="1" applyBorder="1" applyAlignment="1">
      <alignment/>
    </xf>
    <xf numFmtId="3" fontId="27" fillId="0" borderId="33" xfId="0" applyNumberFormat="1" applyFont="1" applyBorder="1" applyAlignment="1">
      <alignment/>
    </xf>
    <xf numFmtId="0" fontId="27" fillId="0" borderId="3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0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0" fontId="27" fillId="0" borderId="19" xfId="0" applyFont="1" applyBorder="1" applyAlignment="1">
      <alignment horizontal="center"/>
    </xf>
    <xf numFmtId="3" fontId="7" fillId="0" borderId="19" xfId="0" applyNumberFormat="1" applyFont="1" applyBorder="1" applyAlignment="1">
      <alignment/>
    </xf>
    <xf numFmtId="3" fontId="27" fillId="0" borderId="31" xfId="0" applyNumberFormat="1" applyFont="1" applyBorder="1" applyAlignment="1">
      <alignment/>
    </xf>
    <xf numFmtId="0" fontId="7" fillId="0" borderId="19" xfId="0" applyFont="1" applyBorder="1" applyAlignment="1">
      <alignment/>
    </xf>
    <xf numFmtId="3" fontId="7" fillId="0" borderId="31" xfId="0" applyNumberFormat="1" applyFont="1" applyBorder="1" applyAlignment="1">
      <alignment/>
    </xf>
    <xf numFmtId="0" fontId="27" fillId="0" borderId="7" xfId="0" applyFont="1" applyBorder="1" applyAlignment="1">
      <alignment/>
    </xf>
    <xf numFmtId="3" fontId="27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27" fillId="0" borderId="2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3" fontId="7" fillId="0" borderId="60" xfId="0" applyNumberFormat="1" applyFont="1" applyBorder="1" applyAlignment="1">
      <alignment horizontal="right" vertical="center"/>
    </xf>
    <xf numFmtId="3" fontId="7" fillId="0" borderId="59" xfId="0" applyNumberFormat="1" applyFont="1" applyBorder="1" applyAlignment="1">
      <alignment horizontal="right" vertical="center"/>
    </xf>
    <xf numFmtId="3" fontId="27" fillId="0" borderId="26" xfId="0" applyNumberFormat="1" applyFont="1" applyBorder="1" applyAlignment="1">
      <alignment horizontal="right" vertical="center"/>
    </xf>
    <xf numFmtId="0" fontId="27" fillId="0" borderId="2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27" fillId="0" borderId="22" xfId="0" applyFont="1" applyBorder="1" applyAlignment="1">
      <alignment/>
    </xf>
    <xf numFmtId="0" fontId="27" fillId="0" borderId="24" xfId="0" applyFont="1" applyBorder="1" applyAlignment="1">
      <alignment horizontal="center"/>
    </xf>
    <xf numFmtId="3" fontId="27" fillId="0" borderId="23" xfId="0" applyNumberFormat="1" applyFont="1" applyBorder="1" applyAlignment="1">
      <alignment/>
    </xf>
    <xf numFmtId="3" fontId="27" fillId="0" borderId="43" xfId="0" applyNumberFormat="1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3" fontId="4" fillId="2" borderId="17" xfId="0" applyNumberFormat="1" applyFont="1" applyFill="1" applyBorder="1" applyAlignment="1">
      <alignment/>
    </xf>
    <xf numFmtId="3" fontId="0" fillId="2" borderId="58" xfId="0" applyNumberFormat="1" applyFont="1" applyFill="1" applyBorder="1" applyAlignment="1">
      <alignment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0" fillId="2" borderId="27" xfId="0" applyFont="1" applyFill="1" applyBorder="1" applyAlignment="1">
      <alignment/>
    </xf>
    <xf numFmtId="0" fontId="30" fillId="2" borderId="30" xfId="0" applyFont="1" applyFill="1" applyBorder="1" applyAlignment="1">
      <alignment/>
    </xf>
    <xf numFmtId="0" fontId="30" fillId="2" borderId="28" xfId="0" applyFont="1" applyFill="1" applyBorder="1" applyAlignment="1">
      <alignment/>
    </xf>
    <xf numFmtId="0" fontId="30" fillId="2" borderId="67" xfId="0" applyFont="1" applyFill="1" applyBorder="1" applyAlignment="1">
      <alignment/>
    </xf>
    <xf numFmtId="0" fontId="30" fillId="2" borderId="34" xfId="0" applyFont="1" applyFill="1" applyBorder="1" applyAlignment="1">
      <alignment horizontal="center"/>
    </xf>
    <xf numFmtId="0" fontId="30" fillId="2" borderId="19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/>
    </xf>
    <xf numFmtId="0" fontId="30" fillId="2" borderId="60" xfId="0" applyFont="1" applyFill="1" applyBorder="1" applyAlignment="1">
      <alignment horizontal="center"/>
    </xf>
    <xf numFmtId="0" fontId="30" fillId="2" borderId="10" xfId="0" applyFont="1" applyFill="1" applyBorder="1" applyAlignment="1">
      <alignment/>
    </xf>
    <xf numFmtId="0" fontId="30" fillId="2" borderId="17" xfId="0" applyFont="1" applyFill="1" applyBorder="1" applyAlignment="1">
      <alignment/>
    </xf>
    <xf numFmtId="0" fontId="30" fillId="2" borderId="32" xfId="0" applyFont="1" applyFill="1" applyBorder="1" applyAlignment="1">
      <alignment/>
    </xf>
    <xf numFmtId="0" fontId="30" fillId="2" borderId="46" xfId="0" applyFont="1" applyFill="1" applyBorder="1" applyAlignment="1">
      <alignment/>
    </xf>
    <xf numFmtId="0" fontId="30" fillId="0" borderId="68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2" fillId="0" borderId="61" xfId="0" applyFont="1" applyBorder="1" applyAlignment="1">
      <alignment/>
    </xf>
    <xf numFmtId="3" fontId="2" fillId="0" borderId="57" xfId="0" applyNumberFormat="1" applyFont="1" applyBorder="1" applyAlignment="1">
      <alignment/>
    </xf>
    <xf numFmtId="0" fontId="30" fillId="0" borderId="34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30" fillId="0" borderId="15" xfId="0" applyFont="1" applyBorder="1" applyAlignment="1">
      <alignment/>
    </xf>
    <xf numFmtId="3" fontId="30" fillId="0" borderId="59" xfId="0" applyNumberFormat="1" applyFont="1" applyBorder="1" applyAlignment="1">
      <alignment/>
    </xf>
    <xf numFmtId="0" fontId="30" fillId="0" borderId="19" xfId="0" applyFont="1" applyBorder="1" applyAlignment="1">
      <alignment/>
    </xf>
    <xf numFmtId="3" fontId="30" fillId="0" borderId="6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2" fillId="0" borderId="17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30" fillId="0" borderId="8" xfId="0" applyFont="1" applyBorder="1" applyAlignment="1">
      <alignment wrapText="1" shrinkToFit="1"/>
    </xf>
    <xf numFmtId="3" fontId="30" fillId="0" borderId="58" xfId="0" applyNumberFormat="1" applyFont="1" applyBorder="1" applyAlignment="1">
      <alignment/>
    </xf>
    <xf numFmtId="0" fontId="30" fillId="0" borderId="1" xfId="0" applyFont="1" applyBorder="1" applyAlignment="1">
      <alignment/>
    </xf>
    <xf numFmtId="3" fontId="30" fillId="0" borderId="69" xfId="0" applyNumberFormat="1" applyFont="1" applyBorder="1" applyAlignment="1">
      <alignment/>
    </xf>
    <xf numFmtId="3" fontId="30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3" fontId="2" fillId="0" borderId="33" xfId="0" applyNumberFormat="1" applyFont="1" applyBorder="1" applyAlignment="1">
      <alignment/>
    </xf>
    <xf numFmtId="3" fontId="30" fillId="0" borderId="35" xfId="0" applyNumberFormat="1" applyFont="1" applyBorder="1" applyAlignment="1">
      <alignment/>
    </xf>
    <xf numFmtId="0" fontId="30" fillId="0" borderId="21" xfId="0" applyFont="1" applyBorder="1" applyAlignment="1">
      <alignment/>
    </xf>
    <xf numFmtId="3" fontId="30" fillId="0" borderId="56" xfId="0" applyNumberFormat="1" applyFont="1" applyBorder="1" applyAlignment="1">
      <alignment/>
    </xf>
    <xf numFmtId="3" fontId="30" fillId="0" borderId="7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0" fillId="0" borderId="21" xfId="0" applyFont="1" applyFill="1" applyBorder="1" applyAlignment="1">
      <alignment/>
    </xf>
    <xf numFmtId="0" fontId="30" fillId="0" borderId="54" xfId="0" applyFont="1" applyFill="1" applyBorder="1" applyAlignment="1">
      <alignment/>
    </xf>
    <xf numFmtId="0" fontId="30" fillId="0" borderId="54" xfId="0" applyFont="1" applyFill="1" applyBorder="1" applyAlignment="1">
      <alignment wrapText="1"/>
    </xf>
    <xf numFmtId="3" fontId="30" fillId="0" borderId="56" xfId="0" applyNumberFormat="1" applyFont="1" applyFill="1" applyBorder="1" applyAlignment="1">
      <alignment/>
    </xf>
    <xf numFmtId="0" fontId="30" fillId="0" borderId="19" xfId="0" applyFont="1" applyFill="1" applyBorder="1" applyAlignment="1">
      <alignment horizontal="center"/>
    </xf>
    <xf numFmtId="0" fontId="30" fillId="0" borderId="38" xfId="0" applyFont="1" applyBorder="1" applyAlignment="1">
      <alignment/>
    </xf>
    <xf numFmtId="3" fontId="2" fillId="0" borderId="6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46" xfId="0" applyNumberFormat="1" applyFont="1" applyBorder="1" applyAlignment="1">
      <alignment horizontal="right"/>
    </xf>
    <xf numFmtId="0" fontId="12" fillId="0" borderId="38" xfId="18" applyFont="1" applyBorder="1" applyAlignment="1">
      <alignment horizontal="left" vertical="top"/>
      <protection/>
    </xf>
    <xf numFmtId="0" fontId="12" fillId="0" borderId="0" xfId="18" applyFont="1" applyBorder="1" applyAlignment="1">
      <alignment horizontal="left" vertical="top"/>
      <protection/>
    </xf>
    <xf numFmtId="3" fontId="12" fillId="0" borderId="3" xfId="18" applyNumberFormat="1" applyFont="1" applyBorder="1">
      <alignment/>
      <protection/>
    </xf>
    <xf numFmtId="3" fontId="12" fillId="0" borderId="3" xfId="18" applyNumberFormat="1" applyFont="1" applyBorder="1" applyAlignment="1">
      <alignment/>
      <protection/>
    </xf>
    <xf numFmtId="3" fontId="12" fillId="0" borderId="5" xfId="18" applyNumberFormat="1" applyFont="1" applyBorder="1">
      <alignment/>
      <protection/>
    </xf>
    <xf numFmtId="3" fontId="12" fillId="0" borderId="5" xfId="18" applyNumberFormat="1" applyFont="1" applyBorder="1" applyAlignment="1">
      <alignment/>
      <protection/>
    </xf>
    <xf numFmtId="0" fontId="12" fillId="0" borderId="71" xfId="18" applyFont="1" applyBorder="1">
      <alignment/>
      <protection/>
    </xf>
    <xf numFmtId="3" fontId="12" fillId="0" borderId="71" xfId="18" applyNumberFormat="1" applyFont="1" applyBorder="1">
      <alignment/>
      <protection/>
    </xf>
    <xf numFmtId="0" fontId="12" fillId="0" borderId="5" xfId="18" applyFont="1" applyBorder="1">
      <alignment/>
      <protection/>
    </xf>
    <xf numFmtId="3" fontId="12" fillId="0" borderId="71" xfId="18" applyNumberFormat="1" applyFont="1" applyBorder="1" applyAlignment="1">
      <alignment/>
      <protection/>
    </xf>
    <xf numFmtId="3" fontId="12" fillId="0" borderId="71" xfId="18" applyNumberFormat="1" applyFont="1" applyBorder="1" applyAlignment="1">
      <alignment horizontal="right"/>
      <protection/>
    </xf>
    <xf numFmtId="3" fontId="12" fillId="0" borderId="5" xfId="18" applyNumberFormat="1" applyFont="1" applyBorder="1" applyAlignment="1">
      <alignment horizontal="right"/>
      <protection/>
    </xf>
    <xf numFmtId="3" fontId="12" fillId="0" borderId="3" xfId="18" applyNumberFormat="1" applyFont="1" applyBorder="1" applyAlignment="1">
      <alignment horizontal="right"/>
      <protection/>
    </xf>
    <xf numFmtId="3" fontId="12" fillId="0" borderId="4" xfId="18" applyNumberFormat="1" applyFont="1" applyBorder="1" applyAlignment="1">
      <alignment horizontal="right"/>
      <protection/>
    </xf>
    <xf numFmtId="3" fontId="12" fillId="0" borderId="4" xfId="18" applyNumberFormat="1" applyFont="1" applyBorder="1">
      <alignment/>
      <protection/>
    </xf>
    <xf numFmtId="3" fontId="12" fillId="0" borderId="0" xfId="18" applyNumberFormat="1" applyFont="1" applyBorder="1" applyAlignment="1">
      <alignment horizontal="center"/>
      <protection/>
    </xf>
    <xf numFmtId="3" fontId="12" fillId="0" borderId="72" xfId="18" applyNumberFormat="1" applyFont="1" applyBorder="1" applyAlignment="1">
      <alignment horizontal="center"/>
      <protection/>
    </xf>
    <xf numFmtId="3" fontId="12" fillId="0" borderId="73" xfId="18" applyNumberFormat="1" applyFont="1" applyBorder="1" applyAlignment="1">
      <alignment horizontal="center"/>
      <protection/>
    </xf>
    <xf numFmtId="3" fontId="12" fillId="0" borderId="74" xfId="18" applyNumberFormat="1" applyFont="1" applyBorder="1" applyAlignment="1">
      <alignment horizontal="center"/>
      <protection/>
    </xf>
    <xf numFmtId="3" fontId="12" fillId="0" borderId="75" xfId="18" applyNumberFormat="1" applyFont="1" applyBorder="1" applyAlignment="1">
      <alignment horizontal="center"/>
      <protection/>
    </xf>
    <xf numFmtId="3" fontId="12" fillId="0" borderId="4" xfId="18" applyNumberFormat="1" applyFont="1" applyBorder="1" applyAlignment="1">
      <alignment horizontal="center"/>
      <protection/>
    </xf>
    <xf numFmtId="3" fontId="12" fillId="0" borderId="76" xfId="18" applyNumberFormat="1" applyFont="1" applyBorder="1" applyAlignment="1">
      <alignment horizontal="center"/>
      <protection/>
    </xf>
    <xf numFmtId="0" fontId="12" fillId="0" borderId="29" xfId="18" applyFont="1" applyBorder="1" applyAlignment="1">
      <alignment horizontal="center"/>
      <protection/>
    </xf>
    <xf numFmtId="0" fontId="12" fillId="0" borderId="38" xfId="18" applyFont="1" applyBorder="1" applyAlignment="1">
      <alignment horizontal="center"/>
      <protection/>
    </xf>
    <xf numFmtId="0" fontId="12" fillId="0" borderId="0" xfId="18" applyFont="1" applyBorder="1" applyAlignment="1">
      <alignment horizontal="center"/>
      <protection/>
    </xf>
    <xf numFmtId="0" fontId="12" fillId="0" borderId="77" xfId="18" applyFont="1" applyBorder="1" applyAlignment="1">
      <alignment horizontal="center"/>
      <protection/>
    </xf>
    <xf numFmtId="0" fontId="12" fillId="0" borderId="38" xfId="18" applyFont="1" applyBorder="1" applyAlignment="1">
      <alignment horizontal="left"/>
      <protection/>
    </xf>
    <xf numFmtId="0" fontId="12" fillId="0" borderId="31" xfId="18" applyFont="1" applyBorder="1" applyAlignment="1">
      <alignment horizontal="center"/>
      <protection/>
    </xf>
    <xf numFmtId="0" fontId="12" fillId="0" borderId="78" xfId="18" applyFont="1" applyBorder="1" applyAlignment="1">
      <alignment horizontal="left"/>
      <protection/>
    </xf>
    <xf numFmtId="0" fontId="12" fillId="0" borderId="79" xfId="18" applyFont="1" applyBorder="1" applyAlignment="1">
      <alignment horizontal="center"/>
      <protection/>
    </xf>
    <xf numFmtId="0" fontId="12" fillId="0" borderId="80" xfId="18" applyFont="1" applyBorder="1" applyAlignment="1">
      <alignment horizontal="center"/>
      <protection/>
    </xf>
    <xf numFmtId="0" fontId="12" fillId="0" borderId="3" xfId="18" applyFont="1" applyBorder="1" applyAlignment="1">
      <alignment vertical="center"/>
      <protection/>
    </xf>
    <xf numFmtId="3" fontId="12" fillId="0" borderId="29" xfId="18" applyNumberFormat="1" applyFont="1" applyBorder="1" applyAlignment="1">
      <alignment horizontal="center"/>
      <protection/>
    </xf>
    <xf numFmtId="3" fontId="12" fillId="0" borderId="77" xfId="18" applyNumberFormat="1" applyFont="1" applyBorder="1" applyAlignment="1">
      <alignment horizontal="center"/>
      <protection/>
    </xf>
    <xf numFmtId="3" fontId="12" fillId="0" borderId="31" xfId="18" applyNumberFormat="1" applyFont="1" applyBorder="1" applyAlignment="1">
      <alignment horizontal="center"/>
      <protection/>
    </xf>
    <xf numFmtId="3" fontId="12" fillId="0" borderId="78" xfId="18" applyNumberFormat="1" applyFont="1" applyBorder="1" applyAlignment="1">
      <alignment horizontal="left"/>
      <protection/>
    </xf>
    <xf numFmtId="3" fontId="12" fillId="0" borderId="79" xfId="18" applyNumberFormat="1" applyFont="1" applyBorder="1" applyAlignment="1">
      <alignment horizontal="center"/>
      <protection/>
    </xf>
    <xf numFmtId="3" fontId="12" fillId="0" borderId="80" xfId="18" applyNumberFormat="1" applyFont="1" applyBorder="1" applyAlignment="1">
      <alignment horizontal="center"/>
      <protection/>
    </xf>
    <xf numFmtId="3" fontId="12" fillId="0" borderId="81" xfId="18" applyNumberFormat="1" applyFont="1" applyBorder="1" applyAlignment="1">
      <alignment horizontal="center"/>
      <protection/>
    </xf>
    <xf numFmtId="3" fontId="12" fillId="0" borderId="82" xfId="18" applyNumberFormat="1" applyFont="1" applyBorder="1" applyAlignment="1">
      <alignment horizontal="center"/>
      <protection/>
    </xf>
    <xf numFmtId="3" fontId="12" fillId="0" borderId="83" xfId="18" applyNumberFormat="1" applyFont="1" applyBorder="1" applyAlignment="1">
      <alignment horizontal="center"/>
      <protection/>
    </xf>
    <xf numFmtId="0" fontId="12" fillId="0" borderId="84" xfId="18" applyFont="1" applyBorder="1">
      <alignment/>
      <protection/>
    </xf>
    <xf numFmtId="0" fontId="12" fillId="0" borderId="76" xfId="18" applyFont="1" applyBorder="1">
      <alignment/>
      <protection/>
    </xf>
    <xf numFmtId="0" fontId="11" fillId="0" borderId="14" xfId="18" applyFont="1" applyBorder="1">
      <alignment/>
      <protection/>
    </xf>
    <xf numFmtId="3" fontId="11" fillId="0" borderId="14" xfId="18" applyNumberFormat="1" applyFont="1" applyBorder="1">
      <alignment/>
      <protection/>
    </xf>
    <xf numFmtId="0" fontId="11" fillId="2" borderId="56" xfId="18" applyFont="1" applyFill="1" applyBorder="1" applyAlignment="1">
      <alignment horizontal="center" vertical="center" wrapText="1"/>
      <protection/>
    </xf>
    <xf numFmtId="0" fontId="13" fillId="0" borderId="48" xfId="18" applyFont="1" applyBorder="1" applyAlignment="1">
      <alignment horizontal="center" vertical="center"/>
      <protection/>
    </xf>
    <xf numFmtId="0" fontId="13" fillId="0" borderId="56" xfId="18" applyFont="1" applyBorder="1" applyAlignment="1">
      <alignment horizontal="center" vertical="center"/>
      <protection/>
    </xf>
    <xf numFmtId="3" fontId="11" fillId="0" borderId="57" xfId="18" applyNumberFormat="1" applyFont="1" applyBorder="1">
      <alignment/>
      <protection/>
    </xf>
    <xf numFmtId="0" fontId="12" fillId="0" borderId="31" xfId="18" applyFont="1" applyBorder="1" applyAlignment="1">
      <alignment horizontal="left" vertical="top"/>
      <protection/>
    </xf>
    <xf numFmtId="3" fontId="12" fillId="0" borderId="85" xfId="18" applyNumberFormat="1" applyFont="1" applyBorder="1">
      <alignment/>
      <protection/>
    </xf>
    <xf numFmtId="3" fontId="12" fillId="0" borderId="66" xfId="18" applyNumberFormat="1" applyFont="1" applyBorder="1" applyAlignment="1">
      <alignment/>
      <protection/>
    </xf>
    <xf numFmtId="3" fontId="12" fillId="0" borderId="86" xfId="18" applyNumberFormat="1" applyFont="1" applyBorder="1" applyAlignment="1">
      <alignment/>
      <protection/>
    </xf>
    <xf numFmtId="3" fontId="12" fillId="0" borderId="87" xfId="18" applyNumberFormat="1" applyFont="1" applyBorder="1" applyAlignment="1">
      <alignment/>
      <protection/>
    </xf>
    <xf numFmtId="3" fontId="12" fillId="0" borderId="85" xfId="18" applyNumberFormat="1" applyFont="1" applyBorder="1" applyAlignment="1">
      <alignment horizontal="right"/>
      <protection/>
    </xf>
    <xf numFmtId="3" fontId="12" fillId="0" borderId="66" xfId="18" applyNumberFormat="1" applyFont="1" applyBorder="1" applyAlignment="1">
      <alignment horizontal="right"/>
      <protection/>
    </xf>
    <xf numFmtId="3" fontId="12" fillId="0" borderId="86" xfId="18" applyNumberFormat="1" applyFont="1" applyBorder="1" applyAlignment="1">
      <alignment horizontal="right"/>
      <protection/>
    </xf>
    <xf numFmtId="3" fontId="12" fillId="0" borderId="87" xfId="18" applyNumberFormat="1" applyFont="1" applyBorder="1" applyAlignment="1">
      <alignment horizontal="right"/>
      <protection/>
    </xf>
    <xf numFmtId="3" fontId="0" fillId="0" borderId="1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right" vertical="center"/>
    </xf>
    <xf numFmtId="0" fontId="12" fillId="0" borderId="38" xfId="18" applyFont="1" applyBorder="1" applyAlignment="1">
      <alignment horizontal="left" vertical="center"/>
      <protection/>
    </xf>
    <xf numFmtId="0" fontId="12" fillId="0" borderId="0" xfId="18" applyFont="1" applyBorder="1" applyAlignment="1">
      <alignment horizontal="left" vertical="center"/>
      <protection/>
    </xf>
    <xf numFmtId="0" fontId="12" fillId="0" borderId="31" xfId="18" applyFont="1" applyBorder="1" applyAlignment="1">
      <alignment horizontal="left" vertical="center"/>
      <protection/>
    </xf>
    <xf numFmtId="0" fontId="12" fillId="0" borderId="88" xfId="18" applyFont="1" applyBorder="1">
      <alignment/>
      <protection/>
    </xf>
    <xf numFmtId="0" fontId="7" fillId="2" borderId="68" xfId="0" applyFont="1" applyFill="1" applyBorder="1" applyAlignment="1">
      <alignment horizontal="left" vertical="center"/>
    </xf>
    <xf numFmtId="49" fontId="7" fillId="2" borderId="34" xfId="0" applyNumberFormat="1" applyFont="1" applyFill="1" applyBorder="1" applyAlignment="1">
      <alignment horizontal="left" vertical="center"/>
    </xf>
    <xf numFmtId="3" fontId="7" fillId="2" borderId="19" xfId="0" applyNumberFormat="1" applyFont="1" applyFill="1" applyBorder="1" applyAlignment="1">
      <alignment horizontal="right" vertical="center"/>
    </xf>
    <xf numFmtId="2" fontId="7" fillId="2" borderId="38" xfId="0" applyNumberFormat="1" applyFont="1" applyFill="1" applyBorder="1" applyAlignment="1">
      <alignment/>
    </xf>
    <xf numFmtId="2" fontId="7" fillId="2" borderId="19" xfId="0" applyNumberFormat="1" applyFont="1" applyFill="1" applyBorder="1" applyAlignment="1">
      <alignment/>
    </xf>
    <xf numFmtId="2" fontId="7" fillId="2" borderId="31" xfId="0" applyNumberFormat="1" applyFont="1" applyFill="1" applyBorder="1" applyAlignment="1">
      <alignment/>
    </xf>
    <xf numFmtId="0" fontId="7" fillId="2" borderId="68" xfId="0" applyFont="1" applyFill="1" applyBorder="1" applyAlignment="1">
      <alignment/>
    </xf>
    <xf numFmtId="3" fontId="7" fillId="2" borderId="15" xfId="0" applyNumberFormat="1" applyFont="1" applyFill="1" applyBorder="1" applyAlignment="1">
      <alignment horizontal="right"/>
    </xf>
    <xf numFmtId="3" fontId="7" fillId="2" borderId="18" xfId="0" applyNumberFormat="1" applyFont="1" applyFill="1" applyBorder="1" applyAlignment="1">
      <alignment horizontal="right"/>
    </xf>
    <xf numFmtId="2" fontId="7" fillId="2" borderId="89" xfId="0" applyNumberFormat="1" applyFont="1" applyFill="1" applyBorder="1" applyAlignment="1">
      <alignment/>
    </xf>
    <xf numFmtId="2" fontId="7" fillId="2" borderId="15" xfId="0" applyNumberFormat="1" applyFont="1" applyFill="1" applyBorder="1" applyAlignment="1">
      <alignment/>
    </xf>
    <xf numFmtId="2" fontId="7" fillId="2" borderId="41" xfId="0" applyNumberFormat="1" applyFont="1" applyFill="1" applyBorder="1" applyAlignment="1">
      <alignment/>
    </xf>
    <xf numFmtId="0" fontId="7" fillId="2" borderId="34" xfId="0" applyFont="1" applyFill="1" applyBorder="1" applyAlignment="1">
      <alignment horizontal="left"/>
    </xf>
    <xf numFmtId="3" fontId="7" fillId="2" borderId="9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/>
    </xf>
    <xf numFmtId="3" fontId="7" fillId="2" borderId="19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left"/>
    </xf>
    <xf numFmtId="3" fontId="7" fillId="2" borderId="17" xfId="0" applyNumberFormat="1" applyFont="1" applyFill="1" applyBorder="1" applyAlignment="1">
      <alignment horizontal="right"/>
    </xf>
    <xf numFmtId="0" fontId="7" fillId="2" borderId="22" xfId="0" applyFont="1" applyFill="1" applyBorder="1" applyAlignment="1">
      <alignment horizontal="left"/>
    </xf>
    <xf numFmtId="3" fontId="7" fillId="2" borderId="23" xfId="0" applyNumberFormat="1" applyFont="1" applyFill="1" applyBorder="1" applyAlignment="1">
      <alignment horizontal="right"/>
    </xf>
    <xf numFmtId="2" fontId="7" fillId="2" borderId="63" xfId="0" applyNumberFormat="1" applyFont="1" applyFill="1" applyBorder="1" applyAlignment="1">
      <alignment/>
    </xf>
    <xf numFmtId="2" fontId="7" fillId="2" borderId="23" xfId="0" applyNumberFormat="1" applyFont="1" applyFill="1" applyBorder="1" applyAlignment="1">
      <alignment/>
    </xf>
    <xf numFmtId="2" fontId="7" fillId="2" borderId="43" xfId="0" applyNumberFormat="1" applyFont="1" applyFill="1" applyBorder="1" applyAlignment="1">
      <alignment/>
    </xf>
    <xf numFmtId="0" fontId="7" fillId="2" borderId="22" xfId="0" applyNumberFormat="1" applyFont="1" applyFill="1" applyBorder="1" applyAlignment="1">
      <alignment wrapText="1"/>
    </xf>
    <xf numFmtId="0" fontId="7" fillId="2" borderId="10" xfId="0" applyFont="1" applyFill="1" applyBorder="1" applyAlignment="1">
      <alignment/>
    </xf>
    <xf numFmtId="3" fontId="7" fillId="2" borderId="17" xfId="0" applyNumberFormat="1" applyFont="1" applyFill="1" applyBorder="1" applyAlignment="1">
      <alignment/>
    </xf>
    <xf numFmtId="2" fontId="7" fillId="2" borderId="11" xfId="0" applyNumberFormat="1" applyFont="1" applyFill="1" applyBorder="1" applyAlignment="1">
      <alignment/>
    </xf>
    <xf numFmtId="2" fontId="7" fillId="2" borderId="17" xfId="0" applyNumberFormat="1" applyFont="1" applyFill="1" applyBorder="1" applyAlignment="1">
      <alignment/>
    </xf>
    <xf numFmtId="2" fontId="7" fillId="2" borderId="33" xfId="0" applyNumberFormat="1" applyFont="1" applyFill="1" applyBorder="1" applyAlignment="1">
      <alignment/>
    </xf>
    <xf numFmtId="3" fontId="7" fillId="2" borderId="15" xfId="0" applyNumberFormat="1" applyFont="1" applyFill="1" applyBorder="1" applyAlignment="1">
      <alignment horizontal="right" vertical="center"/>
    </xf>
    <xf numFmtId="0" fontId="27" fillId="0" borderId="17" xfId="0" applyFont="1" applyBorder="1" applyAlignment="1">
      <alignment/>
    </xf>
    <xf numFmtId="3" fontId="27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60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27" fillId="0" borderId="23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12" fillId="0" borderId="54" xfId="18" applyFont="1" applyBorder="1">
      <alignment/>
      <protection/>
    </xf>
    <xf numFmtId="0" fontId="12" fillId="0" borderId="48" xfId="18" applyFont="1" applyBorder="1">
      <alignment/>
      <protection/>
    </xf>
    <xf numFmtId="3" fontId="12" fillId="0" borderId="1" xfId="18" applyNumberFormat="1" applyFont="1" applyBorder="1">
      <alignment/>
      <protection/>
    </xf>
    <xf numFmtId="0" fontId="12" fillId="0" borderId="1" xfId="18" applyFont="1" applyBorder="1" applyAlignment="1">
      <alignment horizontal="center"/>
      <protection/>
    </xf>
    <xf numFmtId="0" fontId="11" fillId="0" borderId="22" xfId="18" applyFont="1" applyBorder="1">
      <alignment/>
      <protection/>
    </xf>
    <xf numFmtId="3" fontId="11" fillId="0" borderId="23" xfId="18" applyNumberFormat="1" applyFont="1" applyBorder="1">
      <alignment/>
      <protection/>
    </xf>
    <xf numFmtId="0" fontId="12" fillId="0" borderId="90" xfId="18" applyFont="1" applyBorder="1">
      <alignment/>
      <protection/>
    </xf>
    <xf numFmtId="170" fontId="18" fillId="0" borderId="14" xfId="0" applyNumberFormat="1" applyFont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3" fontId="27" fillId="0" borderId="46" xfId="0" applyNumberFormat="1" applyFont="1" applyBorder="1" applyAlignment="1">
      <alignment/>
    </xf>
    <xf numFmtId="3" fontId="7" fillId="0" borderId="59" xfId="0" applyNumberFormat="1" applyFont="1" applyBorder="1" applyAlignment="1">
      <alignment/>
    </xf>
    <xf numFmtId="0" fontId="7" fillId="0" borderId="60" xfId="0" applyFont="1" applyBorder="1" applyAlignment="1">
      <alignment/>
    </xf>
    <xf numFmtId="3" fontId="7" fillId="0" borderId="6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46" xfId="0" applyBorder="1" applyAlignment="1">
      <alignment/>
    </xf>
    <xf numFmtId="0" fontId="12" fillId="0" borderId="0" xfId="18" applyFont="1" applyBorder="1">
      <alignment/>
      <protection/>
    </xf>
    <xf numFmtId="3" fontId="11" fillId="0" borderId="26" xfId="18" applyNumberFormat="1" applyFont="1" applyBorder="1">
      <alignment/>
      <protection/>
    </xf>
    <xf numFmtId="3" fontId="12" fillId="0" borderId="56" xfId="18" applyNumberFormat="1" applyFont="1" applyBorder="1">
      <alignment/>
      <protection/>
    </xf>
    <xf numFmtId="3" fontId="12" fillId="0" borderId="1" xfId="18" applyNumberFormat="1" applyFont="1" applyBorder="1" applyAlignment="1">
      <alignment horizontal="right"/>
      <protection/>
    </xf>
    <xf numFmtId="3" fontId="12" fillId="0" borderId="56" xfId="18" applyNumberFormat="1" applyFont="1" applyBorder="1" applyAlignment="1">
      <alignment horizontal="right"/>
      <protection/>
    </xf>
    <xf numFmtId="3" fontId="12" fillId="0" borderId="91" xfId="18" applyNumberFormat="1" applyFont="1" applyBorder="1" applyAlignment="1">
      <alignment horizontal="right"/>
      <protection/>
    </xf>
    <xf numFmtId="3" fontId="12" fillId="0" borderId="92" xfId="18" applyNumberFormat="1" applyFont="1" applyBorder="1" applyAlignment="1">
      <alignment horizontal="right"/>
      <protection/>
    </xf>
    <xf numFmtId="3" fontId="12" fillId="0" borderId="76" xfId="18" applyNumberFormat="1" applyFont="1" applyBorder="1" applyAlignment="1">
      <alignment horizontal="right"/>
      <protection/>
    </xf>
    <xf numFmtId="3" fontId="12" fillId="0" borderId="83" xfId="18" applyNumberFormat="1" applyFont="1" applyBorder="1" applyAlignment="1">
      <alignment horizontal="right"/>
      <protection/>
    </xf>
    <xf numFmtId="3" fontId="12" fillId="0" borderId="81" xfId="18" applyNumberFormat="1" applyFont="1" applyBorder="1" applyAlignment="1">
      <alignment horizontal="right"/>
      <protection/>
    </xf>
    <xf numFmtId="3" fontId="12" fillId="0" borderId="82" xfId="18" applyNumberFormat="1" applyFont="1" applyBorder="1" applyAlignment="1">
      <alignment horizontal="right"/>
      <protection/>
    </xf>
    <xf numFmtId="3" fontId="12" fillId="0" borderId="72" xfId="18" applyNumberFormat="1" applyFont="1" applyBorder="1" applyAlignment="1">
      <alignment horizontal="right"/>
      <protection/>
    </xf>
    <xf numFmtId="3" fontId="12" fillId="0" borderId="73" xfId="18" applyNumberFormat="1" applyFont="1" applyBorder="1" applyAlignment="1">
      <alignment horizontal="right"/>
      <protection/>
    </xf>
    <xf numFmtId="3" fontId="12" fillId="0" borderId="74" xfId="18" applyNumberFormat="1" applyFont="1" applyBorder="1" applyAlignment="1">
      <alignment horizontal="right"/>
      <protection/>
    </xf>
    <xf numFmtId="3" fontId="12" fillId="0" borderId="75" xfId="18" applyNumberFormat="1" applyFont="1" applyBorder="1" applyAlignment="1">
      <alignment horizontal="right"/>
      <protection/>
    </xf>
    <xf numFmtId="3" fontId="12" fillId="0" borderId="93" xfId="18" applyNumberFormat="1" applyFont="1" applyBorder="1" applyAlignment="1">
      <alignment horizontal="right"/>
      <protection/>
    </xf>
    <xf numFmtId="3" fontId="12" fillId="0" borderId="94" xfId="18" applyNumberFormat="1" applyFont="1" applyBorder="1" applyAlignment="1">
      <alignment horizontal="right"/>
      <protection/>
    </xf>
    <xf numFmtId="3" fontId="12" fillId="0" borderId="95" xfId="18" applyNumberFormat="1" applyFont="1" applyBorder="1" applyAlignment="1">
      <alignment horizontal="right"/>
      <protection/>
    </xf>
    <xf numFmtId="0" fontId="12" fillId="0" borderId="96" xfId="18" applyFont="1" applyBorder="1">
      <alignment/>
      <protection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7" fillId="0" borderId="38" xfId="0" applyFont="1" applyBorder="1" applyAlignment="1">
      <alignment/>
    </xf>
    <xf numFmtId="0" fontId="9" fillId="0" borderId="63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6" xfId="0" applyFont="1" applyBorder="1" applyAlignment="1">
      <alignment horizontal="centerContinuous"/>
    </xf>
    <xf numFmtId="0" fontId="9" fillId="0" borderId="0" xfId="0" applyFont="1" applyAlignment="1">
      <alignment/>
    </xf>
    <xf numFmtId="3" fontId="7" fillId="0" borderId="38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54" xfId="0" applyFont="1" applyBorder="1" applyAlignment="1">
      <alignment/>
    </xf>
    <xf numFmtId="3" fontId="7" fillId="0" borderId="54" xfId="0" applyNumberFormat="1" applyFont="1" applyFill="1" applyBorder="1" applyAlignment="1">
      <alignment/>
    </xf>
    <xf numFmtId="3" fontId="7" fillId="0" borderId="54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56" xfId="0" applyNumberFormat="1" applyFont="1" applyFill="1" applyBorder="1" applyAlignment="1">
      <alignment/>
    </xf>
    <xf numFmtId="3" fontId="7" fillId="0" borderId="60" xfId="0" applyNumberFormat="1" applyFont="1" applyFill="1" applyBorder="1" applyAlignment="1">
      <alignment/>
    </xf>
    <xf numFmtId="3" fontId="7" fillId="0" borderId="54" xfId="0" applyNumberFormat="1" applyFont="1" applyFill="1" applyBorder="1" applyAlignment="1">
      <alignment horizontal="right"/>
    </xf>
    <xf numFmtId="0" fontId="7" fillId="0" borderId="21" xfId="0" applyFont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58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0" fontId="7" fillId="0" borderId="39" xfId="0" applyFont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 horizontal="right"/>
    </xf>
    <xf numFmtId="3" fontId="7" fillId="0" borderId="39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44" xfId="0" applyNumberFormat="1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/>
    </xf>
    <xf numFmtId="3" fontId="7" fillId="0" borderId="45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centerContinuous"/>
    </xf>
    <xf numFmtId="0" fontId="7" fillId="0" borderId="23" xfId="0" applyFont="1" applyBorder="1" applyAlignment="1">
      <alignment/>
    </xf>
    <xf numFmtId="170" fontId="7" fillId="0" borderId="23" xfId="0" applyNumberFormat="1" applyFont="1" applyFill="1" applyBorder="1" applyAlignment="1">
      <alignment horizontal="center"/>
    </xf>
    <xf numFmtId="170" fontId="7" fillId="0" borderId="23" xfId="0" applyNumberFormat="1" applyFont="1" applyBorder="1" applyAlignment="1">
      <alignment horizontal="center"/>
    </xf>
    <xf numFmtId="170" fontId="7" fillId="0" borderId="25" xfId="0" applyNumberFormat="1" applyFont="1" applyBorder="1" applyAlignment="1">
      <alignment horizontal="center"/>
    </xf>
    <xf numFmtId="170" fontId="7" fillId="0" borderId="63" xfId="0" applyNumberFormat="1" applyFont="1" applyBorder="1" applyAlignment="1">
      <alignment horizontal="center"/>
    </xf>
    <xf numFmtId="170" fontId="7" fillId="0" borderId="26" xfId="0" applyNumberFormat="1" applyFont="1" applyBorder="1" applyAlignment="1">
      <alignment horizontal="center"/>
    </xf>
    <xf numFmtId="0" fontId="7" fillId="2" borderId="64" xfId="0" applyFont="1" applyFill="1" applyBorder="1" applyAlignment="1">
      <alignment/>
    </xf>
    <xf numFmtId="0" fontId="7" fillId="2" borderId="38" xfId="0" applyFont="1" applyFill="1" applyBorder="1" applyAlignment="1">
      <alignment horizontal="centerContinuous"/>
    </xf>
    <xf numFmtId="0" fontId="7" fillId="2" borderId="3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7" fillId="2" borderId="70" xfId="0" applyFont="1" applyFill="1" applyBorder="1" applyAlignment="1">
      <alignment/>
    </xf>
    <xf numFmtId="0" fontId="7" fillId="2" borderId="19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31" xfId="0" applyFont="1" applyFill="1" applyBorder="1" applyAlignment="1">
      <alignment horizontal="centerContinuous"/>
    </xf>
    <xf numFmtId="0" fontId="7" fillId="2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36" xfId="0" applyFont="1" applyFill="1" applyBorder="1" applyAlignment="1">
      <alignment/>
    </xf>
    <xf numFmtId="0" fontId="7" fillId="2" borderId="36" xfId="0" applyFont="1" applyFill="1" applyBorder="1" applyAlignment="1">
      <alignment horizontal="centerContinuous"/>
    </xf>
    <xf numFmtId="0" fontId="7" fillId="2" borderId="36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33" xfId="0" applyFont="1" applyFill="1" applyBorder="1" applyAlignment="1">
      <alignment/>
    </xf>
    <xf numFmtId="0" fontId="0" fillId="0" borderId="27" xfId="0" applyFont="1" applyBorder="1" applyAlignment="1">
      <alignment horizontal="centerContinuous"/>
    </xf>
    <xf numFmtId="0" fontId="0" fillId="0" borderId="48" xfId="0" applyFont="1" applyBorder="1" applyAlignment="1">
      <alignment horizontal="centerContinuous"/>
    </xf>
    <xf numFmtId="0" fontId="0" fillId="0" borderId="34" xfId="0" applyFont="1" applyBorder="1" applyAlignment="1">
      <alignment horizontal="centerContinuous"/>
    </xf>
    <xf numFmtId="0" fontId="0" fillId="0" borderId="65" xfId="0" applyFont="1" applyBorder="1" applyAlignment="1">
      <alignment horizontal="centerContinuous"/>
    </xf>
    <xf numFmtId="0" fontId="7" fillId="2" borderId="27" xfId="0" applyFont="1" applyFill="1" applyBorder="1" applyAlignment="1">
      <alignment/>
    </xf>
    <xf numFmtId="0" fontId="7" fillId="2" borderId="34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9" fillId="0" borderId="22" xfId="0" applyFont="1" applyBorder="1" applyAlignment="1">
      <alignment horizontal="centerContinuous"/>
    </xf>
    <xf numFmtId="0" fontId="7" fillId="2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2" borderId="3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1" fillId="0" borderId="48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/>
    </xf>
    <xf numFmtId="49" fontId="7" fillId="0" borderId="4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27" fillId="0" borderId="9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/>
    </xf>
    <xf numFmtId="49" fontId="27" fillId="0" borderId="71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/>
    </xf>
    <xf numFmtId="0" fontId="7" fillId="0" borderId="40" xfId="0" applyFont="1" applyFill="1" applyBorder="1" applyAlignment="1">
      <alignment vertical="center"/>
    </xf>
    <xf numFmtId="49" fontId="27" fillId="0" borderId="34" xfId="0" applyNumberFormat="1" applyFont="1" applyBorder="1" applyAlignment="1">
      <alignment horizontal="center"/>
    </xf>
    <xf numFmtId="49" fontId="7" fillId="0" borderId="84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3" fontId="27" fillId="0" borderId="14" xfId="0" applyNumberFormat="1" applyFont="1" applyBorder="1" applyAlignment="1">
      <alignment vertical="center"/>
    </xf>
    <xf numFmtId="10" fontId="27" fillId="0" borderId="57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10" fontId="7" fillId="0" borderId="59" xfId="0" applyNumberFormat="1" applyFont="1" applyBorder="1" applyAlignment="1">
      <alignment vertical="center"/>
    </xf>
    <xf numFmtId="49" fontId="7" fillId="0" borderId="34" xfId="0" applyNumberFormat="1" applyFont="1" applyBorder="1" applyAlignment="1">
      <alignment/>
    </xf>
    <xf numFmtId="3" fontId="7" fillId="0" borderId="19" xfId="0" applyNumberFormat="1" applyFont="1" applyBorder="1" applyAlignment="1">
      <alignment vertical="center"/>
    </xf>
    <xf numFmtId="10" fontId="7" fillId="0" borderId="98" xfId="0" applyNumberFormat="1" applyFont="1" applyBorder="1" applyAlignment="1">
      <alignment vertical="center"/>
    </xf>
    <xf numFmtId="49" fontId="7" fillId="0" borderId="99" xfId="0" applyNumberFormat="1" applyFont="1" applyBorder="1" applyAlignment="1">
      <alignment/>
    </xf>
    <xf numFmtId="0" fontId="7" fillId="0" borderId="19" xfId="0" applyFont="1" applyBorder="1" applyAlignment="1">
      <alignment vertical="center"/>
    </xf>
    <xf numFmtId="10" fontId="7" fillId="0" borderId="60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10" fontId="7" fillId="0" borderId="85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49" fontId="7" fillId="0" borderId="71" xfId="0" applyNumberFormat="1" applyFont="1" applyBorder="1" applyAlignment="1">
      <alignment vertical="center"/>
    </xf>
    <xf numFmtId="3" fontId="27" fillId="0" borderId="71" xfId="0" applyNumberFormat="1" applyFont="1" applyBorder="1" applyAlignment="1">
      <alignment vertical="center"/>
    </xf>
    <xf numFmtId="10" fontId="27" fillId="0" borderId="87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7" fillId="0" borderId="71" xfId="0" applyFont="1" applyBorder="1" applyAlignment="1">
      <alignment vertical="center"/>
    </xf>
    <xf numFmtId="10" fontId="7" fillId="0" borderId="100" xfId="0" applyNumberFormat="1" applyFont="1" applyBorder="1" applyAlignment="1">
      <alignment vertical="center"/>
    </xf>
    <xf numFmtId="49" fontId="7" fillId="0" borderId="84" xfId="0" applyNumberFormat="1" applyFont="1" applyBorder="1" applyAlignment="1">
      <alignment vertical="center"/>
    </xf>
    <xf numFmtId="0" fontId="7" fillId="0" borderId="84" xfId="0" applyFont="1" applyBorder="1" applyAlignment="1">
      <alignment vertical="center"/>
    </xf>
    <xf numFmtId="3" fontId="7" fillId="0" borderId="84" xfId="0" applyNumberFormat="1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0" fontId="27" fillId="0" borderId="46" xfId="0" applyNumberFormat="1" applyFont="1" applyBorder="1" applyAlignment="1">
      <alignment vertical="center"/>
    </xf>
    <xf numFmtId="10" fontId="7" fillId="0" borderId="58" xfId="0" applyNumberFormat="1" applyFont="1" applyBorder="1" applyAlignment="1">
      <alignment vertical="center"/>
    </xf>
    <xf numFmtId="49" fontId="27" fillId="0" borderId="71" xfId="0" applyNumberFormat="1" applyFont="1" applyBorder="1" applyAlignment="1">
      <alignment vertical="center"/>
    </xf>
    <xf numFmtId="0" fontId="27" fillId="0" borderId="7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2" fontId="7" fillId="0" borderId="15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7" fillId="0" borderId="17" xfId="0" applyFont="1" applyBorder="1" applyAlignment="1">
      <alignment vertical="center"/>
    </xf>
    <xf numFmtId="3" fontId="27" fillId="0" borderId="17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3" fontId="27" fillId="0" borderId="14" xfId="0" applyNumberFormat="1" applyFont="1" applyBorder="1" applyAlignment="1">
      <alignment horizontal="center" vertical="center"/>
    </xf>
    <xf numFmtId="0" fontId="12" fillId="0" borderId="4" xfId="18" applyFont="1" applyBorder="1" applyAlignment="1">
      <alignment horizontal="center"/>
      <protection/>
    </xf>
    <xf numFmtId="0" fontId="12" fillId="0" borderId="101" xfId="18" applyNumberFormat="1" applyFont="1" applyBorder="1" applyAlignment="1">
      <alignment horizontal="center"/>
      <protection/>
    </xf>
    <xf numFmtId="0" fontId="12" fillId="0" borderId="4" xfId="18" applyNumberFormat="1" applyFont="1" applyBorder="1" applyAlignment="1">
      <alignment horizontal="center"/>
      <protection/>
    </xf>
    <xf numFmtId="0" fontId="12" fillId="0" borderId="102" xfId="18" applyNumberFormat="1" applyFont="1" applyBorder="1" applyAlignment="1">
      <alignment horizontal="center"/>
      <protection/>
    </xf>
    <xf numFmtId="0" fontId="12" fillId="0" borderId="76" xfId="18" applyNumberFormat="1" applyFont="1" applyBorder="1" applyAlignment="1">
      <alignment horizontal="center"/>
      <protection/>
    </xf>
    <xf numFmtId="0" fontId="1" fillId="0" borderId="103" xfId="0" applyFont="1" applyBorder="1" applyAlignment="1">
      <alignment horizontal="center" vertical="center"/>
    </xf>
    <xf numFmtId="0" fontId="32" fillId="0" borderId="104" xfId="0" applyFont="1" applyBorder="1" applyAlignment="1">
      <alignment vertical="center"/>
    </xf>
    <xf numFmtId="0" fontId="0" fillId="0" borderId="104" xfId="0" applyBorder="1" applyAlignment="1">
      <alignment vertical="center"/>
    </xf>
    <xf numFmtId="0" fontId="4" fillId="0" borderId="105" xfId="0" applyFont="1" applyBorder="1" applyAlignment="1">
      <alignment horizontal="center" vertical="top"/>
    </xf>
    <xf numFmtId="0" fontId="0" fillId="0" borderId="105" xfId="0" applyBorder="1" applyAlignment="1">
      <alignment vertical="center"/>
    </xf>
    <xf numFmtId="0" fontId="0" fillId="0" borderId="105" xfId="0" applyFont="1" applyBorder="1" applyAlignment="1">
      <alignment vertical="center"/>
    </xf>
    <xf numFmtId="0" fontId="32" fillId="0" borderId="105" xfId="0" applyFont="1" applyBorder="1" applyAlignment="1">
      <alignment vertical="center"/>
    </xf>
    <xf numFmtId="0" fontId="0" fillId="0" borderId="105" xfId="0" applyBorder="1" applyAlignment="1">
      <alignment vertical="center" wrapText="1"/>
    </xf>
    <xf numFmtId="0" fontId="32" fillId="0" borderId="105" xfId="0" applyFont="1" applyBorder="1" applyAlignment="1">
      <alignment vertical="center" wrapText="1"/>
    </xf>
    <xf numFmtId="0" fontId="32" fillId="0" borderId="106" xfId="0" applyFont="1" applyBorder="1" applyAlignment="1">
      <alignment vertical="center" wrapText="1"/>
    </xf>
    <xf numFmtId="3" fontId="0" fillId="0" borderId="105" xfId="0" applyNumberFormat="1" applyBorder="1" applyAlignment="1">
      <alignment vertical="center"/>
    </xf>
    <xf numFmtId="3" fontId="0" fillId="0" borderId="104" xfId="0" applyNumberFormat="1" applyBorder="1" applyAlignment="1">
      <alignment vertical="center"/>
    </xf>
    <xf numFmtId="0" fontId="4" fillId="2" borderId="10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4" fillId="0" borderId="104" xfId="0" applyNumberFormat="1" applyFont="1" applyBorder="1" applyAlignment="1">
      <alignment vertical="center"/>
    </xf>
    <xf numFmtId="3" fontId="4" fillId="0" borderId="105" xfId="0" applyNumberFormat="1" applyFont="1" applyBorder="1" applyAlignment="1">
      <alignment vertical="center"/>
    </xf>
    <xf numFmtId="170" fontId="4" fillId="0" borderId="105" xfId="0" applyNumberFormat="1" applyFont="1" applyBorder="1" applyAlignment="1">
      <alignment vertical="center"/>
    </xf>
    <xf numFmtId="170" fontId="4" fillId="0" borderId="107" xfId="0" applyNumberFormat="1" applyFont="1" applyBorder="1" applyAlignment="1">
      <alignment vertical="center"/>
    </xf>
    <xf numFmtId="0" fontId="4" fillId="0" borderId="108" xfId="0" applyFont="1" applyBorder="1" applyAlignment="1">
      <alignment horizontal="center" vertical="top"/>
    </xf>
    <xf numFmtId="0" fontId="4" fillId="0" borderId="107" xfId="0" applyFont="1" applyBorder="1" applyAlignment="1">
      <alignment horizontal="center" vertical="top"/>
    </xf>
    <xf numFmtId="0" fontId="11" fillId="0" borderId="13" xfId="18" applyFont="1" applyBorder="1" applyAlignment="1">
      <alignment horizontal="center"/>
      <protection/>
    </xf>
    <xf numFmtId="0" fontId="11" fillId="0" borderId="103" xfId="18" applyFont="1" applyBorder="1" applyAlignment="1">
      <alignment horizontal="center"/>
      <protection/>
    </xf>
    <xf numFmtId="0" fontId="34" fillId="0" borderId="0" xfId="18" applyFont="1">
      <alignment/>
      <protection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2" fillId="0" borderId="48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170" fontId="0" fillId="0" borderId="56" xfId="0" applyNumberFormat="1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0" fillId="0" borderId="50" xfId="0" applyFont="1" applyBorder="1" applyAlignment="1">
      <alignment horizontal="center" vertical="center"/>
    </xf>
    <xf numFmtId="0" fontId="0" fillId="0" borderId="66" xfId="0" applyFont="1" applyBorder="1" applyAlignment="1">
      <alignment horizontal="right" vertical="center"/>
    </xf>
    <xf numFmtId="0" fontId="0" fillId="0" borderId="51" xfId="0" applyFont="1" applyBorder="1" applyAlignment="1">
      <alignment horizontal="center" vertical="center"/>
    </xf>
    <xf numFmtId="0" fontId="0" fillId="0" borderId="86" xfId="0" applyFont="1" applyBorder="1" applyAlignment="1">
      <alignment horizontal="right" vertical="center"/>
    </xf>
    <xf numFmtId="0" fontId="0" fillId="0" borderId="85" xfId="0" applyFont="1" applyBorder="1" applyAlignment="1">
      <alignment horizontal="right" vertical="center"/>
    </xf>
    <xf numFmtId="170" fontId="4" fillId="0" borderId="56" xfId="0" applyNumberFormat="1" applyFont="1" applyBorder="1" applyAlignment="1">
      <alignment horizontal="right" vertical="center"/>
    </xf>
    <xf numFmtId="170" fontId="0" fillId="0" borderId="66" xfId="0" applyNumberFormat="1" applyFont="1" applyBorder="1" applyAlignment="1">
      <alignment horizontal="right" vertical="center"/>
    </xf>
    <xf numFmtId="170" fontId="0" fillId="0" borderId="86" xfId="0" applyNumberFormat="1" applyFont="1" applyBorder="1" applyAlignment="1">
      <alignment horizontal="right" vertical="center"/>
    </xf>
    <xf numFmtId="0" fontId="0" fillId="0" borderId="97" xfId="0" applyFont="1" applyBorder="1" applyAlignment="1">
      <alignment horizontal="center" vertical="center"/>
    </xf>
    <xf numFmtId="0" fontId="0" fillId="0" borderId="71" xfId="0" applyFont="1" applyBorder="1" applyAlignment="1">
      <alignment vertical="center"/>
    </xf>
    <xf numFmtId="0" fontId="0" fillId="0" borderId="71" xfId="0" applyFont="1" applyBorder="1" applyAlignment="1">
      <alignment horizontal="center" vertical="center"/>
    </xf>
    <xf numFmtId="3" fontId="0" fillId="0" borderId="71" xfId="0" applyNumberFormat="1" applyFont="1" applyBorder="1" applyAlignment="1">
      <alignment horizontal="right" vertical="center"/>
    </xf>
    <xf numFmtId="3" fontId="0" fillId="0" borderId="71" xfId="0" applyNumberFormat="1" applyFont="1" applyBorder="1" applyAlignment="1">
      <alignment vertical="center"/>
    </xf>
    <xf numFmtId="0" fontId="0" fillId="0" borderId="87" xfId="0" applyFont="1" applyBorder="1" applyAlignment="1">
      <alignment horizontal="right" vertical="center"/>
    </xf>
    <xf numFmtId="0" fontId="0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3" fontId="27" fillId="0" borderId="23" xfId="0" applyNumberFormat="1" applyFont="1" applyBorder="1" applyAlignment="1">
      <alignment horizontal="right"/>
    </xf>
    <xf numFmtId="3" fontId="27" fillId="0" borderId="26" xfId="0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/>
    </xf>
    <xf numFmtId="49" fontId="7" fillId="0" borderId="27" xfId="0" applyNumberFormat="1" applyFont="1" applyBorder="1" applyAlignment="1">
      <alignment horizontal="center"/>
    </xf>
    <xf numFmtId="3" fontId="0" fillId="3" borderId="21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0" fontId="7" fillId="0" borderId="56" xfId="0" applyFont="1" applyBorder="1" applyAlignment="1">
      <alignment horizontal="left" vertical="center" wrapText="1"/>
    </xf>
    <xf numFmtId="0" fontId="18" fillId="0" borderId="109" xfId="0" applyFont="1" applyBorder="1" applyAlignment="1">
      <alignment horizontal="center" vertical="center" wrapText="1"/>
    </xf>
    <xf numFmtId="0" fontId="18" fillId="0" borderId="11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170" fontId="18" fillId="2" borderId="8" xfId="0" applyNumberFormat="1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170" fontId="18" fillId="2" borderId="30" xfId="0" applyNumberFormat="1" applyFont="1" applyFill="1" applyBorder="1" applyAlignment="1">
      <alignment horizontal="center" vertical="center" wrapText="1"/>
    </xf>
    <xf numFmtId="170" fontId="18" fillId="2" borderId="19" xfId="0" applyNumberFormat="1" applyFont="1" applyFill="1" applyBorder="1" applyAlignment="1">
      <alignment horizontal="center" vertical="center" wrapText="1"/>
    </xf>
    <xf numFmtId="0" fontId="18" fillId="2" borderId="68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18" fillId="2" borderId="59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69" xfId="0" applyFont="1" applyFill="1" applyBorder="1" applyAlignment="1">
      <alignment horizontal="center" vertical="center" wrapText="1" shrinkToFi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2" borderId="89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27" fillId="0" borderId="111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/>
    </xf>
    <xf numFmtId="0" fontId="27" fillId="0" borderId="109" xfId="0" applyFont="1" applyBorder="1" applyAlignment="1">
      <alignment horizontal="center" vertical="center"/>
    </xf>
    <xf numFmtId="0" fontId="27" fillId="0" borderId="1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4" fillId="2" borderId="27" xfId="0" applyNumberFormat="1" applyFont="1" applyFill="1" applyBorder="1" applyAlignment="1">
      <alignment horizontal="center" vertical="center"/>
    </xf>
    <xf numFmtId="49" fontId="4" fillId="2" borderId="52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4" fillId="0" borderId="11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 vertical="top" wrapText="1"/>
    </xf>
    <xf numFmtId="0" fontId="0" fillId="0" borderId="60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12" fillId="0" borderId="27" xfId="18" applyFont="1" applyBorder="1" applyAlignment="1">
      <alignment horizontal="center" vertical="center"/>
      <protection/>
    </xf>
    <xf numFmtId="0" fontId="12" fillId="0" borderId="34" xfId="18" applyFont="1" applyBorder="1" applyAlignment="1">
      <alignment horizontal="center" vertical="center"/>
      <protection/>
    </xf>
    <xf numFmtId="0" fontId="12" fillId="0" borderId="10" xfId="18" applyFont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2" fillId="0" borderId="39" xfId="18" applyFont="1" applyBorder="1" applyAlignment="1">
      <alignment horizontal="left" vertical="center"/>
      <protection/>
    </xf>
    <xf numFmtId="0" fontId="12" fillId="0" borderId="6" xfId="18" applyFont="1" applyBorder="1" applyAlignment="1">
      <alignment horizontal="left" vertical="center"/>
      <protection/>
    </xf>
    <xf numFmtId="0" fontId="12" fillId="0" borderId="38" xfId="18" applyFont="1" applyBorder="1" applyAlignment="1">
      <alignment horizontal="left" vertical="center"/>
      <protection/>
    </xf>
    <xf numFmtId="0" fontId="12" fillId="0" borderId="7" xfId="18" applyFont="1" applyBorder="1" applyAlignment="1">
      <alignment horizontal="left" vertical="center"/>
      <protection/>
    </xf>
    <xf numFmtId="0" fontId="12" fillId="0" borderId="21" xfId="18" applyFont="1" applyBorder="1" applyAlignment="1">
      <alignment horizontal="left" vertical="center"/>
      <protection/>
    </xf>
    <xf numFmtId="0" fontId="12" fillId="0" borderId="20" xfId="18" applyFont="1" applyBorder="1" applyAlignment="1">
      <alignment horizontal="left" vertical="center"/>
      <protection/>
    </xf>
    <xf numFmtId="0" fontId="12" fillId="0" borderId="36" xfId="18" applyFont="1" applyBorder="1" applyAlignment="1">
      <alignment horizontal="left" vertical="center"/>
      <protection/>
    </xf>
    <xf numFmtId="0" fontId="12" fillId="0" borderId="32" xfId="18" applyFont="1" applyBorder="1" applyAlignment="1">
      <alignment horizontal="left" vertical="center"/>
      <protection/>
    </xf>
    <xf numFmtId="3" fontId="12" fillId="0" borderId="39" xfId="18" applyNumberFormat="1" applyFont="1" applyBorder="1" applyAlignment="1">
      <alignment horizontal="left" vertical="center"/>
      <protection/>
    </xf>
    <xf numFmtId="3" fontId="12" fillId="0" borderId="6" xfId="18" applyNumberFormat="1" applyFont="1" applyBorder="1" applyAlignment="1">
      <alignment horizontal="left" vertical="center"/>
      <protection/>
    </xf>
    <xf numFmtId="3" fontId="12" fillId="0" borderId="38" xfId="18" applyNumberFormat="1" applyFont="1" applyBorder="1" applyAlignment="1">
      <alignment horizontal="left" vertical="center"/>
      <protection/>
    </xf>
    <xf numFmtId="3" fontId="12" fillId="0" borderId="7" xfId="18" applyNumberFormat="1" applyFont="1" applyBorder="1" applyAlignment="1">
      <alignment horizontal="left" vertical="center"/>
      <protection/>
    </xf>
    <xf numFmtId="3" fontId="12" fillId="0" borderId="36" xfId="18" applyNumberFormat="1" applyFont="1" applyBorder="1" applyAlignment="1">
      <alignment horizontal="left" vertical="center"/>
      <protection/>
    </xf>
    <xf numFmtId="3" fontId="12" fillId="0" borderId="32" xfId="18" applyNumberFormat="1" applyFont="1" applyBorder="1" applyAlignment="1">
      <alignment horizontal="left" vertical="center"/>
      <protection/>
    </xf>
    <xf numFmtId="0" fontId="0" fillId="0" borderId="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3" fontId="12" fillId="0" borderId="38" xfId="18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3" fontId="12" fillId="0" borderId="78" xfId="18" applyNumberFormat="1" applyFont="1" applyBorder="1" applyAlignment="1">
      <alignment horizontal="left" vertical="center" wrapText="1"/>
      <protection/>
    </xf>
    <xf numFmtId="0" fontId="0" fillId="0" borderId="79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12" fillId="0" borderId="90" xfId="18" applyFont="1" applyBorder="1" applyAlignment="1">
      <alignment horizontal="left" vertical="center" wrapText="1"/>
      <protection/>
    </xf>
    <xf numFmtId="0" fontId="0" fillId="0" borderId="112" xfId="0" applyBorder="1" applyAlignment="1">
      <alignment horizontal="left" vertical="center" wrapText="1"/>
    </xf>
    <xf numFmtId="0" fontId="0" fillId="0" borderId="113" xfId="0" applyBorder="1" applyAlignment="1">
      <alignment horizontal="left" vertical="center" wrapText="1"/>
    </xf>
    <xf numFmtId="0" fontId="12" fillId="0" borderId="90" xfId="18" applyFont="1" applyBorder="1" applyAlignment="1">
      <alignment horizontal="left" vertical="center"/>
      <protection/>
    </xf>
    <xf numFmtId="0" fontId="0" fillId="0" borderId="112" xfId="0" applyBorder="1" applyAlignment="1">
      <alignment horizontal="left" vertical="center"/>
    </xf>
    <xf numFmtId="0" fontId="0" fillId="0" borderId="113" xfId="0" applyBorder="1" applyAlignment="1">
      <alignment horizontal="left" vertical="center"/>
    </xf>
    <xf numFmtId="0" fontId="12" fillId="0" borderId="78" xfId="18" applyFont="1" applyBorder="1" applyAlignment="1">
      <alignment horizontal="left" vertical="center" wrapText="1"/>
      <protection/>
    </xf>
    <xf numFmtId="0" fontId="31" fillId="0" borderId="0" xfId="18" applyFont="1" applyAlignment="1">
      <alignment horizontal="center"/>
      <protection/>
    </xf>
    <xf numFmtId="0" fontId="11" fillId="0" borderId="114" xfId="18" applyFont="1" applyBorder="1" applyAlignment="1">
      <alignment horizontal="center"/>
      <protection/>
    </xf>
    <xf numFmtId="0" fontId="11" fillId="0" borderId="61" xfId="18" applyFont="1" applyBorder="1" applyAlignment="1">
      <alignment horizontal="center"/>
      <protection/>
    </xf>
    <xf numFmtId="0" fontId="11" fillId="0" borderId="23" xfId="18" applyFont="1" applyBorder="1" applyAlignment="1">
      <alignment horizontal="center"/>
      <protection/>
    </xf>
    <xf numFmtId="0" fontId="12" fillId="0" borderId="89" xfId="18" applyFont="1" applyBorder="1" applyAlignment="1">
      <alignment horizontal="left"/>
      <protection/>
    </xf>
    <xf numFmtId="0" fontId="12" fillId="0" borderId="18" xfId="18" applyFont="1" applyBorder="1" applyAlignment="1">
      <alignment horizontal="left"/>
      <protection/>
    </xf>
    <xf numFmtId="0" fontId="12" fillId="0" borderId="41" xfId="18" applyFont="1" applyBorder="1" applyAlignment="1">
      <alignment horizontal="left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2" borderId="56" xfId="18" applyFont="1" applyFill="1" applyBorder="1" applyAlignment="1">
      <alignment horizontal="center" vertical="center" wrapText="1"/>
      <protection/>
    </xf>
    <xf numFmtId="0" fontId="11" fillId="2" borderId="15" xfId="18" applyFont="1" applyFill="1" applyBorder="1" applyAlignment="1">
      <alignment horizontal="center" vertical="center"/>
      <protection/>
    </xf>
    <xf numFmtId="0" fontId="11" fillId="2" borderId="59" xfId="18" applyFont="1" applyFill="1" applyBorder="1" applyAlignment="1">
      <alignment horizontal="center" vertical="center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11" fillId="2" borderId="56" xfId="18" applyFont="1" applyFill="1" applyBorder="1" applyAlignment="1">
      <alignment horizontal="center" vertical="center"/>
      <protection/>
    </xf>
    <xf numFmtId="0" fontId="11" fillId="2" borderId="30" xfId="18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2" borderId="27" xfId="18" applyFont="1" applyFill="1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11" fillId="2" borderId="30" xfId="18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13" xfId="18" applyFont="1" applyBorder="1" applyAlignment="1">
      <alignment horizontal="center"/>
      <protection/>
    </xf>
    <xf numFmtId="0" fontId="11" fillId="0" borderId="14" xfId="18" applyFont="1" applyBorder="1" applyAlignment="1">
      <alignment horizontal="center"/>
      <protection/>
    </xf>
    <xf numFmtId="0" fontId="23" fillId="0" borderId="0" xfId="18" applyFont="1" applyAlignment="1">
      <alignment horizontal="left"/>
      <protection/>
    </xf>
    <xf numFmtId="0" fontId="12" fillId="0" borderId="115" xfId="18" applyFont="1" applyBorder="1" applyAlignment="1">
      <alignment horizontal="center" vertical="center"/>
      <protection/>
    </xf>
    <xf numFmtId="0" fontId="12" fillId="0" borderId="51" xfId="18" applyFont="1" applyBorder="1" applyAlignment="1">
      <alignment horizontal="center" vertical="center"/>
      <protection/>
    </xf>
    <xf numFmtId="0" fontId="12" fillId="0" borderId="97" xfId="18" applyFont="1" applyBorder="1" applyAlignment="1">
      <alignment horizontal="center" vertical="center"/>
      <protection/>
    </xf>
    <xf numFmtId="0" fontId="12" fillId="0" borderId="47" xfId="18" applyFont="1" applyBorder="1" applyAlignment="1">
      <alignment horizontal="center" vertical="center"/>
      <protection/>
    </xf>
    <xf numFmtId="0" fontId="12" fillId="0" borderId="90" xfId="18" applyFont="1" applyBorder="1" applyAlignment="1">
      <alignment horizontal="left" vertical="top" wrapText="1"/>
      <protection/>
    </xf>
    <xf numFmtId="0" fontId="12" fillId="0" borderId="112" xfId="18" applyFont="1" applyBorder="1" applyAlignment="1">
      <alignment horizontal="left" vertical="top" wrapText="1"/>
      <protection/>
    </xf>
    <xf numFmtId="0" fontId="12" fillId="0" borderId="113" xfId="18" applyFont="1" applyBorder="1" applyAlignment="1">
      <alignment horizontal="left" vertical="top" wrapText="1"/>
      <protection/>
    </xf>
    <xf numFmtId="0" fontId="12" fillId="0" borderId="90" xfId="18" applyFont="1" applyBorder="1" applyAlignment="1">
      <alignment horizontal="left"/>
      <protection/>
    </xf>
    <xf numFmtId="0" fontId="12" fillId="0" borderId="112" xfId="18" applyFont="1" applyBorder="1" applyAlignment="1">
      <alignment horizontal="left"/>
      <protection/>
    </xf>
    <xf numFmtId="0" fontId="12" fillId="0" borderId="113" xfId="18" applyFont="1" applyBorder="1" applyAlignment="1">
      <alignment horizontal="left"/>
      <protection/>
    </xf>
    <xf numFmtId="0" fontId="5" fillId="0" borderId="0" xfId="0" applyFont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2" borderId="11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67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8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right" vertical="top" wrapText="1"/>
    </xf>
    <xf numFmtId="0" fontId="15" fillId="0" borderId="19" xfId="0" applyFont="1" applyBorder="1" applyAlignment="1">
      <alignment horizontal="right" vertical="top" wrapText="1"/>
    </xf>
    <xf numFmtId="0" fontId="15" fillId="0" borderId="8" xfId="0" applyFont="1" applyBorder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4" fillId="2" borderId="1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117" xfId="0" applyFont="1" applyFill="1" applyBorder="1" applyAlignment="1">
      <alignment horizontal="center" vertical="center" wrapText="1"/>
    </xf>
    <xf numFmtId="0" fontId="4" fillId="2" borderId="106" xfId="0" applyFont="1" applyFill="1" applyBorder="1" applyAlignment="1">
      <alignment horizontal="center" vertical="center" wrapText="1"/>
    </xf>
    <xf numFmtId="0" fontId="4" fillId="2" borderId="117" xfId="0" applyFont="1" applyFill="1" applyBorder="1" applyAlignment="1">
      <alignment horizontal="center" vertical="center"/>
    </xf>
    <xf numFmtId="0" fontId="4" fillId="2" borderId="10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a&#322;&#261;czniki%20do%20uchwa&#322;y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je%20dokumenty\Uchwa&#322;y%202006\Uch.%20Zarz.%20Zmien.%2031.10.06\Za&#322;&#261;czniki%20na%20sesje%2024.10.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DATKI Zał.2"/>
      <sheetName val="WYDATKI ukł.wyk."/>
      <sheetName val="Dochody-ukł.wykon."/>
      <sheetName val="Wielol. progr."/>
      <sheetName val="Zadania inwest."/>
      <sheetName val="Wydatki na programy z unii"/>
      <sheetName val="Źrodla fin. "/>
      <sheetName val="Doch.i wyd..zlec.zał.3"/>
      <sheetName val="Wspolne 232-4"/>
      <sheetName val="Gosp.pomoc. 9"/>
      <sheetName val="Stowarzyszenia 10"/>
      <sheetName val="PFOŚiGW 11"/>
      <sheetName val="PFGZGiK 12"/>
      <sheetName val="Prognoza dł. 8"/>
      <sheetName val="wydatki-dotacje5"/>
    </sheetNames>
    <sheetDataSet>
      <sheetData sheetId="1">
        <row r="17">
          <cell r="F17">
            <v>25000</v>
          </cell>
        </row>
        <row r="19">
          <cell r="F19">
            <v>18013</v>
          </cell>
        </row>
        <row r="20">
          <cell r="F20">
            <v>18013</v>
          </cell>
        </row>
        <row r="23">
          <cell r="F23">
            <v>188635</v>
          </cell>
        </row>
        <row r="24">
          <cell r="F24">
            <v>188635</v>
          </cell>
        </row>
        <row r="26">
          <cell r="F26">
            <v>4700</v>
          </cell>
        </row>
        <row r="80">
          <cell r="F80">
            <v>39500</v>
          </cell>
        </row>
        <row r="81">
          <cell r="F81">
            <v>500</v>
          </cell>
        </row>
        <row r="84">
          <cell r="F84">
            <v>14000</v>
          </cell>
        </row>
        <row r="87">
          <cell r="F87">
            <v>121407</v>
          </cell>
        </row>
        <row r="88">
          <cell r="F88">
            <v>9723</v>
          </cell>
        </row>
        <row r="89">
          <cell r="F89">
            <v>23335</v>
          </cell>
        </row>
        <row r="90">
          <cell r="F90">
            <v>3166</v>
          </cell>
        </row>
        <row r="91">
          <cell r="F91">
            <v>2200</v>
          </cell>
        </row>
        <row r="92">
          <cell r="F92">
            <v>11422</v>
          </cell>
        </row>
        <row r="93">
          <cell r="F93">
            <v>2200</v>
          </cell>
        </row>
        <row r="94">
          <cell r="F94">
            <v>100</v>
          </cell>
        </row>
        <row r="95">
          <cell r="F95">
            <v>14811</v>
          </cell>
        </row>
        <row r="96">
          <cell r="F96">
            <v>1200</v>
          </cell>
        </row>
        <row r="97">
          <cell r="F97">
            <v>5400</v>
          </cell>
        </row>
        <row r="98">
          <cell r="F98">
            <v>6000</v>
          </cell>
        </row>
        <row r="99">
          <cell r="F99">
            <v>2500</v>
          </cell>
        </row>
        <row r="100">
          <cell r="F100">
            <v>1900</v>
          </cell>
        </row>
        <row r="101">
          <cell r="F101">
            <v>3500</v>
          </cell>
        </row>
        <row r="162">
          <cell r="F162">
            <v>1350</v>
          </cell>
        </row>
        <row r="163">
          <cell r="F163">
            <v>910</v>
          </cell>
        </row>
        <row r="164">
          <cell r="F164">
            <v>140</v>
          </cell>
        </row>
        <row r="165">
          <cell r="F165">
            <v>7000</v>
          </cell>
        </row>
        <row r="166">
          <cell r="F166">
            <v>4350</v>
          </cell>
        </row>
        <row r="167">
          <cell r="F167">
            <v>2300</v>
          </cell>
        </row>
        <row r="168">
          <cell r="F168">
            <v>400</v>
          </cell>
        </row>
        <row r="169">
          <cell r="F169">
            <v>200</v>
          </cell>
        </row>
        <row r="170">
          <cell r="F170">
            <v>200</v>
          </cell>
        </row>
        <row r="171">
          <cell r="F171">
            <v>150</v>
          </cell>
        </row>
        <row r="198">
          <cell r="F198">
            <v>1000</v>
          </cell>
        </row>
        <row r="359">
          <cell r="F359">
            <v>3238000</v>
          </cell>
        </row>
        <row r="421">
          <cell r="F421">
            <v>118823</v>
          </cell>
        </row>
        <row r="422">
          <cell r="F422">
            <v>7458</v>
          </cell>
        </row>
        <row r="423">
          <cell r="F423">
            <v>22023</v>
          </cell>
        </row>
        <row r="424">
          <cell r="F424">
            <v>3094</v>
          </cell>
        </row>
        <row r="425">
          <cell r="F425">
            <v>71896</v>
          </cell>
        </row>
        <row r="426">
          <cell r="F426">
            <v>23760</v>
          </cell>
        </row>
        <row r="427">
          <cell r="F427">
            <v>1000</v>
          </cell>
        </row>
        <row r="428">
          <cell r="F428">
            <v>6000</v>
          </cell>
        </row>
        <row r="429">
          <cell r="F429">
            <v>3000</v>
          </cell>
        </row>
        <row r="430">
          <cell r="F430">
            <v>400</v>
          </cell>
        </row>
        <row r="431">
          <cell r="F431">
            <v>49996</v>
          </cell>
        </row>
        <row r="432">
          <cell r="F432">
            <v>3000</v>
          </cell>
        </row>
        <row r="433">
          <cell r="F433">
            <v>1500</v>
          </cell>
        </row>
        <row r="434">
          <cell r="F434">
            <v>3200</v>
          </cell>
        </row>
        <row r="435">
          <cell r="F435">
            <v>5350</v>
          </cell>
        </row>
        <row r="436">
          <cell r="F436">
            <v>3000</v>
          </cell>
        </row>
        <row r="437">
          <cell r="F437">
            <v>500</v>
          </cell>
        </row>
        <row r="492">
          <cell r="F492">
            <v>80185</v>
          </cell>
        </row>
        <row r="493">
          <cell r="F493">
            <v>4500</v>
          </cell>
        </row>
        <row r="494">
          <cell r="F494">
            <v>14600</v>
          </cell>
        </row>
        <row r="495">
          <cell r="F495">
            <v>2041</v>
          </cell>
        </row>
        <row r="496">
          <cell r="F496">
            <v>17088</v>
          </cell>
        </row>
        <row r="497">
          <cell r="F497">
            <v>11640</v>
          </cell>
        </row>
        <row r="498">
          <cell r="F498">
            <v>2400</v>
          </cell>
        </row>
        <row r="499">
          <cell r="F499">
            <v>100</v>
          </cell>
        </row>
        <row r="500">
          <cell r="F500">
            <v>171195</v>
          </cell>
        </row>
        <row r="501">
          <cell r="F501">
            <v>4800</v>
          </cell>
        </row>
        <row r="502">
          <cell r="F502">
            <v>3000</v>
          </cell>
        </row>
        <row r="503">
          <cell r="F503">
            <v>700</v>
          </cell>
        </row>
        <row r="504">
          <cell r="F504">
            <v>2751</v>
          </cell>
        </row>
        <row r="505">
          <cell r="F505">
            <v>1500</v>
          </cell>
        </row>
        <row r="506">
          <cell r="F506">
            <v>1500</v>
          </cell>
        </row>
        <row r="507">
          <cell r="F507">
            <v>2000</v>
          </cell>
        </row>
      </sheetData>
      <sheetData sheetId="2">
        <row r="14">
          <cell r="F14">
            <v>25000</v>
          </cell>
        </row>
        <row r="53">
          <cell r="F53">
            <v>26000</v>
          </cell>
        </row>
        <row r="65">
          <cell r="F65">
            <v>40000</v>
          </cell>
        </row>
        <row r="69">
          <cell r="F69">
            <v>14000</v>
          </cell>
        </row>
        <row r="73">
          <cell r="F73">
            <v>208864</v>
          </cell>
        </row>
        <row r="79">
          <cell r="F79">
            <v>154421</v>
          </cell>
        </row>
        <row r="92">
          <cell r="F92">
            <v>17000</v>
          </cell>
        </row>
        <row r="107">
          <cell r="F107">
            <v>1000</v>
          </cell>
        </row>
        <row r="191">
          <cell r="F191">
            <v>3238000</v>
          </cell>
        </row>
        <row r="216">
          <cell r="F216">
            <v>324000</v>
          </cell>
        </row>
        <row r="221">
          <cell r="F221">
            <v>56600</v>
          </cell>
        </row>
        <row r="246">
          <cell r="F246">
            <v>320000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hody zał.1"/>
      <sheetName val="Dochody-ukł.wykon."/>
      <sheetName val="WYDATKI Zał.2"/>
      <sheetName val="WYDATKI ukł.wyk."/>
      <sheetName val="Doch.i wyd..zlec.zał.3"/>
      <sheetName val="Wspolne 232-4"/>
      <sheetName val="Doch. i wyd. adm.-4a"/>
      <sheetName val="wydatki-dotacje5"/>
      <sheetName val="Inwestycje 6"/>
      <sheetName val="Źrodla fin. 7"/>
      <sheetName val="Prognoza dł. 8"/>
      <sheetName val="Gosp.pomoc. 9"/>
      <sheetName val="Stowarzyszenia 10"/>
      <sheetName val="PFOŚiGW 11"/>
      <sheetName val="PFGZGiK 12"/>
      <sheetName val="Dot.podmiot.13"/>
      <sheetName val="Syt.fin. 14"/>
    </sheetNames>
    <sheetDataSet>
      <sheetData sheetId="9">
        <row r="22">
          <cell r="E22">
            <v>927418</v>
          </cell>
        </row>
        <row r="32">
          <cell r="E32">
            <v>522825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7"/>
  <sheetViews>
    <sheetView view="pageBreakPreview" zoomScaleSheetLayoutView="100" workbookViewId="0" topLeftCell="A278">
      <selection activeCell="A294" sqref="A294:IV294"/>
    </sheetView>
  </sheetViews>
  <sheetFormatPr defaultColWidth="9.00390625" defaultRowHeight="12.75"/>
  <cols>
    <col min="1" max="1" width="4.00390625" style="339" bestFit="1" customWidth="1"/>
    <col min="2" max="2" width="6.125" style="313" bestFit="1" customWidth="1"/>
    <col min="3" max="3" width="5.00390625" style="421" bestFit="1" customWidth="1"/>
    <col min="4" max="4" width="47.125" style="313" customWidth="1"/>
    <col min="5" max="5" width="9.75390625" style="313" hidden="1" customWidth="1"/>
    <col min="6" max="6" width="9.75390625" style="313" customWidth="1"/>
    <col min="7" max="7" width="7.25390625" style="313" hidden="1" customWidth="1"/>
    <col min="8" max="9" width="6.25390625" style="313" hidden="1" customWidth="1"/>
    <col min="10" max="10" width="10.125" style="313" bestFit="1" customWidth="1"/>
    <col min="11" max="16384" width="9.125" style="313" customWidth="1"/>
  </cols>
  <sheetData>
    <row r="1" spans="1:7" ht="12.75">
      <c r="A1" s="121"/>
      <c r="B1" s="311"/>
      <c r="C1" s="312"/>
      <c r="D1" s="311"/>
      <c r="G1" s="121" t="s">
        <v>631</v>
      </c>
    </row>
    <row r="2" spans="1:7" ht="12.75">
      <c r="A2" s="121"/>
      <c r="B2" s="311"/>
      <c r="C2" s="312"/>
      <c r="D2" s="311"/>
      <c r="G2" s="121" t="s">
        <v>868</v>
      </c>
    </row>
    <row r="3" spans="1:7" ht="12.75">
      <c r="A3" s="121"/>
      <c r="B3" s="311"/>
      <c r="C3" s="312"/>
      <c r="D3" s="311"/>
      <c r="G3" s="121" t="s">
        <v>826</v>
      </c>
    </row>
    <row r="4" spans="1:7" ht="12.75">
      <c r="A4" s="121"/>
      <c r="B4" s="311"/>
      <c r="C4" s="312"/>
      <c r="D4" s="311"/>
      <c r="G4" s="121" t="s">
        <v>869</v>
      </c>
    </row>
    <row r="5" spans="1:4" ht="18" customHeight="1">
      <c r="A5" s="121"/>
      <c r="B5" s="311"/>
      <c r="C5" s="312"/>
      <c r="D5" s="311"/>
    </row>
    <row r="6" spans="1:9" ht="17.25" customHeight="1">
      <c r="A6" s="1009" t="s">
        <v>22</v>
      </c>
      <c r="B6" s="1009"/>
      <c r="C6" s="1009"/>
      <c r="D6" s="1009"/>
      <c r="E6" s="1009"/>
      <c r="F6" s="1009"/>
      <c r="G6" s="1009"/>
      <c r="H6" s="1009"/>
      <c r="I6" s="1009"/>
    </row>
    <row r="7" spans="1:9" ht="13.5" thickBot="1">
      <c r="A7" s="1010" t="s">
        <v>870</v>
      </c>
      <c r="B7" s="1010"/>
      <c r="C7" s="1010"/>
      <c r="D7" s="1010"/>
      <c r="E7" s="1010"/>
      <c r="F7" s="1010"/>
      <c r="G7" s="1010"/>
      <c r="H7" s="1010"/>
      <c r="I7" s="1010"/>
    </row>
    <row r="8" spans="1:9" ht="14.25" customHeight="1">
      <c r="A8" s="1022" t="s">
        <v>635</v>
      </c>
      <c r="B8" s="1025" t="s">
        <v>433</v>
      </c>
      <c r="C8" s="1025" t="s">
        <v>397</v>
      </c>
      <c r="D8" s="1025" t="s">
        <v>636</v>
      </c>
      <c r="E8" s="1006" t="s">
        <v>871</v>
      </c>
      <c r="F8" s="1016" t="s">
        <v>450</v>
      </c>
      <c r="G8" s="1019" t="s">
        <v>872</v>
      </c>
      <c r="H8" s="1011" t="s">
        <v>873</v>
      </c>
      <c r="I8" s="1012"/>
    </row>
    <row r="9" spans="1:9" s="314" customFormat="1" ht="12.75" customHeight="1">
      <c r="A9" s="1023"/>
      <c r="B9" s="1026"/>
      <c r="C9" s="1026"/>
      <c r="D9" s="1026"/>
      <c r="E9" s="1007"/>
      <c r="F9" s="1017"/>
      <c r="G9" s="1020"/>
      <c r="H9" s="1004" t="s">
        <v>874</v>
      </c>
      <c r="I9" s="1005" t="s">
        <v>875</v>
      </c>
    </row>
    <row r="10" spans="1:9" s="314" customFormat="1" ht="12.75" customHeight="1" thickBot="1">
      <c r="A10" s="1024"/>
      <c r="B10" s="1027"/>
      <c r="C10" s="1027"/>
      <c r="D10" s="1027"/>
      <c r="E10" s="1008"/>
      <c r="F10" s="1018"/>
      <c r="G10" s="1021"/>
      <c r="H10" s="1004"/>
      <c r="I10" s="1005"/>
    </row>
    <row r="11" spans="1:9" ht="9" customHeight="1" thickBot="1">
      <c r="A11" s="315">
        <v>1</v>
      </c>
      <c r="B11" s="316">
        <v>2</v>
      </c>
      <c r="C11" s="316">
        <v>3</v>
      </c>
      <c r="D11" s="316">
        <v>4</v>
      </c>
      <c r="E11" s="317">
        <v>5</v>
      </c>
      <c r="F11" s="316">
        <v>6</v>
      </c>
      <c r="G11" s="318">
        <v>7</v>
      </c>
      <c r="H11" s="317">
        <v>8</v>
      </c>
      <c r="I11" s="319">
        <v>9</v>
      </c>
    </row>
    <row r="12" spans="1:10" s="329" customFormat="1" ht="24" customHeight="1" thickBot="1">
      <c r="A12" s="320" t="s">
        <v>616</v>
      </c>
      <c r="B12" s="321"/>
      <c r="C12" s="321"/>
      <c r="D12" s="322" t="s">
        <v>617</v>
      </c>
      <c r="E12" s="323">
        <f>E13+E17</f>
        <v>60646</v>
      </c>
      <c r="F12" s="324">
        <f>F13+F17</f>
        <v>43013</v>
      </c>
      <c r="G12" s="325">
        <f>F12/E12*100</f>
        <v>70.92471061570426</v>
      </c>
      <c r="H12" s="326">
        <f>E12/$E$283*100</f>
        <v>0.16161148227649996</v>
      </c>
      <c r="I12" s="327">
        <f>F12/$F$283*100</f>
        <v>0.12131764164348695</v>
      </c>
      <c r="J12" s="328"/>
    </row>
    <row r="13" spans="1:10" ht="13.5" thickBot="1">
      <c r="A13" s="330"/>
      <c r="B13" s="331" t="s">
        <v>619</v>
      </c>
      <c r="C13" s="332"/>
      <c r="D13" s="333" t="s">
        <v>618</v>
      </c>
      <c r="E13" s="334">
        <f>E14</f>
        <v>44000</v>
      </c>
      <c r="F13" s="335">
        <f>F14</f>
        <v>25000</v>
      </c>
      <c r="G13" s="336">
        <f>F13/E13*100</f>
        <v>56.81818181818182</v>
      </c>
      <c r="H13" s="337">
        <f>E13/$E$283*100</f>
        <v>0.11725266662543281</v>
      </c>
      <c r="I13" s="338">
        <f>F13/$F$283*100</f>
        <v>0.07051219494309102</v>
      </c>
      <c r="J13" s="339"/>
    </row>
    <row r="14" spans="1:10" ht="13.5" customHeight="1">
      <c r="A14" s="330"/>
      <c r="B14" s="340"/>
      <c r="C14" s="341" t="s">
        <v>876</v>
      </c>
      <c r="D14" s="178" t="s">
        <v>877</v>
      </c>
      <c r="E14" s="342">
        <v>44000</v>
      </c>
      <c r="F14" s="343">
        <v>25000</v>
      </c>
      <c r="G14" s="344">
        <f>F14/E14*100</f>
        <v>56.81818181818182</v>
      </c>
      <c r="H14" s="345">
        <f>E14/$E$283*100</f>
        <v>0.11725266662543281</v>
      </c>
      <c r="I14" s="346">
        <f>F14/$F$283*100</f>
        <v>0.07051219494309102</v>
      </c>
      <c r="J14" s="339"/>
    </row>
    <row r="15" spans="1:10" ht="13.5" customHeight="1">
      <c r="A15" s="330"/>
      <c r="B15" s="340"/>
      <c r="C15" s="341"/>
      <c r="D15" s="347" t="s">
        <v>878</v>
      </c>
      <c r="E15" s="342"/>
      <c r="F15" s="343"/>
      <c r="G15" s="344"/>
      <c r="H15" s="345"/>
      <c r="I15" s="346"/>
      <c r="J15" s="339"/>
    </row>
    <row r="16" spans="1:10" ht="12" customHeight="1">
      <c r="A16" s="330"/>
      <c r="B16" s="340"/>
      <c r="C16" s="341"/>
      <c r="D16" s="348"/>
      <c r="E16" s="342"/>
      <c r="F16" s="343"/>
      <c r="G16" s="344"/>
      <c r="H16" s="345"/>
      <c r="I16" s="346"/>
      <c r="J16" s="339"/>
    </row>
    <row r="17" spans="1:10" ht="13.5" customHeight="1" thickBot="1">
      <c r="A17" s="330"/>
      <c r="B17" s="349" t="s">
        <v>620</v>
      </c>
      <c r="C17" s="350"/>
      <c r="D17" s="351" t="s">
        <v>621</v>
      </c>
      <c r="E17" s="352">
        <f>E18</f>
        <v>16646</v>
      </c>
      <c r="F17" s="343">
        <f>F18</f>
        <v>18013</v>
      </c>
      <c r="G17" s="353">
        <f>F17/E17*100</f>
        <v>108.21218310705274</v>
      </c>
      <c r="H17" s="354">
        <f>E17/$E$283*100</f>
        <v>0.044358815651067154</v>
      </c>
      <c r="I17" s="355">
        <f>F17/$F$283*100</f>
        <v>0.05080544670039595</v>
      </c>
      <c r="J17" s="339"/>
    </row>
    <row r="18" spans="1:10" ht="13.5" customHeight="1">
      <c r="A18" s="330"/>
      <c r="B18" s="340"/>
      <c r="C18" s="341" t="s">
        <v>879</v>
      </c>
      <c r="D18" s="178" t="s">
        <v>880</v>
      </c>
      <c r="E18" s="356">
        <v>16646</v>
      </c>
      <c r="F18" s="357">
        <v>18013</v>
      </c>
      <c r="G18" s="344">
        <f>F18/E18*100</f>
        <v>108.21218310705274</v>
      </c>
      <c r="H18" s="345">
        <f>E18/$E$283*100</f>
        <v>0.044358815651067154</v>
      </c>
      <c r="I18" s="346">
        <f>F18/$F$283*100</f>
        <v>0.05080544670039595</v>
      </c>
      <c r="J18" s="339"/>
    </row>
    <row r="19" spans="1:10" ht="13.5" customHeight="1">
      <c r="A19" s="330"/>
      <c r="B19" s="340"/>
      <c r="C19" s="341"/>
      <c r="D19" s="178" t="s">
        <v>881</v>
      </c>
      <c r="E19" s="356"/>
      <c r="F19" s="343"/>
      <c r="G19" s="344"/>
      <c r="H19" s="345"/>
      <c r="I19" s="346"/>
      <c r="J19" s="339"/>
    </row>
    <row r="20" spans="1:10" ht="12" customHeight="1">
      <c r="A20" s="330"/>
      <c r="B20" s="358"/>
      <c r="C20" s="358"/>
      <c r="D20" s="340"/>
      <c r="E20" s="342"/>
      <c r="F20" s="343"/>
      <c r="G20" s="344"/>
      <c r="H20" s="345"/>
      <c r="I20" s="346"/>
      <c r="J20" s="339"/>
    </row>
    <row r="21" spans="1:10" s="329" customFormat="1" ht="13.5" thickBot="1">
      <c r="A21" s="320" t="s">
        <v>622</v>
      </c>
      <c r="B21" s="321"/>
      <c r="C21" s="321"/>
      <c r="D21" s="175" t="s">
        <v>623</v>
      </c>
      <c r="E21" s="323">
        <f>E22</f>
        <v>188635</v>
      </c>
      <c r="F21" s="359">
        <f>F22</f>
        <v>188635</v>
      </c>
      <c r="G21" s="360">
        <f>F21/E21*100</f>
        <v>100</v>
      </c>
      <c r="H21" s="361">
        <f>E21/$E$283*100</f>
        <v>0.5026808356565572</v>
      </c>
      <c r="I21" s="362">
        <f>F21/$F$283*100</f>
        <v>0.532042715723599</v>
      </c>
      <c r="J21" s="328"/>
    </row>
    <row r="22" spans="1:10" ht="13.5" thickBot="1">
      <c r="A22" s="363"/>
      <c r="B22" s="331" t="s">
        <v>624</v>
      </c>
      <c r="C22" s="364"/>
      <c r="D22" s="365" t="s">
        <v>882</v>
      </c>
      <c r="E22" s="334">
        <f>SUM(E23)</f>
        <v>188635</v>
      </c>
      <c r="F22" s="343">
        <f>SUM(F23)</f>
        <v>188635</v>
      </c>
      <c r="G22" s="336">
        <f>F22/E22*100</f>
        <v>100</v>
      </c>
      <c r="H22" s="337">
        <f>E22/$E$283*100</f>
        <v>0.5026808356565572</v>
      </c>
      <c r="I22" s="338">
        <f>F22/$F$283*100</f>
        <v>0.532042715723599</v>
      </c>
      <c r="J22" s="339"/>
    </row>
    <row r="23" spans="1:10" ht="12.75" customHeight="1">
      <c r="A23" s="363"/>
      <c r="B23" s="366"/>
      <c r="C23" s="340">
        <v>2460</v>
      </c>
      <c r="D23" s="367" t="s">
        <v>883</v>
      </c>
      <c r="E23" s="342">
        <v>188635</v>
      </c>
      <c r="F23" s="357">
        <v>188635</v>
      </c>
      <c r="G23" s="344">
        <f>F23/E23*100</f>
        <v>100</v>
      </c>
      <c r="H23" s="345">
        <f>E23/$E$283*100</f>
        <v>0.5026808356565572</v>
      </c>
      <c r="I23" s="346">
        <f>F23/$F$283*100</f>
        <v>0.532042715723599</v>
      </c>
      <c r="J23" s="339"/>
    </row>
    <row r="24" spans="1:10" ht="12.75" customHeight="1">
      <c r="A24" s="363"/>
      <c r="B24" s="368"/>
      <c r="C24" s="340"/>
      <c r="D24" s="348"/>
      <c r="E24" s="342"/>
      <c r="F24" s="343"/>
      <c r="G24" s="344"/>
      <c r="H24" s="345"/>
      <c r="I24" s="346"/>
      <c r="J24" s="339"/>
    </row>
    <row r="25" spans="1:10" s="329" customFormat="1" ht="13.5" thickBot="1">
      <c r="A25" s="369">
        <v>600</v>
      </c>
      <c r="B25" s="321"/>
      <c r="C25" s="370"/>
      <c r="D25" s="175" t="s">
        <v>627</v>
      </c>
      <c r="E25" s="323">
        <f>SUM(E26,E34,E40)</f>
        <v>567382</v>
      </c>
      <c r="F25" s="323">
        <f>SUM(F26,F34,F40)</f>
        <v>134880</v>
      </c>
      <c r="G25" s="360">
        <f>F25/E25*100</f>
        <v>23.772343852994986</v>
      </c>
      <c r="H25" s="361">
        <f>E25/$E$283*100</f>
        <v>1.511978465801621</v>
      </c>
      <c r="I25" s="362">
        <f>F25/$F$283*100</f>
        <v>0.38042739415696464</v>
      </c>
      <c r="J25" s="328"/>
    </row>
    <row r="26" spans="1:10" ht="13.5" thickBot="1">
      <c r="A26" s="371"/>
      <c r="B26" s="372">
        <v>60014</v>
      </c>
      <c r="C26" s="373"/>
      <c r="D26" s="365" t="s">
        <v>630</v>
      </c>
      <c r="E26" s="334">
        <f>SUM(E27:E31)</f>
        <v>391127</v>
      </c>
      <c r="F26" s="334">
        <f>SUM(F27:F31)</f>
        <v>134880</v>
      </c>
      <c r="G26" s="336">
        <f>F26/E26*100</f>
        <v>34.484962684754564</v>
      </c>
      <c r="H26" s="337">
        <f>E26/$E$283*100</f>
        <v>1.0422882668001285</v>
      </c>
      <c r="I26" s="338">
        <f>F26/$F$283*100</f>
        <v>0.38042739415696464</v>
      </c>
      <c r="J26" s="339"/>
    </row>
    <row r="27" spans="1:10" ht="12.75">
      <c r="A27" s="371"/>
      <c r="B27" s="340"/>
      <c r="C27" s="341" t="s">
        <v>884</v>
      </c>
      <c r="D27" s="178" t="s">
        <v>885</v>
      </c>
      <c r="E27" s="342">
        <v>160000</v>
      </c>
      <c r="F27" s="343">
        <v>100000</v>
      </c>
      <c r="G27" s="344">
        <f>F27/E27*100</f>
        <v>62.5</v>
      </c>
      <c r="H27" s="345">
        <f>E27/$E$283*100</f>
        <v>0.426373333183392</v>
      </c>
      <c r="I27" s="346">
        <f>F27/$F$283*100</f>
        <v>0.2820487797723641</v>
      </c>
      <c r="J27" s="339"/>
    </row>
    <row r="28" spans="1:10" ht="12.75" customHeight="1">
      <c r="A28" s="371"/>
      <c r="B28" s="358"/>
      <c r="C28" s="341" t="s">
        <v>879</v>
      </c>
      <c r="D28" s="178" t="s">
        <v>880</v>
      </c>
      <c r="E28" s="342">
        <v>36000</v>
      </c>
      <c r="F28" s="343">
        <v>32880</v>
      </c>
      <c r="G28" s="344">
        <f>F28/E28*100</f>
        <v>91.33333333333333</v>
      </c>
      <c r="H28" s="345">
        <f>E28/$E$283*100</f>
        <v>0.09593399996626321</v>
      </c>
      <c r="I28" s="346">
        <f>F28/$F$283*100</f>
        <v>0.09273763878915331</v>
      </c>
      <c r="J28" s="339"/>
    </row>
    <row r="29" spans="1:10" ht="12.75" customHeight="1">
      <c r="A29" s="371"/>
      <c r="B29" s="358"/>
      <c r="C29" s="341"/>
      <c r="D29" s="178" t="s">
        <v>881</v>
      </c>
      <c r="E29" s="342"/>
      <c r="F29" s="343"/>
      <c r="G29" s="344"/>
      <c r="H29" s="345"/>
      <c r="I29" s="346"/>
      <c r="J29" s="339"/>
    </row>
    <row r="30" spans="1:10" ht="12.75" customHeight="1">
      <c r="A30" s="371"/>
      <c r="B30" s="358"/>
      <c r="C30" s="341" t="s">
        <v>886</v>
      </c>
      <c r="D30" s="121" t="s">
        <v>887</v>
      </c>
      <c r="E30" s="342">
        <v>170127</v>
      </c>
      <c r="F30" s="343">
        <v>2000</v>
      </c>
      <c r="G30" s="344">
        <f>F30/E30*100</f>
        <v>1.1755923515961604</v>
      </c>
      <c r="H30" s="345">
        <f>E30/$E$283*100</f>
        <v>0.4533601003405684</v>
      </c>
      <c r="I30" s="346">
        <f>F30/$F$283*100</f>
        <v>0.005640975595447281</v>
      </c>
      <c r="J30" s="339"/>
    </row>
    <row r="31" spans="1:10" ht="12.75" customHeight="1" hidden="1">
      <c r="A31" s="371"/>
      <c r="B31" s="358"/>
      <c r="C31" s="341" t="s">
        <v>888</v>
      </c>
      <c r="D31" s="121" t="s">
        <v>889</v>
      </c>
      <c r="E31" s="342">
        <v>25000</v>
      </c>
      <c r="F31" s="343">
        <v>0</v>
      </c>
      <c r="G31" s="344">
        <f>F31/E31*100</f>
        <v>0</v>
      </c>
      <c r="H31" s="345">
        <f>E31/$E$283*100</f>
        <v>0.06662083330990501</v>
      </c>
      <c r="I31" s="346">
        <f>F31/$F$283*100</f>
        <v>0</v>
      </c>
      <c r="J31" s="339"/>
    </row>
    <row r="32" spans="1:10" ht="12.75" customHeight="1" hidden="1">
      <c r="A32" s="371"/>
      <c r="B32" s="358"/>
      <c r="C32" s="341"/>
      <c r="D32" s="347" t="s">
        <v>890</v>
      </c>
      <c r="E32" s="342"/>
      <c r="F32" s="343"/>
      <c r="G32" s="344"/>
      <c r="H32" s="345"/>
      <c r="I32" s="346"/>
      <c r="J32" s="339"/>
    </row>
    <row r="33" spans="1:10" ht="12.75" customHeight="1">
      <c r="A33" s="371"/>
      <c r="B33" s="358"/>
      <c r="C33" s="341"/>
      <c r="D33" s="121"/>
      <c r="E33" s="342"/>
      <c r="F33" s="343"/>
      <c r="G33" s="344"/>
      <c r="H33" s="345"/>
      <c r="I33" s="346"/>
      <c r="J33" s="339"/>
    </row>
    <row r="34" spans="1:10" ht="12.75" customHeight="1" hidden="1" thickBot="1">
      <c r="A34" s="371"/>
      <c r="B34" s="374">
        <v>60078</v>
      </c>
      <c r="C34" s="350"/>
      <c r="D34" s="375" t="s">
        <v>670</v>
      </c>
      <c r="E34" s="376">
        <f>E35+E37</f>
        <v>170000</v>
      </c>
      <c r="F34" s="377">
        <f>F35+F37</f>
        <v>0</v>
      </c>
      <c r="G34" s="353">
        <f>F34/E34*100</f>
        <v>0</v>
      </c>
      <c r="H34" s="354">
        <f>E34/$E$283*100</f>
        <v>0.45302166650735404</v>
      </c>
      <c r="I34" s="355">
        <f>F34/$F$283*100</f>
        <v>0</v>
      </c>
      <c r="J34" s="339"/>
    </row>
    <row r="35" spans="1:10" ht="12.75" customHeight="1" hidden="1">
      <c r="A35" s="371"/>
      <c r="B35" s="340"/>
      <c r="C35" s="341" t="s">
        <v>891</v>
      </c>
      <c r="D35" s="121" t="s">
        <v>892</v>
      </c>
      <c r="E35" s="342">
        <v>20000</v>
      </c>
      <c r="F35" s="343">
        <v>0</v>
      </c>
      <c r="G35" s="344">
        <f>F35/E35*100</f>
        <v>0</v>
      </c>
      <c r="H35" s="345">
        <f>E35/$E$283*100</f>
        <v>0.053296666647924</v>
      </c>
      <c r="I35" s="346">
        <f>F35/$F$283*100</f>
        <v>0</v>
      </c>
      <c r="J35" s="339"/>
    </row>
    <row r="36" spans="1:10" ht="12.75" customHeight="1" hidden="1">
      <c r="A36" s="371"/>
      <c r="B36" s="340"/>
      <c r="C36" s="341"/>
      <c r="D36" s="347" t="s">
        <v>893</v>
      </c>
      <c r="E36" s="342"/>
      <c r="F36" s="343"/>
      <c r="G36" s="344"/>
      <c r="H36" s="345"/>
      <c r="I36" s="346"/>
      <c r="J36" s="339"/>
    </row>
    <row r="37" spans="1:10" ht="12.75" customHeight="1" hidden="1">
      <c r="A37" s="371"/>
      <c r="B37" s="340"/>
      <c r="C37" s="341" t="s">
        <v>894</v>
      </c>
      <c r="D37" s="121" t="s">
        <v>895</v>
      </c>
      <c r="E37" s="342">
        <v>150000</v>
      </c>
      <c r="F37" s="343">
        <v>0</v>
      </c>
      <c r="G37" s="344">
        <f>F37/E37*100</f>
        <v>0</v>
      </c>
      <c r="H37" s="345">
        <f>E37/$E$283*100</f>
        <v>0.39972499985943005</v>
      </c>
      <c r="I37" s="346">
        <f>F37/$F$283*100</f>
        <v>0</v>
      </c>
      <c r="J37" s="339"/>
    </row>
    <row r="38" spans="1:10" ht="12.75" customHeight="1" hidden="1">
      <c r="A38" s="371"/>
      <c r="B38" s="340"/>
      <c r="C38" s="341"/>
      <c r="D38" s="121" t="s">
        <v>896</v>
      </c>
      <c r="E38" s="342"/>
      <c r="F38" s="343"/>
      <c r="G38" s="344"/>
      <c r="H38" s="345"/>
      <c r="I38" s="346"/>
      <c r="J38" s="339"/>
    </row>
    <row r="39" spans="1:10" ht="12.75" customHeight="1" hidden="1">
      <c r="A39" s="371"/>
      <c r="B39" s="340"/>
      <c r="C39" s="341"/>
      <c r="D39" s="121"/>
      <c r="E39" s="342"/>
      <c r="F39" s="343"/>
      <c r="G39" s="344"/>
      <c r="H39" s="345"/>
      <c r="I39" s="346"/>
      <c r="J39" s="339"/>
    </row>
    <row r="40" spans="1:10" ht="12.75" customHeight="1" hidden="1" thickBot="1">
      <c r="A40" s="371"/>
      <c r="B40" s="374">
        <v>60095</v>
      </c>
      <c r="C40" s="350"/>
      <c r="D40" s="375" t="s">
        <v>621</v>
      </c>
      <c r="E40" s="376">
        <f>E41</f>
        <v>6255</v>
      </c>
      <c r="F40" s="377">
        <f>F41</f>
        <v>0</v>
      </c>
      <c r="G40" s="353">
        <f>F40/E40*100</f>
        <v>0</v>
      </c>
      <c r="H40" s="354">
        <f>E40/$E$283*100</f>
        <v>0.016668532494138234</v>
      </c>
      <c r="I40" s="355">
        <f>F40/$F$283*100</f>
        <v>0</v>
      </c>
      <c r="J40" s="339"/>
    </row>
    <row r="41" spans="1:10" ht="12.75" customHeight="1" hidden="1">
      <c r="A41" s="371"/>
      <c r="B41" s="340"/>
      <c r="C41" s="341" t="s">
        <v>886</v>
      </c>
      <c r="D41" s="121" t="s">
        <v>887</v>
      </c>
      <c r="E41" s="342">
        <v>6255</v>
      </c>
      <c r="F41" s="343">
        <v>0</v>
      </c>
      <c r="G41" s="344">
        <f>F41/E41*100</f>
        <v>0</v>
      </c>
      <c r="H41" s="345">
        <f>E41/$E$283*100</f>
        <v>0.016668532494138234</v>
      </c>
      <c r="I41" s="346">
        <f>F41/$F$283*100</f>
        <v>0</v>
      </c>
      <c r="J41" s="339"/>
    </row>
    <row r="42" spans="1:10" ht="12.75" hidden="1">
      <c r="A42" s="371"/>
      <c r="B42" s="358"/>
      <c r="C42" s="341"/>
      <c r="D42" s="178"/>
      <c r="E42" s="342"/>
      <c r="F42" s="343"/>
      <c r="G42" s="344"/>
      <c r="H42" s="345"/>
      <c r="I42" s="346"/>
      <c r="J42" s="339"/>
    </row>
    <row r="43" spans="1:10" s="329" customFormat="1" ht="13.5" thickBot="1">
      <c r="A43" s="369">
        <v>700</v>
      </c>
      <c r="B43" s="321"/>
      <c r="C43" s="321"/>
      <c r="D43" s="175" t="s">
        <v>677</v>
      </c>
      <c r="E43" s="323">
        <f>E44</f>
        <v>1605753</v>
      </c>
      <c r="F43" s="359">
        <f>F44</f>
        <v>1652172</v>
      </c>
      <c r="G43" s="360">
        <f>F43/E43*100</f>
        <v>102.89079329137172</v>
      </c>
      <c r="H43" s="361">
        <f>E43/$E$283*100</f>
        <v>4.279064117995196</v>
      </c>
      <c r="I43" s="362">
        <f>F43/$F$283*100</f>
        <v>4.659930965740663</v>
      </c>
      <c r="J43" s="328"/>
    </row>
    <row r="44" spans="1:10" ht="13.5" thickBot="1">
      <c r="A44" s="371"/>
      <c r="B44" s="372">
        <v>70005</v>
      </c>
      <c r="C44" s="332"/>
      <c r="D44" s="365" t="s">
        <v>678</v>
      </c>
      <c r="E44" s="334">
        <f>SUM(E45:E60)</f>
        <v>1605753</v>
      </c>
      <c r="F44" s="335">
        <f>SUM(F45:F60)</f>
        <v>1652172</v>
      </c>
      <c r="G44" s="336">
        <f>F44/E44*100</f>
        <v>102.89079329137172</v>
      </c>
      <c r="H44" s="337">
        <f>E44/$E$283*100</f>
        <v>4.279064117995196</v>
      </c>
      <c r="I44" s="338">
        <f>F44/$F$283*100</f>
        <v>4.659930965740663</v>
      </c>
      <c r="J44" s="339"/>
    </row>
    <row r="45" spans="1:10" ht="12.75">
      <c r="A45" s="371"/>
      <c r="B45" s="340"/>
      <c r="C45" s="341" t="s">
        <v>897</v>
      </c>
      <c r="D45" s="178" t="s">
        <v>898</v>
      </c>
      <c r="E45" s="342">
        <v>3000</v>
      </c>
      <c r="F45" s="343">
        <v>3000</v>
      </c>
      <c r="G45" s="344">
        <f>F45/E45*100</f>
        <v>100</v>
      </c>
      <c r="H45" s="345">
        <f>E45/$E$283*100</f>
        <v>0.007994499997188601</v>
      </c>
      <c r="I45" s="346">
        <f>F45/$F$283*100</f>
        <v>0.008461463393170922</v>
      </c>
      <c r="J45" s="339"/>
    </row>
    <row r="46" spans="1:10" ht="12.75">
      <c r="A46" s="371"/>
      <c r="B46" s="340"/>
      <c r="C46" s="341"/>
      <c r="D46" s="178" t="s">
        <v>899</v>
      </c>
      <c r="E46" s="378"/>
      <c r="F46" s="343"/>
      <c r="G46" s="344"/>
      <c r="H46" s="345"/>
      <c r="I46" s="346"/>
      <c r="J46" s="339"/>
    </row>
    <row r="47" spans="1:10" ht="12.75">
      <c r="A47" s="371"/>
      <c r="B47" s="340"/>
      <c r="C47" s="341" t="s">
        <v>884</v>
      </c>
      <c r="D47" s="178" t="s">
        <v>885</v>
      </c>
      <c r="E47" s="342">
        <v>488</v>
      </c>
      <c r="F47" s="343">
        <v>500</v>
      </c>
      <c r="G47" s="344">
        <f>F47/E47*100</f>
        <v>102.45901639344261</v>
      </c>
      <c r="H47" s="345">
        <f>E47/$E$283*100</f>
        <v>0.0013004386662093458</v>
      </c>
      <c r="I47" s="346">
        <f>F47/$F$283*100</f>
        <v>0.0014102438988618203</v>
      </c>
      <c r="J47" s="339"/>
    </row>
    <row r="48" spans="1:10" ht="12.75">
      <c r="A48" s="371"/>
      <c r="B48" s="340"/>
      <c r="C48" s="341" t="s">
        <v>879</v>
      </c>
      <c r="D48" s="178" t="s">
        <v>880</v>
      </c>
      <c r="E48" s="342">
        <v>105825</v>
      </c>
      <c r="F48" s="343">
        <v>103722</v>
      </c>
      <c r="G48" s="344">
        <f>F48/E48*100</f>
        <v>98.01275690999292</v>
      </c>
      <c r="H48" s="345">
        <f>E48/$E$283*100</f>
        <v>0.28200598740082794</v>
      </c>
      <c r="I48" s="346">
        <f>F48/$F$283*100</f>
        <v>0.29254663535549147</v>
      </c>
      <c r="J48" s="339"/>
    </row>
    <row r="49" spans="1:10" ht="12.75">
      <c r="A49" s="371"/>
      <c r="B49" s="340"/>
      <c r="C49" s="340"/>
      <c r="D49" s="178" t="s">
        <v>881</v>
      </c>
      <c r="E49" s="342"/>
      <c r="F49" s="343"/>
      <c r="G49" s="344"/>
      <c r="H49" s="345"/>
      <c r="I49" s="346"/>
      <c r="J49" s="339"/>
    </row>
    <row r="50" spans="1:10" ht="12.75">
      <c r="A50" s="371"/>
      <c r="B50" s="340"/>
      <c r="C50" s="341" t="s">
        <v>900</v>
      </c>
      <c r="D50" s="178" t="s">
        <v>901</v>
      </c>
      <c r="E50" s="342">
        <v>1388300</v>
      </c>
      <c r="F50" s="343">
        <v>1408300</v>
      </c>
      <c r="G50" s="344">
        <f>F50/E50*100</f>
        <v>101.44061081898725</v>
      </c>
      <c r="H50" s="345">
        <f>E50/$E$283*100</f>
        <v>3.699588115365645</v>
      </c>
      <c r="I50" s="346">
        <f>F50/$F$283*100</f>
        <v>3.972092965534203</v>
      </c>
      <c r="J50" s="339"/>
    </row>
    <row r="51" spans="1:10" ht="12.75">
      <c r="A51" s="371"/>
      <c r="B51" s="340"/>
      <c r="C51" s="341" t="s">
        <v>902</v>
      </c>
      <c r="D51" s="178" t="s">
        <v>903</v>
      </c>
      <c r="E51" s="342">
        <v>5000</v>
      </c>
      <c r="F51" s="343">
        <v>5000</v>
      </c>
      <c r="G51" s="344">
        <f>F51/E51*100</f>
        <v>100</v>
      </c>
      <c r="H51" s="345">
        <f>E51/$E$283*100</f>
        <v>0.013324166661981</v>
      </c>
      <c r="I51" s="346">
        <f>F51/$F$283*100</f>
        <v>0.014102438988618203</v>
      </c>
      <c r="J51" s="339"/>
    </row>
    <row r="52" spans="1:10" ht="12.75">
      <c r="A52" s="371"/>
      <c r="B52" s="340"/>
      <c r="C52" s="341" t="s">
        <v>876</v>
      </c>
      <c r="D52" s="178" t="s">
        <v>877</v>
      </c>
      <c r="E52" s="342">
        <v>41000</v>
      </c>
      <c r="F52" s="343">
        <v>26000</v>
      </c>
      <c r="G52" s="344">
        <f>F52/E52*100</f>
        <v>63.41463414634146</v>
      </c>
      <c r="H52" s="345">
        <f>E52/$E$283*100</f>
        <v>0.10925816662824422</v>
      </c>
      <c r="I52" s="346">
        <f>F52/$F$283*100</f>
        <v>0.07333268274081467</v>
      </c>
      <c r="J52" s="339"/>
    </row>
    <row r="53" spans="1:10" ht="12.75">
      <c r="A53" s="371"/>
      <c r="B53" s="340"/>
      <c r="C53" s="341"/>
      <c r="D53" s="347" t="s">
        <v>904</v>
      </c>
      <c r="E53" s="342"/>
      <c r="F53" s="343"/>
      <c r="G53" s="344"/>
      <c r="H53" s="345"/>
      <c r="I53" s="346"/>
      <c r="J53" s="339"/>
    </row>
    <row r="54" spans="1:10" ht="12.75">
      <c r="A54" s="371"/>
      <c r="B54" s="340"/>
      <c r="C54" s="341" t="s">
        <v>905</v>
      </c>
      <c r="D54" s="178" t="s">
        <v>906</v>
      </c>
      <c r="E54" s="342">
        <v>59000</v>
      </c>
      <c r="F54" s="343">
        <v>79650</v>
      </c>
      <c r="G54" s="344">
        <f>F54/E54*100</f>
        <v>135</v>
      </c>
      <c r="H54" s="345">
        <f>E54/$E$283*100</f>
        <v>0.1572251666113758</v>
      </c>
      <c r="I54" s="346">
        <f>F54/$F$283*100</f>
        <v>0.22465185308868799</v>
      </c>
      <c r="J54" s="339"/>
    </row>
    <row r="55" spans="1:10" ht="12.75">
      <c r="A55" s="371"/>
      <c r="B55" s="340"/>
      <c r="C55" s="341"/>
      <c r="D55" s="178" t="s">
        <v>907</v>
      </c>
      <c r="E55" s="378"/>
      <c r="F55" s="343"/>
      <c r="G55" s="344"/>
      <c r="H55" s="345"/>
      <c r="I55" s="346"/>
      <c r="J55" s="339"/>
    </row>
    <row r="56" spans="1:10" ht="12.75" hidden="1">
      <c r="A56" s="371"/>
      <c r="B56" s="340"/>
      <c r="C56" s="341" t="s">
        <v>908</v>
      </c>
      <c r="D56" s="178" t="s">
        <v>909</v>
      </c>
      <c r="E56" s="378"/>
      <c r="F56" s="343"/>
      <c r="G56" s="344"/>
      <c r="H56" s="345"/>
      <c r="I56" s="346"/>
      <c r="J56" s="339"/>
    </row>
    <row r="57" spans="1:10" ht="12.75" hidden="1">
      <c r="A57" s="371"/>
      <c r="B57" s="340"/>
      <c r="C57" s="341"/>
      <c r="D57" s="178" t="s">
        <v>910</v>
      </c>
      <c r="E57" s="378">
        <v>1491</v>
      </c>
      <c r="F57" s="343">
        <v>0</v>
      </c>
      <c r="G57" s="344">
        <f>F57/E57*100</f>
        <v>0</v>
      </c>
      <c r="H57" s="345">
        <f>E57/$E$283*100</f>
        <v>0.003973266498602735</v>
      </c>
      <c r="I57" s="346">
        <f>F57/$F$283*100</f>
        <v>0</v>
      </c>
      <c r="J57" s="339"/>
    </row>
    <row r="58" spans="1:10" ht="12.75" hidden="1">
      <c r="A58" s="371"/>
      <c r="B58" s="340"/>
      <c r="C58" s="341" t="s">
        <v>911</v>
      </c>
      <c r="D58" s="178" t="s">
        <v>909</v>
      </c>
      <c r="E58" s="378"/>
      <c r="F58" s="343"/>
      <c r="G58" s="344"/>
      <c r="H58" s="345"/>
      <c r="I58" s="346"/>
      <c r="J58" s="339"/>
    </row>
    <row r="59" spans="1:10" ht="12.75" hidden="1">
      <c r="A59" s="371"/>
      <c r="B59" s="340"/>
      <c r="C59" s="341"/>
      <c r="D59" s="178" t="s">
        <v>910</v>
      </c>
      <c r="E59" s="378">
        <v>649</v>
      </c>
      <c r="F59" s="343">
        <v>0</v>
      </c>
      <c r="G59" s="344">
        <f>F59/E59*100</f>
        <v>0</v>
      </c>
      <c r="H59" s="345">
        <f>E59/$E$283*100</f>
        <v>0.001729476832725134</v>
      </c>
      <c r="I59" s="346">
        <f>F59/$F$283*100</f>
        <v>0</v>
      </c>
      <c r="J59" s="339"/>
    </row>
    <row r="60" spans="1:10" ht="12.75">
      <c r="A60" s="371"/>
      <c r="B60" s="340"/>
      <c r="C60" s="341" t="s">
        <v>912</v>
      </c>
      <c r="D60" s="178" t="s">
        <v>913</v>
      </c>
      <c r="E60" s="342">
        <v>1000</v>
      </c>
      <c r="F60" s="343">
        <v>26000</v>
      </c>
      <c r="G60" s="344">
        <f>F60/E60*100</f>
        <v>2600</v>
      </c>
      <c r="H60" s="345">
        <f>E60/$E$283*100</f>
        <v>0.0026648333323962</v>
      </c>
      <c r="I60" s="346">
        <f>F60/$F$283*100</f>
        <v>0.07333268274081467</v>
      </c>
      <c r="J60" s="339"/>
    </row>
    <row r="61" spans="1:10" ht="12.75">
      <c r="A61" s="371"/>
      <c r="B61" s="340"/>
      <c r="C61" s="341"/>
      <c r="D61" s="178"/>
      <c r="E61" s="342"/>
      <c r="F61" s="343"/>
      <c r="G61" s="344"/>
      <c r="H61" s="345"/>
      <c r="I61" s="346"/>
      <c r="J61" s="339"/>
    </row>
    <row r="62" spans="1:10" s="329" customFormat="1" ht="13.5" thickBot="1">
      <c r="A62" s="369">
        <v>710</v>
      </c>
      <c r="B62" s="321"/>
      <c r="C62" s="370"/>
      <c r="D62" s="175" t="s">
        <v>682</v>
      </c>
      <c r="E62" s="323">
        <f>E63+E67+E71</f>
        <v>269553</v>
      </c>
      <c r="F62" s="324">
        <f>F63+F67+F71</f>
        <v>262864</v>
      </c>
      <c r="G62" s="360">
        <f>F62/E62*100</f>
        <v>97.51848430549836</v>
      </c>
      <c r="H62" s="361">
        <f>E62/$E$283*100</f>
        <v>0.7183138192473929</v>
      </c>
      <c r="I62" s="362">
        <f>F62/$F$283*100</f>
        <v>0.7414047044608271</v>
      </c>
      <c r="J62" s="328"/>
    </row>
    <row r="63" spans="1:10" ht="13.5" thickBot="1">
      <c r="A63" s="371"/>
      <c r="B63" s="372">
        <v>71013</v>
      </c>
      <c r="C63" s="373"/>
      <c r="D63" s="365" t="s">
        <v>914</v>
      </c>
      <c r="E63" s="334">
        <f>E64</f>
        <v>40000</v>
      </c>
      <c r="F63" s="335">
        <f>F64</f>
        <v>40000</v>
      </c>
      <c r="G63" s="336">
        <f>F63/E63*100</f>
        <v>100</v>
      </c>
      <c r="H63" s="337">
        <f>E63/$E$283*100</f>
        <v>0.106593333295848</v>
      </c>
      <c r="I63" s="338">
        <f>F63/$F$283*100</f>
        <v>0.11281951190894562</v>
      </c>
      <c r="J63" s="339"/>
    </row>
    <row r="64" spans="1:10" ht="12.75">
      <c r="A64" s="371"/>
      <c r="B64" s="340"/>
      <c r="C64" s="341" t="s">
        <v>876</v>
      </c>
      <c r="D64" s="178" t="s">
        <v>877</v>
      </c>
      <c r="E64" s="342">
        <v>40000</v>
      </c>
      <c r="F64" s="343">
        <v>40000</v>
      </c>
      <c r="G64" s="344">
        <f>F64/E64*100</f>
        <v>100</v>
      </c>
      <c r="H64" s="345">
        <f>E64/$E$283*100</f>
        <v>0.106593333295848</v>
      </c>
      <c r="I64" s="346">
        <f>F64/$F$283*100</f>
        <v>0.11281951190894562</v>
      </c>
      <c r="J64" s="339"/>
    </row>
    <row r="65" spans="1:10" ht="12.75">
      <c r="A65" s="371"/>
      <c r="B65" s="340"/>
      <c r="C65" s="341"/>
      <c r="D65" s="178" t="s">
        <v>915</v>
      </c>
      <c r="E65" s="342"/>
      <c r="F65" s="343"/>
      <c r="G65" s="344"/>
      <c r="H65" s="345"/>
      <c r="I65" s="346"/>
      <c r="J65" s="339"/>
    </row>
    <row r="66" spans="1:10" ht="12.75">
      <c r="A66" s="371"/>
      <c r="B66" s="340"/>
      <c r="C66" s="341"/>
      <c r="D66" s="178"/>
      <c r="E66" s="342"/>
      <c r="F66" s="343"/>
      <c r="G66" s="344"/>
      <c r="H66" s="345"/>
      <c r="I66" s="346"/>
      <c r="J66" s="339"/>
    </row>
    <row r="67" spans="1:10" ht="13.5" thickBot="1">
      <c r="A67" s="371"/>
      <c r="B67" s="374">
        <v>71014</v>
      </c>
      <c r="C67" s="350"/>
      <c r="D67" s="351" t="s">
        <v>684</v>
      </c>
      <c r="E67" s="376">
        <f>E68</f>
        <v>22000</v>
      </c>
      <c r="F67" s="343">
        <f>F68</f>
        <v>14000</v>
      </c>
      <c r="G67" s="353">
        <f>F67/E67*100</f>
        <v>63.63636363636363</v>
      </c>
      <c r="H67" s="354">
        <f>E67/$E$283*100</f>
        <v>0.058626333312716404</v>
      </c>
      <c r="I67" s="355">
        <f>F67/$F$283*100</f>
        <v>0.03948682916813097</v>
      </c>
      <c r="J67" s="339"/>
    </row>
    <row r="68" spans="1:10" ht="12.75">
      <c r="A68" s="371"/>
      <c r="B68" s="340"/>
      <c r="C68" s="341" t="s">
        <v>876</v>
      </c>
      <c r="D68" s="178" t="s">
        <v>877</v>
      </c>
      <c r="E68" s="342">
        <v>22000</v>
      </c>
      <c r="F68" s="357">
        <v>14000</v>
      </c>
      <c r="G68" s="344">
        <f>F68/E68*100</f>
        <v>63.63636363636363</v>
      </c>
      <c r="H68" s="345">
        <f>E68/$E$283*100</f>
        <v>0.058626333312716404</v>
      </c>
      <c r="I68" s="346">
        <f>F68/$F$283*100</f>
        <v>0.03948682916813097</v>
      </c>
      <c r="J68" s="339"/>
    </row>
    <row r="69" spans="1:10" ht="12.75">
      <c r="A69" s="371"/>
      <c r="B69" s="340"/>
      <c r="C69" s="341"/>
      <c r="D69" s="178" t="s">
        <v>915</v>
      </c>
      <c r="E69" s="342"/>
      <c r="F69" s="343"/>
      <c r="G69" s="344"/>
      <c r="H69" s="345"/>
      <c r="I69" s="346"/>
      <c r="J69" s="339"/>
    </row>
    <row r="70" spans="1:10" ht="12.75">
      <c r="A70" s="371"/>
      <c r="B70" s="340"/>
      <c r="C70" s="341"/>
      <c r="D70" s="178"/>
      <c r="E70" s="342"/>
      <c r="F70" s="343"/>
      <c r="G70" s="379"/>
      <c r="H70" s="345"/>
      <c r="I70" s="346"/>
      <c r="J70" s="339"/>
    </row>
    <row r="71" spans="1:10" ht="13.5" thickBot="1">
      <c r="A71" s="371"/>
      <c r="B71" s="374">
        <v>71015</v>
      </c>
      <c r="C71" s="380"/>
      <c r="D71" s="351" t="s">
        <v>685</v>
      </c>
      <c r="E71" s="376">
        <f>SUM(E72:E74)</f>
        <v>207553</v>
      </c>
      <c r="F71" s="377">
        <f>SUM(F72:F74)</f>
        <v>208864</v>
      </c>
      <c r="G71" s="353">
        <f>F71/E71*100</f>
        <v>100.6316458928563</v>
      </c>
      <c r="H71" s="354">
        <f>E71/$E$283*100</f>
        <v>0.5530941526388286</v>
      </c>
      <c r="I71" s="355">
        <f>F71/$F$283*100</f>
        <v>0.5890983633837504</v>
      </c>
      <c r="J71" s="339"/>
    </row>
    <row r="72" spans="1:10" ht="12.75">
      <c r="A72" s="371"/>
      <c r="B72" s="340"/>
      <c r="C72" s="340">
        <v>2110</v>
      </c>
      <c r="D72" s="367" t="s">
        <v>877</v>
      </c>
      <c r="E72" s="342">
        <v>207553</v>
      </c>
      <c r="F72" s="343">
        <v>208864</v>
      </c>
      <c r="G72" s="344">
        <f>F72/E72*100</f>
        <v>100.6316458928563</v>
      </c>
      <c r="H72" s="345">
        <f>E72/$E$283*100</f>
        <v>0.5530941526388286</v>
      </c>
      <c r="I72" s="346">
        <f>F72/$F$283*100</f>
        <v>0.5890983633837504</v>
      </c>
      <c r="J72" s="339"/>
    </row>
    <row r="73" spans="1:10" ht="12.75">
      <c r="A73" s="371"/>
      <c r="B73" s="340"/>
      <c r="C73" s="340"/>
      <c r="D73" s="347" t="s">
        <v>916</v>
      </c>
      <c r="E73" s="342"/>
      <c r="F73" s="343"/>
      <c r="G73" s="344"/>
      <c r="H73" s="345"/>
      <c r="I73" s="346"/>
      <c r="J73" s="339"/>
    </row>
    <row r="74" spans="1:10" ht="12.75" hidden="1">
      <c r="A74" s="371"/>
      <c r="B74" s="340"/>
      <c r="C74" s="381" t="s">
        <v>917</v>
      </c>
      <c r="D74" s="382" t="s">
        <v>918</v>
      </c>
      <c r="E74" s="342"/>
      <c r="F74" s="343">
        <v>0</v>
      </c>
      <c r="G74" s="344">
        <v>0</v>
      </c>
      <c r="H74" s="345">
        <f>E74/$E$283*100</f>
        <v>0</v>
      </c>
      <c r="I74" s="346">
        <f>F74/$F$283*100</f>
        <v>0</v>
      </c>
      <c r="J74" s="339"/>
    </row>
    <row r="75" spans="1:10" ht="12.75">
      <c r="A75" s="371"/>
      <c r="B75" s="340"/>
      <c r="C75" s="341"/>
      <c r="D75" s="178"/>
      <c r="E75" s="342"/>
      <c r="F75" s="343"/>
      <c r="G75" s="344"/>
      <c r="H75" s="345"/>
      <c r="I75" s="346"/>
      <c r="J75" s="339"/>
    </row>
    <row r="76" spans="1:10" s="329" customFormat="1" ht="13.5" thickBot="1">
      <c r="A76" s="369">
        <v>750</v>
      </c>
      <c r="B76" s="321"/>
      <c r="C76" s="321"/>
      <c r="D76" s="175" t="s">
        <v>688</v>
      </c>
      <c r="E76" s="323">
        <f>E77+E81+E90+E94</f>
        <v>1622451</v>
      </c>
      <c r="F76" s="323">
        <f>F77+F81+F90+F94</f>
        <v>1248136</v>
      </c>
      <c r="G76" s="360">
        <f>F76/E76*100</f>
        <v>76.92904130848945</v>
      </c>
      <c r="H76" s="361">
        <f>E76/$E$283*100</f>
        <v>4.323561504979548</v>
      </c>
      <c r="I76" s="362">
        <f>F76/$F$283*100</f>
        <v>3.5203523578995943</v>
      </c>
      <c r="J76" s="328"/>
    </row>
    <row r="77" spans="1:10" ht="13.5" thickBot="1">
      <c r="A77" s="371"/>
      <c r="B77" s="372">
        <v>75011</v>
      </c>
      <c r="C77" s="332"/>
      <c r="D77" s="365" t="s">
        <v>689</v>
      </c>
      <c r="E77" s="334">
        <f>E78</f>
        <v>154421</v>
      </c>
      <c r="F77" s="335">
        <f>F78</f>
        <v>154421</v>
      </c>
      <c r="G77" s="336">
        <f>F77/E77*100</f>
        <v>100</v>
      </c>
      <c r="H77" s="337">
        <f>E77/$E$283*100</f>
        <v>0.4115062280219536</v>
      </c>
      <c r="I77" s="338">
        <f>F77/$F$283*100</f>
        <v>0.43554254621228233</v>
      </c>
      <c r="J77" s="339"/>
    </row>
    <row r="78" spans="1:10" ht="12.75">
      <c r="A78" s="371"/>
      <c r="B78" s="340"/>
      <c r="C78" s="340">
        <v>2110</v>
      </c>
      <c r="D78" s="178" t="s">
        <v>877</v>
      </c>
      <c r="E78" s="342">
        <v>154421</v>
      </c>
      <c r="F78" s="343">
        <v>154421</v>
      </c>
      <c r="G78" s="344">
        <f>F78/E78*100</f>
        <v>100</v>
      </c>
      <c r="H78" s="345">
        <f>E78/$E$283*100</f>
        <v>0.4115062280219536</v>
      </c>
      <c r="I78" s="346">
        <f>F78/$F$283*100</f>
        <v>0.43554254621228233</v>
      </c>
      <c r="J78" s="339"/>
    </row>
    <row r="79" spans="1:10" ht="12.75">
      <c r="A79" s="371"/>
      <c r="B79" s="340"/>
      <c r="C79" s="340"/>
      <c r="D79" s="178" t="s">
        <v>915</v>
      </c>
      <c r="E79" s="342"/>
      <c r="F79" s="343"/>
      <c r="G79" s="344"/>
      <c r="H79" s="345"/>
      <c r="I79" s="346"/>
      <c r="J79" s="339"/>
    </row>
    <row r="80" spans="1:10" ht="12.75">
      <c r="A80" s="371"/>
      <c r="B80" s="340"/>
      <c r="C80" s="340"/>
      <c r="D80" s="178"/>
      <c r="E80" s="342"/>
      <c r="F80" s="343"/>
      <c r="G80" s="379"/>
      <c r="H80" s="345"/>
      <c r="I80" s="346"/>
      <c r="J80" s="339"/>
    </row>
    <row r="81" spans="1:10" ht="13.5" thickBot="1">
      <c r="A81" s="371"/>
      <c r="B81" s="374">
        <v>75020</v>
      </c>
      <c r="C81" s="380"/>
      <c r="D81" s="351" t="s">
        <v>695</v>
      </c>
      <c r="E81" s="376">
        <f>SUM(E82:E88)</f>
        <v>1422031</v>
      </c>
      <c r="F81" s="343">
        <f>SUM(F82:F88)</f>
        <v>1076715</v>
      </c>
      <c r="G81" s="353">
        <f aca="true" t="shared" si="0" ref="G81:G88">F81/E81*100</f>
        <v>75.71670378493859</v>
      </c>
      <c r="H81" s="354">
        <f aca="true" t="shared" si="1" ref="H81:H88">E81/$E$283*100</f>
        <v>3.789475608500701</v>
      </c>
      <c r="I81" s="355">
        <f aca="true" t="shared" si="2" ref="I81:I88">F81/$F$283*100</f>
        <v>3.0368615191260098</v>
      </c>
      <c r="J81" s="339"/>
    </row>
    <row r="82" spans="1:10" ht="12.75">
      <c r="A82" s="371"/>
      <c r="B82" s="340"/>
      <c r="C82" s="341" t="s">
        <v>919</v>
      </c>
      <c r="D82" s="178" t="s">
        <v>920</v>
      </c>
      <c r="E82" s="342">
        <v>1250000</v>
      </c>
      <c r="F82" s="357">
        <v>1000000</v>
      </c>
      <c r="G82" s="344">
        <f t="shared" si="0"/>
        <v>80</v>
      </c>
      <c r="H82" s="345">
        <f t="shared" si="1"/>
        <v>3.3310416654952504</v>
      </c>
      <c r="I82" s="346">
        <f t="shared" si="2"/>
        <v>2.8204877977236404</v>
      </c>
      <c r="J82" s="339"/>
    </row>
    <row r="83" spans="1:10" ht="12.75">
      <c r="A83" s="371"/>
      <c r="B83" s="340"/>
      <c r="C83" s="341" t="s">
        <v>884</v>
      </c>
      <c r="D83" s="178" t="s">
        <v>885</v>
      </c>
      <c r="E83" s="342">
        <v>2215</v>
      </c>
      <c r="F83" s="343">
        <v>2215</v>
      </c>
      <c r="G83" s="344">
        <f t="shared" si="0"/>
        <v>100</v>
      </c>
      <c r="H83" s="345">
        <f t="shared" si="1"/>
        <v>0.005902605831257584</v>
      </c>
      <c r="I83" s="346">
        <f t="shared" si="2"/>
        <v>0.006247380471957864</v>
      </c>
      <c r="J83" s="339"/>
    </row>
    <row r="84" spans="1:10" ht="12.75">
      <c r="A84" s="371"/>
      <c r="B84" s="340"/>
      <c r="C84" s="341" t="s">
        <v>864</v>
      </c>
      <c r="D84" s="178" t="s">
        <v>859</v>
      </c>
      <c r="E84" s="342">
        <v>15000</v>
      </c>
      <c r="F84" s="343">
        <v>9500</v>
      </c>
      <c r="G84" s="344">
        <f t="shared" si="0"/>
        <v>63.33333333333333</v>
      </c>
      <c r="H84" s="345">
        <f t="shared" si="1"/>
        <v>0.039972499985943</v>
      </c>
      <c r="I84" s="346">
        <f t="shared" si="2"/>
        <v>0.026794634078374586</v>
      </c>
      <c r="J84" s="339"/>
    </row>
    <row r="85" spans="1:10" ht="12.75">
      <c r="A85" s="371"/>
      <c r="B85" s="340"/>
      <c r="C85" s="341" t="s">
        <v>921</v>
      </c>
      <c r="D85" s="178" t="s">
        <v>922</v>
      </c>
      <c r="E85" s="342">
        <v>4000</v>
      </c>
      <c r="F85" s="343">
        <v>2500</v>
      </c>
      <c r="G85" s="344">
        <f t="shared" si="0"/>
        <v>62.5</v>
      </c>
      <c r="H85" s="345">
        <f t="shared" si="1"/>
        <v>0.0106593333295848</v>
      </c>
      <c r="I85" s="346">
        <f t="shared" si="2"/>
        <v>0.0070512194943091015</v>
      </c>
      <c r="J85" s="339"/>
    </row>
    <row r="86" spans="1:10" ht="12.75">
      <c r="A86" s="371"/>
      <c r="B86" s="340"/>
      <c r="C86" s="341" t="s">
        <v>902</v>
      </c>
      <c r="D86" s="178" t="s">
        <v>923</v>
      </c>
      <c r="E86" s="342">
        <v>166</v>
      </c>
      <c r="F86" s="343">
        <v>500</v>
      </c>
      <c r="G86" s="344">
        <f t="shared" si="0"/>
        <v>301.20481927710847</v>
      </c>
      <c r="H86" s="345">
        <f t="shared" si="1"/>
        <v>0.00044236233317776925</v>
      </c>
      <c r="I86" s="346">
        <f t="shared" si="2"/>
        <v>0.0014102438988618203</v>
      </c>
      <c r="J86" s="339"/>
    </row>
    <row r="87" spans="1:10" ht="12.75" hidden="1">
      <c r="A87" s="371"/>
      <c r="B87" s="340"/>
      <c r="C87" s="341" t="s">
        <v>924</v>
      </c>
      <c r="D87" s="178" t="s">
        <v>925</v>
      </c>
      <c r="E87" s="342">
        <v>650</v>
      </c>
      <c r="F87" s="343">
        <v>0</v>
      </c>
      <c r="G87" s="344">
        <f t="shared" si="0"/>
        <v>0</v>
      </c>
      <c r="H87" s="345">
        <f t="shared" si="1"/>
        <v>0.00173214166605753</v>
      </c>
      <c r="I87" s="346">
        <f t="shared" si="2"/>
        <v>0</v>
      </c>
      <c r="J87" s="339"/>
    </row>
    <row r="88" spans="1:10" ht="12.75">
      <c r="A88" s="371"/>
      <c r="B88" s="340"/>
      <c r="C88" s="341" t="s">
        <v>886</v>
      </c>
      <c r="D88" s="178" t="s">
        <v>887</v>
      </c>
      <c r="E88" s="342">
        <v>150000</v>
      </c>
      <c r="F88" s="343">
        <v>62000</v>
      </c>
      <c r="G88" s="344">
        <f t="shared" si="0"/>
        <v>41.333333333333336</v>
      </c>
      <c r="H88" s="345">
        <f t="shared" si="1"/>
        <v>0.39972499985943005</v>
      </c>
      <c r="I88" s="346">
        <f t="shared" si="2"/>
        <v>0.1748702434588657</v>
      </c>
      <c r="J88" s="339"/>
    </row>
    <row r="89" spans="1:10" ht="12.75">
      <c r="A89" s="371"/>
      <c r="B89" s="340"/>
      <c r="C89" s="340"/>
      <c r="D89" s="340"/>
      <c r="E89" s="342"/>
      <c r="F89" s="343"/>
      <c r="G89" s="344"/>
      <c r="H89" s="345"/>
      <c r="I89" s="346"/>
      <c r="J89" s="339"/>
    </row>
    <row r="90" spans="1:10" ht="13.5" thickBot="1">
      <c r="A90" s="371"/>
      <c r="B90" s="374">
        <v>75045</v>
      </c>
      <c r="C90" s="380"/>
      <c r="D90" s="351" t="s">
        <v>699</v>
      </c>
      <c r="E90" s="376">
        <f>E91</f>
        <v>15999</v>
      </c>
      <c r="F90" s="377">
        <f>F91</f>
        <v>17000</v>
      </c>
      <c r="G90" s="353">
        <f>F90/E90*100</f>
        <v>106.256641040065</v>
      </c>
      <c r="H90" s="354">
        <f>E90/$E$283*100</f>
        <v>0.042634668485006806</v>
      </c>
      <c r="I90" s="355">
        <f>F90/$F$283*100</f>
        <v>0.0479482925613019</v>
      </c>
      <c r="J90" s="339"/>
    </row>
    <row r="91" spans="1:10" ht="12.75">
      <c r="A91" s="371"/>
      <c r="B91" s="340"/>
      <c r="C91" s="340">
        <v>2110</v>
      </c>
      <c r="D91" s="178" t="s">
        <v>877</v>
      </c>
      <c r="E91" s="342">
        <v>15999</v>
      </c>
      <c r="F91" s="343">
        <v>17000</v>
      </c>
      <c r="G91" s="344">
        <f>F91/E91*100</f>
        <v>106.256641040065</v>
      </c>
      <c r="H91" s="345">
        <f>E91/$E$283*100</f>
        <v>0.042634668485006806</v>
      </c>
      <c r="I91" s="346">
        <f>F91/$F$283*100</f>
        <v>0.0479482925613019</v>
      </c>
      <c r="J91" s="339"/>
    </row>
    <row r="92" spans="1:10" ht="12.75">
      <c r="A92" s="371"/>
      <c r="B92" s="340"/>
      <c r="C92" s="340"/>
      <c r="D92" s="178" t="s">
        <v>926</v>
      </c>
      <c r="E92" s="342"/>
      <c r="F92" s="343"/>
      <c r="G92" s="344"/>
      <c r="H92" s="345"/>
      <c r="I92" s="346"/>
      <c r="J92" s="339"/>
    </row>
    <row r="93" spans="1:10" ht="12.75">
      <c r="A93" s="371"/>
      <c r="B93" s="340"/>
      <c r="C93" s="340"/>
      <c r="D93" s="178"/>
      <c r="E93" s="356"/>
      <c r="F93" s="343"/>
      <c r="G93" s="344"/>
      <c r="H93" s="345"/>
      <c r="I93" s="346"/>
      <c r="J93" s="339"/>
    </row>
    <row r="94" spans="1:10" ht="13.5" hidden="1" thickBot="1">
      <c r="A94" s="371"/>
      <c r="B94" s="374">
        <v>75095</v>
      </c>
      <c r="C94" s="380"/>
      <c r="D94" s="351" t="s">
        <v>621</v>
      </c>
      <c r="E94" s="377">
        <f>E95</f>
        <v>30000</v>
      </c>
      <c r="F94" s="377">
        <f>F95</f>
        <v>0</v>
      </c>
      <c r="G94" s="353">
        <f>F94/E94*100</f>
        <v>0</v>
      </c>
      <c r="H94" s="354">
        <f>E94/$E$283*100</f>
        <v>0.079944999971886</v>
      </c>
      <c r="I94" s="355">
        <f>F94/$F$283*100</f>
        <v>0</v>
      </c>
      <c r="J94" s="339"/>
    </row>
    <row r="95" spans="1:10" ht="12.75" hidden="1">
      <c r="A95" s="371"/>
      <c r="B95" s="340"/>
      <c r="C95" s="341" t="s">
        <v>886</v>
      </c>
      <c r="D95" s="178" t="s">
        <v>887</v>
      </c>
      <c r="E95" s="356">
        <v>30000</v>
      </c>
      <c r="F95" s="343">
        <v>0</v>
      </c>
      <c r="G95" s="344">
        <f>F95/E95*100</f>
        <v>0</v>
      </c>
      <c r="H95" s="345">
        <f>E95/$E$283*100</f>
        <v>0.079944999971886</v>
      </c>
      <c r="I95" s="346">
        <f>F95/$F$283*100</f>
        <v>0</v>
      </c>
      <c r="J95" s="339"/>
    </row>
    <row r="96" spans="1:10" ht="12" customHeight="1" hidden="1">
      <c r="A96" s="371"/>
      <c r="B96" s="340"/>
      <c r="C96" s="341"/>
      <c r="D96" s="348"/>
      <c r="E96" s="356"/>
      <c r="F96" s="343"/>
      <c r="G96" s="344"/>
      <c r="H96" s="345"/>
      <c r="I96" s="346"/>
      <c r="J96" s="339"/>
    </row>
    <row r="97" spans="1:10" ht="12" customHeight="1" hidden="1">
      <c r="A97" s="371"/>
      <c r="B97" s="340"/>
      <c r="C97" s="341"/>
      <c r="D97" s="174" t="s">
        <v>701</v>
      </c>
      <c r="E97" s="356"/>
      <c r="F97" s="343"/>
      <c r="G97" s="344"/>
      <c r="H97" s="345"/>
      <c r="I97" s="346"/>
      <c r="J97" s="339"/>
    </row>
    <row r="98" spans="1:10" ht="12" customHeight="1" hidden="1" thickBot="1">
      <c r="A98" s="369">
        <v>751</v>
      </c>
      <c r="B98" s="380"/>
      <c r="C98" s="350"/>
      <c r="D98" s="175" t="s">
        <v>702</v>
      </c>
      <c r="E98" s="359">
        <f>E100</f>
        <v>18109</v>
      </c>
      <c r="F98" s="359">
        <f>F100</f>
        <v>0</v>
      </c>
      <c r="G98" s="360">
        <f>F98/E98*100</f>
        <v>0</v>
      </c>
      <c r="H98" s="361">
        <f>E98/$E$283*100</f>
        <v>0.048257466816362796</v>
      </c>
      <c r="I98" s="362">
        <f>F98/$F$283*100</f>
        <v>0</v>
      </c>
      <c r="J98" s="339"/>
    </row>
    <row r="99" spans="1:10" ht="12" customHeight="1" hidden="1">
      <c r="A99" s="371"/>
      <c r="B99" s="340">
        <v>75109</v>
      </c>
      <c r="C99" s="341"/>
      <c r="D99" s="178" t="s">
        <v>703</v>
      </c>
      <c r="E99" s="356"/>
      <c r="F99" s="343"/>
      <c r="G99" s="344"/>
      <c r="H99" s="345"/>
      <c r="I99" s="346"/>
      <c r="J99" s="339"/>
    </row>
    <row r="100" spans="1:10" ht="12" customHeight="1" hidden="1" thickBot="1">
      <c r="A100" s="371"/>
      <c r="B100" s="374"/>
      <c r="C100" s="350"/>
      <c r="D100" s="351" t="s">
        <v>704</v>
      </c>
      <c r="E100" s="377">
        <f>E101</f>
        <v>18109</v>
      </c>
      <c r="F100" s="377">
        <f>F101</f>
        <v>0</v>
      </c>
      <c r="G100" s="353">
        <f>F100/E100*100</f>
        <v>0</v>
      </c>
      <c r="H100" s="354">
        <f>E100/$E$283*100</f>
        <v>0.048257466816362796</v>
      </c>
      <c r="I100" s="355">
        <f>F100/$F$283*100</f>
        <v>0</v>
      </c>
      <c r="J100" s="339"/>
    </row>
    <row r="101" spans="1:10" ht="12" customHeight="1" hidden="1">
      <c r="A101" s="371"/>
      <c r="B101" s="340"/>
      <c r="C101" s="341" t="s">
        <v>876</v>
      </c>
      <c r="D101" s="178" t="s">
        <v>877</v>
      </c>
      <c r="E101" s="356">
        <v>18109</v>
      </c>
      <c r="F101" s="343">
        <v>0</v>
      </c>
      <c r="G101" s="344">
        <f>F101/E101*100</f>
        <v>0</v>
      </c>
      <c r="H101" s="345">
        <f>E101/$E$283*100</f>
        <v>0.048257466816362796</v>
      </c>
      <c r="I101" s="346">
        <f>F101/$F$283*100</f>
        <v>0</v>
      </c>
      <c r="J101" s="339"/>
    </row>
    <row r="102" spans="1:10" ht="12" customHeight="1" hidden="1">
      <c r="A102" s="371"/>
      <c r="B102" s="340"/>
      <c r="C102" s="341"/>
      <c r="D102" s="178" t="s">
        <v>926</v>
      </c>
      <c r="E102" s="356"/>
      <c r="F102" s="343"/>
      <c r="G102" s="344"/>
      <c r="H102" s="345"/>
      <c r="I102" s="346"/>
      <c r="J102" s="339"/>
    </row>
    <row r="103" spans="1:10" ht="12" customHeight="1" hidden="1">
      <c r="A103" s="371"/>
      <c r="B103" s="340"/>
      <c r="C103" s="341"/>
      <c r="D103" s="348"/>
      <c r="E103" s="356"/>
      <c r="F103" s="343"/>
      <c r="G103" s="344"/>
      <c r="H103" s="345"/>
      <c r="I103" s="346"/>
      <c r="J103" s="339"/>
    </row>
    <row r="104" spans="1:10" s="329" customFormat="1" ht="14.25" customHeight="1" thickBot="1">
      <c r="A104" s="369">
        <v>754</v>
      </c>
      <c r="B104" s="321"/>
      <c r="C104" s="370"/>
      <c r="D104" s="175" t="s">
        <v>927</v>
      </c>
      <c r="E104" s="383">
        <f>E105</f>
        <v>0</v>
      </c>
      <c r="F104" s="324">
        <f>F105</f>
        <v>1000</v>
      </c>
      <c r="G104" s="360">
        <v>0</v>
      </c>
      <c r="H104" s="361">
        <f>E104/$E$283*100</f>
        <v>0</v>
      </c>
      <c r="I104" s="362">
        <f>F104/$F$283*100</f>
        <v>0.0028204877977236406</v>
      </c>
      <c r="J104" s="328"/>
    </row>
    <row r="105" spans="1:10" ht="14.25" customHeight="1" thickBot="1">
      <c r="A105" s="371"/>
      <c r="B105" s="372">
        <v>75414</v>
      </c>
      <c r="C105" s="331"/>
      <c r="D105" s="365" t="s">
        <v>706</v>
      </c>
      <c r="E105" s="384">
        <f>E106</f>
        <v>0</v>
      </c>
      <c r="F105" s="335">
        <f>F106</f>
        <v>1000</v>
      </c>
      <c r="G105" s="336">
        <v>0</v>
      </c>
      <c r="H105" s="337">
        <f>E105/$E$283*100</f>
        <v>0</v>
      </c>
      <c r="I105" s="338">
        <f>F105/$F$283*100</f>
        <v>0.0028204877977236406</v>
      </c>
      <c r="J105" s="339"/>
    </row>
    <row r="106" spans="1:10" ht="14.25" customHeight="1">
      <c r="A106" s="371"/>
      <c r="B106" s="340"/>
      <c r="C106" s="394" t="s">
        <v>876</v>
      </c>
      <c r="D106" s="178" t="s">
        <v>877</v>
      </c>
      <c r="E106" s="356">
        <v>0</v>
      </c>
      <c r="F106" s="343">
        <v>1000</v>
      </c>
      <c r="G106" s="344">
        <v>0</v>
      </c>
      <c r="H106" s="345">
        <f>E106/$E$283*100</f>
        <v>0</v>
      </c>
      <c r="I106" s="346">
        <f>F106/$F$283*100</f>
        <v>0.0028204877977236406</v>
      </c>
      <c r="J106" s="339"/>
    </row>
    <row r="107" spans="1:10" ht="14.25" customHeight="1">
      <c r="A107" s="371"/>
      <c r="B107" s="340"/>
      <c r="C107" s="394"/>
      <c r="D107" s="178" t="s">
        <v>926</v>
      </c>
      <c r="E107" s="356"/>
      <c r="F107" s="343"/>
      <c r="G107" s="344"/>
      <c r="H107" s="345"/>
      <c r="I107" s="346"/>
      <c r="J107" s="339"/>
    </row>
    <row r="108" spans="1:10" ht="12" customHeight="1">
      <c r="A108" s="371"/>
      <c r="B108" s="340"/>
      <c r="C108" s="394"/>
      <c r="D108" s="178"/>
      <c r="E108" s="342"/>
      <c r="F108" s="343"/>
      <c r="G108" s="344"/>
      <c r="H108" s="345"/>
      <c r="I108" s="346"/>
      <c r="J108" s="339"/>
    </row>
    <row r="109" spans="1:10" ht="12.75">
      <c r="A109" s="330">
        <v>756</v>
      </c>
      <c r="B109" s="340"/>
      <c r="C109" s="341"/>
      <c r="D109" s="174" t="s">
        <v>928</v>
      </c>
      <c r="E109" s="342"/>
      <c r="F109" s="343"/>
      <c r="G109" s="344"/>
      <c r="H109" s="345"/>
      <c r="I109" s="346"/>
      <c r="J109" s="339"/>
    </row>
    <row r="110" spans="1:10" s="329" customFormat="1" ht="13.5" thickBot="1">
      <c r="A110" s="369"/>
      <c r="B110" s="321"/>
      <c r="C110" s="321"/>
      <c r="D110" s="175" t="s">
        <v>929</v>
      </c>
      <c r="E110" s="323">
        <f>E111</f>
        <v>3005856</v>
      </c>
      <c r="F110" s="324">
        <f>F111</f>
        <v>3506685</v>
      </c>
      <c r="G110" s="360">
        <f>F110/E110*100</f>
        <v>116.66177621283256</v>
      </c>
      <c r="H110" s="361">
        <f>E110/$E$283*100</f>
        <v>8.010105261183114</v>
      </c>
      <c r="I110" s="362">
        <f>F110/$F$283*100</f>
        <v>9.890562252960525</v>
      </c>
      <c r="J110" s="328"/>
    </row>
    <row r="111" spans="1:10" ht="12.75">
      <c r="A111" s="371"/>
      <c r="B111" s="340">
        <v>75622</v>
      </c>
      <c r="C111" s="340"/>
      <c r="D111" s="178" t="s">
        <v>930</v>
      </c>
      <c r="E111" s="385">
        <f>E113+E114</f>
        <v>3005856</v>
      </c>
      <c r="F111" s="357">
        <f>SUM(F113:F114)</f>
        <v>3506685</v>
      </c>
      <c r="G111" s="344">
        <f>F111/E111*100</f>
        <v>116.66177621283256</v>
      </c>
      <c r="H111" s="345">
        <f>E111/$E$283*100</f>
        <v>8.010105261183114</v>
      </c>
      <c r="I111" s="346">
        <f>F111/$F$283*100</f>
        <v>9.890562252960525</v>
      </c>
      <c r="J111" s="339"/>
    </row>
    <row r="112" spans="1:10" ht="13.5" thickBot="1">
      <c r="A112" s="371"/>
      <c r="B112" s="380"/>
      <c r="C112" s="380"/>
      <c r="D112" s="351" t="s">
        <v>931</v>
      </c>
      <c r="E112" s="386"/>
      <c r="F112" s="387"/>
      <c r="G112" s="353"/>
      <c r="H112" s="354"/>
      <c r="I112" s="355"/>
      <c r="J112" s="339"/>
    </row>
    <row r="113" spans="1:10" ht="12.75">
      <c r="A113" s="371"/>
      <c r="B113" s="340"/>
      <c r="C113" s="341" t="s">
        <v>932</v>
      </c>
      <c r="D113" s="178" t="s">
        <v>933</v>
      </c>
      <c r="E113" s="342">
        <v>2855856</v>
      </c>
      <c r="F113" s="343">
        <v>3506685</v>
      </c>
      <c r="G113" s="344">
        <f>F113/E113*100</f>
        <v>122.78927929139284</v>
      </c>
      <c r="H113" s="345">
        <f>E113/$E$283*100</f>
        <v>7.610380261323684</v>
      </c>
      <c r="I113" s="346">
        <f>F113/$F$283*100</f>
        <v>9.890562252960525</v>
      </c>
      <c r="J113" s="339"/>
    </row>
    <row r="114" spans="1:10" ht="12.75" hidden="1">
      <c r="A114" s="371"/>
      <c r="B114" s="340"/>
      <c r="C114" s="341" t="s">
        <v>934</v>
      </c>
      <c r="D114" s="178" t="s">
        <v>935</v>
      </c>
      <c r="E114" s="342">
        <v>150000</v>
      </c>
      <c r="F114" s="343">
        <v>0</v>
      </c>
      <c r="G114" s="344">
        <f>F114/E114*100</f>
        <v>0</v>
      </c>
      <c r="H114" s="345">
        <f>E114/$E$283*100</f>
        <v>0.39972499985943005</v>
      </c>
      <c r="I114" s="346">
        <f>F114/$F$283*100</f>
        <v>0</v>
      </c>
      <c r="J114" s="339"/>
    </row>
    <row r="115" spans="1:10" ht="12" customHeight="1">
      <c r="A115" s="371"/>
      <c r="B115" s="340"/>
      <c r="C115" s="341"/>
      <c r="D115" s="178"/>
      <c r="E115" s="342"/>
      <c r="F115" s="343"/>
      <c r="G115" s="344"/>
      <c r="H115" s="345"/>
      <c r="I115" s="346"/>
      <c r="J115" s="339"/>
    </row>
    <row r="116" spans="1:10" s="329" customFormat="1" ht="13.5" thickBot="1">
      <c r="A116" s="369">
        <v>758</v>
      </c>
      <c r="B116" s="321"/>
      <c r="C116" s="321"/>
      <c r="D116" s="175" t="s">
        <v>719</v>
      </c>
      <c r="E116" s="323">
        <f>E117+E123+E126+E129+E120</f>
        <v>16114710</v>
      </c>
      <c r="F116" s="324">
        <f>F117+F123+F126+F129+F120</f>
        <v>18686243</v>
      </c>
      <c r="G116" s="360">
        <f>F116/E116*100</f>
        <v>115.95767469597654</v>
      </c>
      <c r="H116" s="361">
        <f>E116/$E$283*100</f>
        <v>42.94301634989837</v>
      </c>
      <c r="I116" s="362">
        <f>F116/$F$283*100</f>
        <v>52.7043203667988</v>
      </c>
      <c r="J116" s="328"/>
    </row>
    <row r="117" spans="1:10" ht="13.5" thickBot="1">
      <c r="A117" s="371"/>
      <c r="B117" s="372">
        <v>75801</v>
      </c>
      <c r="C117" s="332"/>
      <c r="D117" s="365" t="s">
        <v>936</v>
      </c>
      <c r="E117" s="334">
        <f>E118</f>
        <v>10509635</v>
      </c>
      <c r="F117" s="335">
        <f>F118</f>
        <v>10980133</v>
      </c>
      <c r="G117" s="336">
        <f>F117/E117*100</f>
        <v>104.47682531315311</v>
      </c>
      <c r="H117" s="337">
        <f>E117/$E$283*100</f>
        <v>28.006425659317742</v>
      </c>
      <c r="I117" s="338">
        <f>F117/$F$283*100</f>
        <v>30.969331143882673</v>
      </c>
      <c r="J117" s="339"/>
    </row>
    <row r="118" spans="1:10" ht="12.75">
      <c r="A118" s="371"/>
      <c r="B118" s="340"/>
      <c r="C118" s="340">
        <v>2920</v>
      </c>
      <c r="D118" s="178" t="s">
        <v>937</v>
      </c>
      <c r="E118" s="342">
        <v>10509635</v>
      </c>
      <c r="F118" s="343">
        <v>10980133</v>
      </c>
      <c r="G118" s="344">
        <f>F118/E118*100</f>
        <v>104.47682531315311</v>
      </c>
      <c r="H118" s="345">
        <f>E118/$E$283*100</f>
        <v>28.006425659317742</v>
      </c>
      <c r="I118" s="346">
        <f>F118/$F$283*100</f>
        <v>30.969331143882673</v>
      </c>
      <c r="J118" s="339"/>
    </row>
    <row r="119" spans="1:10" ht="12.75">
      <c r="A119" s="371"/>
      <c r="B119" s="340"/>
      <c r="C119" s="340"/>
      <c r="D119" s="348"/>
      <c r="E119" s="342"/>
      <c r="F119" s="343"/>
      <c r="G119" s="344"/>
      <c r="H119" s="345"/>
      <c r="I119" s="346"/>
      <c r="J119" s="339"/>
    </row>
    <row r="120" spans="1:10" ht="13.5" hidden="1" thickBot="1">
      <c r="A120" s="371"/>
      <c r="B120" s="374">
        <v>75802</v>
      </c>
      <c r="C120" s="380"/>
      <c r="D120" s="351" t="s">
        <v>938</v>
      </c>
      <c r="E120" s="376">
        <f>E121</f>
        <v>150000</v>
      </c>
      <c r="F120" s="377">
        <f>F121</f>
        <v>0</v>
      </c>
      <c r="G120" s="353">
        <f>F120/E120*100</f>
        <v>0</v>
      </c>
      <c r="H120" s="354">
        <f>E120/$E$283*100</f>
        <v>0.39972499985943005</v>
      </c>
      <c r="I120" s="355">
        <f>F120/$F$283*100</f>
        <v>0</v>
      </c>
      <c r="J120" s="339"/>
    </row>
    <row r="121" spans="1:10" ht="12.75" hidden="1">
      <c r="A121" s="371"/>
      <c r="B121" s="340"/>
      <c r="C121" s="340">
        <v>2780</v>
      </c>
      <c r="D121" s="178" t="s">
        <v>939</v>
      </c>
      <c r="E121" s="342">
        <v>150000</v>
      </c>
      <c r="F121" s="343">
        <v>0</v>
      </c>
      <c r="G121" s="344">
        <f>F121/E121*100</f>
        <v>0</v>
      </c>
      <c r="H121" s="345">
        <f>E121/$E$283*100</f>
        <v>0.39972499985943005</v>
      </c>
      <c r="I121" s="346">
        <f>F121/$F$283*100</f>
        <v>0</v>
      </c>
      <c r="J121" s="388">
        <f>G116-G126</f>
        <v>50.70864341348906</v>
      </c>
    </row>
    <row r="122" spans="1:10" ht="12.75" hidden="1">
      <c r="A122" s="371"/>
      <c r="B122" s="340"/>
      <c r="C122" s="340"/>
      <c r="D122" s="178"/>
      <c r="E122" s="342"/>
      <c r="F122" s="343"/>
      <c r="G122" s="344"/>
      <c r="H122" s="345"/>
      <c r="I122" s="346"/>
      <c r="J122" s="339"/>
    </row>
    <row r="123" spans="1:10" ht="13.5" thickBot="1">
      <c r="A123" s="371"/>
      <c r="B123" s="374">
        <v>75803</v>
      </c>
      <c r="C123" s="380"/>
      <c r="D123" s="351" t="s">
        <v>940</v>
      </c>
      <c r="E123" s="376">
        <f>E124</f>
        <v>3563513</v>
      </c>
      <c r="F123" s="377">
        <f>F124</f>
        <v>4612480</v>
      </c>
      <c r="G123" s="353">
        <f>F123/E123*100</f>
        <v>129.43631747660245</v>
      </c>
      <c r="H123" s="354">
        <f>E123/$E$283*100</f>
        <v>9.496168222827182</v>
      </c>
      <c r="I123" s="355">
        <f>F123/$F$283*100</f>
        <v>13.009443557244339</v>
      </c>
      <c r="J123" s="339"/>
    </row>
    <row r="124" spans="1:10" ht="12.75">
      <c r="A124" s="371"/>
      <c r="B124" s="340"/>
      <c r="C124" s="340">
        <v>2920</v>
      </c>
      <c r="D124" s="178" t="s">
        <v>937</v>
      </c>
      <c r="E124" s="342">
        <v>3563513</v>
      </c>
      <c r="F124" s="343">
        <v>4612480</v>
      </c>
      <c r="G124" s="344">
        <f>F124/E124*100</f>
        <v>129.43631747660245</v>
      </c>
      <c r="H124" s="345">
        <f>E124/$E$283*100</f>
        <v>9.496168222827182</v>
      </c>
      <c r="I124" s="346">
        <f>F124/$F$283*100</f>
        <v>13.009443557244339</v>
      </c>
      <c r="J124" s="339"/>
    </row>
    <row r="125" spans="1:10" ht="12.75">
      <c r="A125" s="371"/>
      <c r="B125" s="340"/>
      <c r="C125" s="340"/>
      <c r="D125" s="348"/>
      <c r="E125" s="342"/>
      <c r="F125" s="343"/>
      <c r="G125" s="344"/>
      <c r="H125" s="345"/>
      <c r="I125" s="346"/>
      <c r="J125" s="339"/>
    </row>
    <row r="126" spans="1:10" ht="13.5" thickBot="1">
      <c r="A126" s="371"/>
      <c r="B126" s="374">
        <v>75814</v>
      </c>
      <c r="C126" s="350"/>
      <c r="D126" s="351" t="s">
        <v>643</v>
      </c>
      <c r="E126" s="376">
        <f>E127</f>
        <v>42324</v>
      </c>
      <c r="F126" s="343">
        <f>F127</f>
        <v>27616</v>
      </c>
      <c r="G126" s="353">
        <f>F126/E126*100</f>
        <v>65.24903128248748</v>
      </c>
      <c r="H126" s="354">
        <f>E126/$E$283*100</f>
        <v>0.11278640596033677</v>
      </c>
      <c r="I126" s="355">
        <f>F126/$F$283*100</f>
        <v>0.07789059102193606</v>
      </c>
      <c r="J126" s="339"/>
    </row>
    <row r="127" spans="1:10" ht="12.75">
      <c r="A127" s="371"/>
      <c r="B127" s="340"/>
      <c r="C127" s="341" t="s">
        <v>865</v>
      </c>
      <c r="D127" s="178" t="s">
        <v>667</v>
      </c>
      <c r="E127" s="342">
        <v>42324</v>
      </c>
      <c r="F127" s="357">
        <v>27616</v>
      </c>
      <c r="G127" s="344">
        <f>F127/E127*100</f>
        <v>65.24903128248748</v>
      </c>
      <c r="H127" s="345">
        <f>E127/$E$283*100</f>
        <v>0.11278640596033677</v>
      </c>
      <c r="I127" s="346">
        <f>F127/$F$283*100</f>
        <v>0.07789059102193606</v>
      </c>
      <c r="J127" s="339"/>
    </row>
    <row r="128" spans="1:10" ht="12.75">
      <c r="A128" s="371"/>
      <c r="B128" s="340"/>
      <c r="C128" s="341"/>
      <c r="D128" s="348"/>
      <c r="E128" s="342"/>
      <c r="F128" s="343"/>
      <c r="G128" s="344"/>
      <c r="H128" s="345"/>
      <c r="I128" s="346"/>
      <c r="J128" s="339"/>
    </row>
    <row r="129" spans="1:10" ht="13.5" thickBot="1">
      <c r="A129" s="371"/>
      <c r="B129" s="374">
        <v>75832</v>
      </c>
      <c r="C129" s="350"/>
      <c r="D129" s="351" t="s">
        <v>941</v>
      </c>
      <c r="E129" s="376">
        <f>E130</f>
        <v>1849238</v>
      </c>
      <c r="F129" s="377">
        <f>F130</f>
        <v>3066014</v>
      </c>
      <c r="G129" s="353">
        <f>F129/E129*100</f>
        <v>165.7987776586897</v>
      </c>
      <c r="H129" s="354">
        <f>E129/$E$283*100</f>
        <v>4.927911061933685</v>
      </c>
      <c r="I129" s="355">
        <f>F129/$F$283*100</f>
        <v>8.64765507464985</v>
      </c>
      <c r="J129" s="339"/>
    </row>
    <row r="130" spans="1:10" ht="12.75">
      <c r="A130" s="371"/>
      <c r="B130" s="340"/>
      <c r="C130" s="341" t="s">
        <v>942</v>
      </c>
      <c r="D130" s="367" t="s">
        <v>937</v>
      </c>
      <c r="E130" s="342">
        <v>1849238</v>
      </c>
      <c r="F130" s="343">
        <v>3066014</v>
      </c>
      <c r="G130" s="344">
        <f>F130/E130*100</f>
        <v>165.7987776586897</v>
      </c>
      <c r="H130" s="345">
        <f>E130/$E$283*100</f>
        <v>4.927911061933685</v>
      </c>
      <c r="I130" s="346">
        <f>F130/$F$283*100</f>
        <v>8.64765507464985</v>
      </c>
      <c r="J130" s="339"/>
    </row>
    <row r="131" spans="1:10" ht="12.75" customHeight="1">
      <c r="A131" s="371"/>
      <c r="B131" s="340"/>
      <c r="C131" s="341"/>
      <c r="D131" s="348"/>
      <c r="E131" s="342"/>
      <c r="F131" s="343"/>
      <c r="G131" s="344"/>
      <c r="H131" s="345"/>
      <c r="I131" s="346"/>
      <c r="J131" s="339"/>
    </row>
    <row r="132" spans="1:10" s="329" customFormat="1" ht="13.5" thickBot="1">
      <c r="A132" s="369">
        <v>801</v>
      </c>
      <c r="B132" s="389"/>
      <c r="C132" s="389"/>
      <c r="D132" s="390" t="s">
        <v>722</v>
      </c>
      <c r="E132" s="391">
        <f>E133+E141+E159+E151+E154</f>
        <v>857596</v>
      </c>
      <c r="F132" s="392">
        <f>F133+F141+F159+F151+F154</f>
        <v>21000</v>
      </c>
      <c r="G132" s="360">
        <f>F132/E132*100</f>
        <v>2.448705451051544</v>
      </c>
      <c r="H132" s="361">
        <f>E132/$E$283*100</f>
        <v>2.285350406529652</v>
      </c>
      <c r="I132" s="362">
        <f>F132/$F$283*100</f>
        <v>0.05923024375219646</v>
      </c>
      <c r="J132" s="328"/>
    </row>
    <row r="133" spans="1:10" ht="13.5" thickBot="1">
      <c r="A133" s="330"/>
      <c r="B133" s="374">
        <v>80120</v>
      </c>
      <c r="C133" s="374"/>
      <c r="D133" s="387" t="s">
        <v>727</v>
      </c>
      <c r="E133" s="376">
        <f>SUM(E134:E139)</f>
        <v>702922</v>
      </c>
      <c r="F133" s="376">
        <f>SUM(F134:F139)</f>
        <v>2000</v>
      </c>
      <c r="G133" s="336">
        <f>F133/E133*100</f>
        <v>0.2845265904325089</v>
      </c>
      <c r="H133" s="337">
        <f>E133/$E$283*100</f>
        <v>1.8731699756746019</v>
      </c>
      <c r="I133" s="338">
        <f>F133/$F$283*100</f>
        <v>0.005640975595447281</v>
      </c>
      <c r="J133" s="339"/>
    </row>
    <row r="134" spans="1:10" ht="12.75">
      <c r="A134" s="330"/>
      <c r="B134" s="393"/>
      <c r="C134" s="394" t="s">
        <v>864</v>
      </c>
      <c r="D134" s="347" t="s">
        <v>859</v>
      </c>
      <c r="E134" s="342">
        <v>1600</v>
      </c>
      <c r="F134" s="343">
        <v>2000</v>
      </c>
      <c r="G134" s="344">
        <f>F134/E134*100</f>
        <v>125</v>
      </c>
      <c r="H134" s="345">
        <f>E134/$E$283*100</f>
        <v>0.00426373333183392</v>
      </c>
      <c r="I134" s="346">
        <f>F134/$F$283*100</f>
        <v>0.005640975595447281</v>
      </c>
      <c r="J134" s="339"/>
    </row>
    <row r="135" spans="1:10" ht="12.75" hidden="1">
      <c r="A135" s="330"/>
      <c r="B135" s="393"/>
      <c r="C135" s="394" t="s">
        <v>886</v>
      </c>
      <c r="D135" s="347" t="s">
        <v>887</v>
      </c>
      <c r="E135" s="342">
        <v>674422</v>
      </c>
      <c r="F135" s="343">
        <v>0</v>
      </c>
      <c r="G135" s="344">
        <f>F135/E135*100</f>
        <v>0</v>
      </c>
      <c r="H135" s="345">
        <f>E135/$E$283*100</f>
        <v>1.7972222257013102</v>
      </c>
      <c r="I135" s="346">
        <f>F135/$F$283*100</f>
        <v>0</v>
      </c>
      <c r="J135" s="339"/>
    </row>
    <row r="136" spans="1:10" ht="12.75" hidden="1">
      <c r="A136" s="330"/>
      <c r="B136" s="393"/>
      <c r="C136" s="341" t="s">
        <v>943</v>
      </c>
      <c r="D136" s="178" t="s">
        <v>909</v>
      </c>
      <c r="E136" s="342"/>
      <c r="F136" s="343"/>
      <c r="G136" s="344"/>
      <c r="H136" s="345"/>
      <c r="I136" s="346"/>
      <c r="J136" s="339"/>
    </row>
    <row r="137" spans="1:10" ht="12.75" hidden="1">
      <c r="A137" s="330"/>
      <c r="B137" s="393"/>
      <c r="C137" s="341"/>
      <c r="D137" s="178" t="s">
        <v>910</v>
      </c>
      <c r="E137" s="342">
        <v>1900</v>
      </c>
      <c r="F137" s="343">
        <v>0</v>
      </c>
      <c r="G137" s="344">
        <v>0</v>
      </c>
      <c r="H137" s="345">
        <f>E137/$E$283*100</f>
        <v>0.005063183331552781</v>
      </c>
      <c r="I137" s="346">
        <f>F137/$F$283*100</f>
        <v>0</v>
      </c>
      <c r="J137" s="339"/>
    </row>
    <row r="138" spans="1:10" ht="12.75" hidden="1">
      <c r="A138" s="330"/>
      <c r="B138" s="393"/>
      <c r="C138" s="394" t="s">
        <v>891</v>
      </c>
      <c r="D138" s="347" t="s">
        <v>892</v>
      </c>
      <c r="E138" s="342">
        <v>25000</v>
      </c>
      <c r="F138" s="343">
        <v>0</v>
      </c>
      <c r="G138" s="344">
        <v>0</v>
      </c>
      <c r="H138" s="345">
        <f>E138/$E$283*100</f>
        <v>0.06662083330990501</v>
      </c>
      <c r="I138" s="346">
        <f>F138/$F$283*100</f>
        <v>0</v>
      </c>
      <c r="J138" s="339"/>
    </row>
    <row r="139" spans="1:10" ht="12.75" hidden="1">
      <c r="A139" s="330"/>
      <c r="B139" s="393"/>
      <c r="C139" s="394"/>
      <c r="D139" s="347" t="s">
        <v>944</v>
      </c>
      <c r="E139" s="342"/>
      <c r="F139" s="343"/>
      <c r="G139" s="344"/>
      <c r="H139" s="345"/>
      <c r="I139" s="346"/>
      <c r="J139" s="339"/>
    </row>
    <row r="140" spans="1:10" ht="12.75" customHeight="1">
      <c r="A140" s="330"/>
      <c r="B140" s="393"/>
      <c r="C140" s="368"/>
      <c r="D140" s="395"/>
      <c r="E140" s="342"/>
      <c r="F140" s="343"/>
      <c r="G140" s="344"/>
      <c r="H140" s="345"/>
      <c r="I140" s="346"/>
      <c r="J140" s="339"/>
    </row>
    <row r="141" spans="1:10" ht="13.5" hidden="1" thickBot="1">
      <c r="A141" s="330"/>
      <c r="B141" s="374">
        <v>80130</v>
      </c>
      <c r="C141" s="389"/>
      <c r="D141" s="387" t="s">
        <v>729</v>
      </c>
      <c r="E141" s="376">
        <f>SUM(E142:E149)</f>
        <v>55409</v>
      </c>
      <c r="F141" s="376">
        <f>SUM(F142:F149)</f>
        <v>0</v>
      </c>
      <c r="G141" s="353">
        <f>F141/E141*100</f>
        <v>0</v>
      </c>
      <c r="H141" s="354">
        <f>E141/$E$283*100</f>
        <v>0.14765575011474105</v>
      </c>
      <c r="I141" s="355">
        <f>F141/$F$283*100</f>
        <v>0</v>
      </c>
      <c r="J141" s="339"/>
    </row>
    <row r="142" spans="1:10" ht="12.75" hidden="1">
      <c r="A142" s="330"/>
      <c r="B142" s="393"/>
      <c r="C142" s="341" t="s">
        <v>879</v>
      </c>
      <c r="D142" s="178" t="s">
        <v>880</v>
      </c>
      <c r="E142" s="342">
        <v>3500</v>
      </c>
      <c r="F142" s="357">
        <v>0</v>
      </c>
      <c r="G142" s="344">
        <f>F142/E142*100</f>
        <v>0</v>
      </c>
      <c r="H142" s="345">
        <f>E142/$E$283*100</f>
        <v>0.0093269166633867</v>
      </c>
      <c r="I142" s="346">
        <f>F142/$F$283*100</f>
        <v>0</v>
      </c>
      <c r="J142" s="339"/>
    </row>
    <row r="143" spans="1:10" ht="12.75" hidden="1">
      <c r="A143" s="330"/>
      <c r="B143" s="393"/>
      <c r="C143" s="340"/>
      <c r="D143" s="178" t="s">
        <v>881</v>
      </c>
      <c r="E143" s="342"/>
      <c r="F143" s="343"/>
      <c r="G143" s="344"/>
      <c r="H143" s="345"/>
      <c r="I143" s="346"/>
      <c r="J143" s="339"/>
    </row>
    <row r="144" spans="1:10" ht="12.75" hidden="1">
      <c r="A144" s="330"/>
      <c r="B144" s="368"/>
      <c r="C144" s="394" t="s">
        <v>864</v>
      </c>
      <c r="D144" s="347" t="s">
        <v>859</v>
      </c>
      <c r="E144" s="342">
        <v>23755</v>
      </c>
      <c r="F144" s="343">
        <v>0</v>
      </c>
      <c r="G144" s="344">
        <f>F144/E144*100</f>
        <v>0</v>
      </c>
      <c r="H144" s="345">
        <f>E144/$E$283*100</f>
        <v>0.06330311581107174</v>
      </c>
      <c r="I144" s="346">
        <f>F144/$F$283*100</f>
        <v>0</v>
      </c>
      <c r="J144" s="339"/>
    </row>
    <row r="145" spans="1:10" ht="12.75" hidden="1">
      <c r="A145" s="330"/>
      <c r="B145" s="358"/>
      <c r="C145" s="341" t="s">
        <v>921</v>
      </c>
      <c r="D145" s="178" t="s">
        <v>922</v>
      </c>
      <c r="E145" s="342">
        <v>9250</v>
      </c>
      <c r="F145" s="343">
        <v>0</v>
      </c>
      <c r="G145" s="344">
        <f>F145/E145*100</f>
        <v>0</v>
      </c>
      <c r="H145" s="345">
        <f>E145/$E$283*100</f>
        <v>0.024649708324664853</v>
      </c>
      <c r="I145" s="346">
        <f>F145/$F$283*100</f>
        <v>0</v>
      </c>
      <c r="J145" s="339"/>
    </row>
    <row r="146" spans="1:10" ht="13.5" customHeight="1" hidden="1">
      <c r="A146" s="371"/>
      <c r="B146" s="341"/>
      <c r="C146" s="341" t="s">
        <v>924</v>
      </c>
      <c r="D146" s="178" t="s">
        <v>945</v>
      </c>
      <c r="E146" s="342">
        <v>1500</v>
      </c>
      <c r="F146" s="343">
        <v>0</v>
      </c>
      <c r="G146" s="344">
        <f>F146/E146*100</f>
        <v>0</v>
      </c>
      <c r="H146" s="345">
        <f>E146/$E$283*100</f>
        <v>0.003997249998594301</v>
      </c>
      <c r="I146" s="346">
        <f>F146/$F$283*100</f>
        <v>0</v>
      </c>
      <c r="J146" s="339"/>
    </row>
    <row r="147" spans="1:10" ht="13.5" customHeight="1" hidden="1">
      <c r="A147" s="371"/>
      <c r="B147" s="341"/>
      <c r="C147" s="341" t="s">
        <v>886</v>
      </c>
      <c r="D147" s="347" t="s">
        <v>887</v>
      </c>
      <c r="E147" s="342">
        <v>7404</v>
      </c>
      <c r="F147" s="343">
        <v>0</v>
      </c>
      <c r="G147" s="344">
        <f>F147/E147*100</f>
        <v>0</v>
      </c>
      <c r="H147" s="345">
        <f>E147/$E$283*100</f>
        <v>0.019730425993061466</v>
      </c>
      <c r="I147" s="346">
        <f>F147/$F$283*100</f>
        <v>0</v>
      </c>
      <c r="J147" s="339"/>
    </row>
    <row r="148" spans="1:10" ht="13.5" customHeight="1" hidden="1">
      <c r="A148" s="371"/>
      <c r="B148" s="341"/>
      <c r="C148" s="340">
        <v>6610</v>
      </c>
      <c r="D148" s="178" t="s">
        <v>892</v>
      </c>
      <c r="E148" s="342"/>
      <c r="F148" s="343"/>
      <c r="G148" s="344"/>
      <c r="H148" s="345"/>
      <c r="I148" s="346"/>
      <c r="J148" s="339"/>
    </row>
    <row r="149" spans="1:10" ht="13.5" customHeight="1" hidden="1">
      <c r="A149" s="371"/>
      <c r="B149" s="341"/>
      <c r="C149" s="340"/>
      <c r="D149" s="178" t="s">
        <v>946</v>
      </c>
      <c r="E149" s="342">
        <v>10000</v>
      </c>
      <c r="F149" s="343">
        <v>0</v>
      </c>
      <c r="G149" s="344">
        <f>F149/E149*100</f>
        <v>0</v>
      </c>
      <c r="H149" s="345">
        <f>E149/$E$283*100</f>
        <v>0.026648333323962</v>
      </c>
      <c r="I149" s="346">
        <f>F149/$F$283*100</f>
        <v>0</v>
      </c>
      <c r="J149" s="339"/>
    </row>
    <row r="150" spans="1:10" ht="13.5" customHeight="1" hidden="1">
      <c r="A150" s="371"/>
      <c r="B150" s="341"/>
      <c r="C150" s="340"/>
      <c r="D150" s="178"/>
      <c r="E150" s="342"/>
      <c r="F150" s="343"/>
      <c r="G150" s="344"/>
      <c r="H150" s="345"/>
      <c r="I150" s="346"/>
      <c r="J150" s="339"/>
    </row>
    <row r="151" spans="1:10" ht="13.5" customHeight="1" hidden="1" thickBot="1">
      <c r="A151" s="371"/>
      <c r="B151" s="349" t="s">
        <v>947</v>
      </c>
      <c r="C151" s="380"/>
      <c r="D151" s="351" t="s">
        <v>948</v>
      </c>
      <c r="E151" s="376">
        <f>E152</f>
        <v>3967</v>
      </c>
      <c r="F151" s="377">
        <f>F152</f>
        <v>0</v>
      </c>
      <c r="G151" s="353">
        <f>F151/E151*100</f>
        <v>0</v>
      </c>
      <c r="H151" s="354">
        <f>E151/$E$283*100</f>
        <v>0.010571393829615727</v>
      </c>
      <c r="I151" s="355">
        <f>F151/$F$283*100</f>
        <v>0</v>
      </c>
      <c r="J151" s="339"/>
    </row>
    <row r="152" spans="1:10" ht="13.5" customHeight="1" hidden="1">
      <c r="A152" s="371"/>
      <c r="B152" s="341"/>
      <c r="C152" s="341" t="s">
        <v>884</v>
      </c>
      <c r="D152" s="178" t="s">
        <v>885</v>
      </c>
      <c r="E152" s="342">
        <v>3967</v>
      </c>
      <c r="F152" s="343">
        <v>0</v>
      </c>
      <c r="G152" s="344">
        <f>F152/E152*100</f>
        <v>0</v>
      </c>
      <c r="H152" s="345">
        <f>E152/$E$283*100</f>
        <v>0.010571393829615727</v>
      </c>
      <c r="I152" s="346">
        <f>F152/$F$283*100</f>
        <v>0</v>
      </c>
      <c r="J152" s="339"/>
    </row>
    <row r="153" spans="1:10" ht="13.5" customHeight="1" hidden="1">
      <c r="A153" s="371"/>
      <c r="B153" s="341"/>
      <c r="C153" s="341"/>
      <c r="D153" s="178"/>
      <c r="E153" s="342"/>
      <c r="F153" s="343"/>
      <c r="G153" s="344"/>
      <c r="H153" s="345"/>
      <c r="I153" s="346"/>
      <c r="J153" s="339"/>
    </row>
    <row r="154" spans="1:10" ht="13.5" customHeight="1" hidden="1" thickBot="1">
      <c r="A154" s="371"/>
      <c r="B154" s="349" t="s">
        <v>847</v>
      </c>
      <c r="C154" s="350"/>
      <c r="D154" s="351" t="s">
        <v>621</v>
      </c>
      <c r="E154" s="376">
        <f>SUM(E155:E156)</f>
        <v>73984</v>
      </c>
      <c r="F154" s="376">
        <f>SUM(F155:F156)</f>
        <v>0</v>
      </c>
      <c r="G154" s="353">
        <f>F154/E154*100</f>
        <v>0</v>
      </c>
      <c r="H154" s="354">
        <f>E154/$E$283*100</f>
        <v>0.1971550292640005</v>
      </c>
      <c r="I154" s="355">
        <f>F154/$F$283*100</f>
        <v>0</v>
      </c>
      <c r="J154" s="339"/>
    </row>
    <row r="155" spans="1:10" ht="13.5" customHeight="1" hidden="1">
      <c r="A155" s="371"/>
      <c r="B155" s="341"/>
      <c r="C155" s="396" t="s">
        <v>886</v>
      </c>
      <c r="D155" s="367" t="s">
        <v>887</v>
      </c>
      <c r="E155" s="385">
        <v>12074</v>
      </c>
      <c r="F155" s="357">
        <v>0</v>
      </c>
      <c r="G155" s="397">
        <f>F155/E155*100</f>
        <v>0</v>
      </c>
      <c r="H155" s="398">
        <f>E155/$E$283*100</f>
        <v>0.03217519765535172</v>
      </c>
      <c r="I155" s="346">
        <f>F155/$F$283*100</f>
        <v>0</v>
      </c>
      <c r="J155" s="339"/>
    </row>
    <row r="156" spans="1:10" ht="13.5" customHeight="1" hidden="1">
      <c r="A156" s="371"/>
      <c r="B156" s="341"/>
      <c r="C156" s="341" t="s">
        <v>908</v>
      </c>
      <c r="D156" s="178" t="s">
        <v>909</v>
      </c>
      <c r="E156" s="342">
        <v>61910</v>
      </c>
      <c r="F156" s="343">
        <v>0</v>
      </c>
      <c r="G156" s="344">
        <f>F156/E156*100</f>
        <v>0</v>
      </c>
      <c r="H156" s="345">
        <f>E156/$E$283*100</f>
        <v>0.16497983160864876</v>
      </c>
      <c r="I156" s="346">
        <f>F156/$F$283*100</f>
        <v>0</v>
      </c>
      <c r="J156" s="339"/>
    </row>
    <row r="157" spans="1:10" ht="13.5" customHeight="1" hidden="1">
      <c r="A157" s="371"/>
      <c r="B157" s="341"/>
      <c r="C157" s="341"/>
      <c r="D157" s="178" t="s">
        <v>910</v>
      </c>
      <c r="E157" s="342"/>
      <c r="F157" s="343"/>
      <c r="G157" s="344"/>
      <c r="H157" s="345"/>
      <c r="I157" s="346"/>
      <c r="J157" s="339"/>
    </row>
    <row r="158" spans="1:10" ht="13.5" customHeight="1" hidden="1">
      <c r="A158" s="371"/>
      <c r="B158" s="341"/>
      <c r="C158" s="340"/>
      <c r="D158" s="178"/>
      <c r="E158" s="342"/>
      <c r="F158" s="343"/>
      <c r="G158" s="344"/>
      <c r="H158" s="345"/>
      <c r="I158" s="346"/>
      <c r="J158" s="339"/>
    </row>
    <row r="159" spans="1:10" ht="13.5" thickBot="1">
      <c r="A159" s="371"/>
      <c r="B159" s="350" t="s">
        <v>848</v>
      </c>
      <c r="C159" s="399"/>
      <c r="D159" s="351" t="s">
        <v>407</v>
      </c>
      <c r="E159" s="376">
        <f>E160</f>
        <v>21314</v>
      </c>
      <c r="F159" s="377">
        <f>F160</f>
        <v>19000</v>
      </c>
      <c r="G159" s="353">
        <f>F159/E159*100</f>
        <v>89.14328610303087</v>
      </c>
      <c r="H159" s="354">
        <f>E159/$E$283*100</f>
        <v>0.056798257646692614</v>
      </c>
      <c r="I159" s="355">
        <f>F159/$F$283*100</f>
        <v>0.05358926815674917</v>
      </c>
      <c r="J159" s="339"/>
    </row>
    <row r="160" spans="1:10" ht="12.75">
      <c r="A160" s="371"/>
      <c r="B160" s="341"/>
      <c r="C160" s="341" t="s">
        <v>952</v>
      </c>
      <c r="D160" s="178" t="s">
        <v>953</v>
      </c>
      <c r="E160" s="342">
        <v>21314</v>
      </c>
      <c r="F160" s="343">
        <v>19000</v>
      </c>
      <c r="G160" s="344">
        <f>F160/E160*100</f>
        <v>89.14328610303087</v>
      </c>
      <c r="H160" s="345">
        <f>E160/$E$283*100</f>
        <v>0.056798257646692614</v>
      </c>
      <c r="I160" s="346">
        <f>F160/$F$283*100</f>
        <v>0.05358926815674917</v>
      </c>
      <c r="J160" s="339"/>
    </row>
    <row r="161" spans="1:10" ht="12.75">
      <c r="A161" s="371"/>
      <c r="B161" s="341"/>
      <c r="C161" s="341"/>
      <c r="D161" s="178"/>
      <c r="E161" s="342"/>
      <c r="F161" s="343"/>
      <c r="G161" s="344"/>
      <c r="H161" s="345"/>
      <c r="I161" s="346"/>
      <c r="J161" s="339"/>
    </row>
    <row r="162" spans="1:10" s="329" customFormat="1" ht="13.5" thickBot="1">
      <c r="A162" s="369">
        <v>803</v>
      </c>
      <c r="B162" s="370"/>
      <c r="C162" s="370"/>
      <c r="D162" s="175" t="s">
        <v>734</v>
      </c>
      <c r="E162" s="323">
        <f>E163</f>
        <v>364093</v>
      </c>
      <c r="F162" s="359">
        <f>F163</f>
        <v>571098</v>
      </c>
      <c r="G162" s="360">
        <f>F162/E162*100</f>
        <v>156.8549793596691</v>
      </c>
      <c r="H162" s="361">
        <f>E162/$E$283*100</f>
        <v>0.9702471624921297</v>
      </c>
      <c r="I162" s="362">
        <f>F162/$F$283*100</f>
        <v>1.6107749403043758</v>
      </c>
      <c r="J162" s="328"/>
    </row>
    <row r="163" spans="1:10" ht="13.5" thickBot="1">
      <c r="A163" s="371"/>
      <c r="B163" s="331" t="s">
        <v>849</v>
      </c>
      <c r="C163" s="373"/>
      <c r="D163" s="365" t="s">
        <v>735</v>
      </c>
      <c r="E163" s="334">
        <f>SUM(E164:E170)</f>
        <v>364093</v>
      </c>
      <c r="F163" s="335">
        <f>SUM(F164:F170)</f>
        <v>571098</v>
      </c>
      <c r="G163" s="336">
        <f>F163/E163*100</f>
        <v>156.8549793596691</v>
      </c>
      <c r="H163" s="337">
        <f>E163/$E$283*100</f>
        <v>0.9702471624921297</v>
      </c>
      <c r="I163" s="338">
        <f>F163/$F$283*100</f>
        <v>1.6107749403043758</v>
      </c>
      <c r="J163" s="339"/>
    </row>
    <row r="164" spans="1:10" ht="12.75" hidden="1">
      <c r="A164" s="371"/>
      <c r="B164" s="341"/>
      <c r="C164" s="341" t="s">
        <v>954</v>
      </c>
      <c r="D164" s="178" t="s">
        <v>955</v>
      </c>
      <c r="E164" s="342">
        <v>273070</v>
      </c>
      <c r="F164" s="343"/>
      <c r="G164" s="344">
        <f>F164/E164*100</f>
        <v>0</v>
      </c>
      <c r="H164" s="345">
        <f>E164/$E$283*100</f>
        <v>0.7276860380774304</v>
      </c>
      <c r="I164" s="346">
        <f>F164/$F$283*100</f>
        <v>0</v>
      </c>
      <c r="J164" s="339"/>
    </row>
    <row r="165" spans="1:10" ht="12.75" hidden="1">
      <c r="A165" s="371"/>
      <c r="B165" s="341"/>
      <c r="C165" s="341"/>
      <c r="D165" s="178" t="s">
        <v>956</v>
      </c>
      <c r="E165" s="342"/>
      <c r="F165" s="343"/>
      <c r="G165" s="344"/>
      <c r="H165" s="345"/>
      <c r="I165" s="346"/>
      <c r="J165" s="339"/>
    </row>
    <row r="166" spans="1:10" ht="12.75" hidden="1">
      <c r="A166" s="371"/>
      <c r="B166" s="341"/>
      <c r="C166" s="341" t="s">
        <v>957</v>
      </c>
      <c r="D166" s="178" t="s">
        <v>955</v>
      </c>
      <c r="E166" s="342">
        <v>91023</v>
      </c>
      <c r="F166" s="343"/>
      <c r="G166" s="344">
        <f>F166/E166*100</f>
        <v>0</v>
      </c>
      <c r="H166" s="345">
        <f>E166/$E$283*100</f>
        <v>0.24256112441469932</v>
      </c>
      <c r="I166" s="346">
        <f>F166/$F$283*100</f>
        <v>0</v>
      </c>
      <c r="J166" s="339"/>
    </row>
    <row r="167" spans="1:10" ht="12.75" hidden="1">
      <c r="A167" s="371"/>
      <c r="B167" s="341"/>
      <c r="C167" s="341"/>
      <c r="D167" s="178" t="s">
        <v>956</v>
      </c>
      <c r="E167" s="342"/>
      <c r="F167" s="343"/>
      <c r="G167" s="344"/>
      <c r="H167" s="345"/>
      <c r="I167" s="346"/>
      <c r="J167" s="339"/>
    </row>
    <row r="168" spans="1:10" ht="12.75">
      <c r="A168" s="371"/>
      <c r="B168" s="341"/>
      <c r="C168" s="341" t="s">
        <v>133</v>
      </c>
      <c r="D168" s="178" t="s">
        <v>135</v>
      </c>
      <c r="E168" s="342">
        <v>0</v>
      </c>
      <c r="F168" s="343">
        <v>428324</v>
      </c>
      <c r="G168" s="344">
        <v>0</v>
      </c>
      <c r="H168" s="345">
        <f>E168/$E$283*100</f>
        <v>0</v>
      </c>
      <c r="I168" s="346">
        <f>F168/$F$283*100</f>
        <v>1.2080826154721809</v>
      </c>
      <c r="J168" s="339"/>
    </row>
    <row r="169" spans="1:10" ht="12.75">
      <c r="A169" s="371"/>
      <c r="B169" s="341"/>
      <c r="C169" s="341"/>
      <c r="D169" s="178" t="s">
        <v>136</v>
      </c>
      <c r="E169" s="342"/>
      <c r="F169" s="343"/>
      <c r="G169" s="344"/>
      <c r="H169" s="345"/>
      <c r="I169" s="346"/>
      <c r="J169" s="339"/>
    </row>
    <row r="170" spans="1:10" ht="12.75">
      <c r="A170" s="371"/>
      <c r="B170" s="341"/>
      <c r="C170" s="341" t="s">
        <v>134</v>
      </c>
      <c r="D170" s="178" t="s">
        <v>135</v>
      </c>
      <c r="E170" s="342">
        <v>0</v>
      </c>
      <c r="F170" s="343">
        <v>142774</v>
      </c>
      <c r="G170" s="344">
        <v>0</v>
      </c>
      <c r="H170" s="345">
        <f>E170/$E$283*100</f>
        <v>0</v>
      </c>
      <c r="I170" s="346">
        <f>F170/$F$283*100</f>
        <v>0.4026923248321951</v>
      </c>
      <c r="J170" s="339"/>
    </row>
    <row r="171" spans="1:10" ht="12.75">
      <c r="A171" s="371"/>
      <c r="B171" s="341"/>
      <c r="C171" s="341"/>
      <c r="D171" s="178" t="s">
        <v>136</v>
      </c>
      <c r="E171" s="342"/>
      <c r="F171" s="343"/>
      <c r="G171" s="344"/>
      <c r="H171" s="345"/>
      <c r="I171" s="346"/>
      <c r="J171" s="339"/>
    </row>
    <row r="172" spans="1:10" ht="12.75">
      <c r="A172" s="371"/>
      <c r="B172" s="341"/>
      <c r="C172" s="341"/>
      <c r="D172" s="178"/>
      <c r="E172" s="342"/>
      <c r="F172" s="343"/>
      <c r="G172" s="344"/>
      <c r="H172" s="345"/>
      <c r="I172" s="346"/>
      <c r="J172" s="339"/>
    </row>
    <row r="173" spans="1:10" s="329" customFormat="1" ht="13.5" thickBot="1">
      <c r="A173" s="369">
        <v>851</v>
      </c>
      <c r="B173" s="321"/>
      <c r="C173" s="321"/>
      <c r="D173" s="175" t="s">
        <v>737</v>
      </c>
      <c r="E173" s="323">
        <f>E182+E178+E174</f>
        <v>2603106</v>
      </c>
      <c r="F173" s="359">
        <f>F182+F178+F174</f>
        <v>3242925</v>
      </c>
      <c r="G173" s="360">
        <f>F173/E173*100</f>
        <v>124.57906055304701</v>
      </c>
      <c r="H173" s="361">
        <f>E173/$E$283*100</f>
        <v>6.936843636560543</v>
      </c>
      <c r="I173" s="362">
        <f>F173/$F$283*100</f>
        <v>9.146630391432938</v>
      </c>
      <c r="J173" s="328"/>
    </row>
    <row r="174" spans="1:10" ht="13.5" hidden="1" thickBot="1">
      <c r="A174" s="330"/>
      <c r="B174" s="380">
        <v>85111</v>
      </c>
      <c r="C174" s="380"/>
      <c r="D174" s="351" t="s">
        <v>738</v>
      </c>
      <c r="E174" s="376">
        <f>E175</f>
        <v>58681</v>
      </c>
      <c r="F174" s="376">
        <f>F175</f>
        <v>0</v>
      </c>
      <c r="G174" s="336">
        <f>F174/E174*100</f>
        <v>0</v>
      </c>
      <c r="H174" s="337">
        <f>E174/$E$283*100</f>
        <v>0.15637508477834142</v>
      </c>
      <c r="I174" s="338">
        <f>F174/$F$283*100</f>
        <v>0</v>
      </c>
      <c r="J174" s="339"/>
    </row>
    <row r="175" spans="1:10" ht="12.75" hidden="1">
      <c r="A175" s="330"/>
      <c r="B175" s="358"/>
      <c r="C175" s="340">
        <v>6439</v>
      </c>
      <c r="D175" s="178" t="s">
        <v>958</v>
      </c>
      <c r="E175" s="342">
        <v>58681</v>
      </c>
      <c r="F175" s="343">
        <v>0</v>
      </c>
      <c r="G175" s="344">
        <f>F175/E175*100</f>
        <v>0</v>
      </c>
      <c r="H175" s="345">
        <f>E175/$E$283*100</f>
        <v>0.15637508477834142</v>
      </c>
      <c r="I175" s="346">
        <f>F175/$F$283*100</f>
        <v>0</v>
      </c>
      <c r="J175" s="339"/>
    </row>
    <row r="176" spans="1:10" ht="12.75" hidden="1">
      <c r="A176" s="330"/>
      <c r="B176" s="358"/>
      <c r="C176" s="340"/>
      <c r="D176" s="178" t="s">
        <v>959</v>
      </c>
      <c r="E176" s="342"/>
      <c r="F176" s="343"/>
      <c r="G176" s="344"/>
      <c r="H176" s="345"/>
      <c r="I176" s="346"/>
      <c r="J176" s="339"/>
    </row>
    <row r="177" spans="1:10" ht="12.75" hidden="1">
      <c r="A177" s="330"/>
      <c r="B177" s="368"/>
      <c r="C177" s="358"/>
      <c r="D177" s="174"/>
      <c r="E177" s="400"/>
      <c r="F177" s="324"/>
      <c r="G177" s="344"/>
      <c r="H177" s="345"/>
      <c r="I177" s="346"/>
      <c r="J177" s="339"/>
    </row>
    <row r="178" spans="1:10" ht="13.5" thickBot="1">
      <c r="A178" s="330"/>
      <c r="B178" s="374">
        <v>85154</v>
      </c>
      <c r="C178" s="321"/>
      <c r="D178" s="351" t="s">
        <v>960</v>
      </c>
      <c r="E178" s="376">
        <f>E179</f>
        <v>15425</v>
      </c>
      <c r="F178" s="377">
        <f>F179</f>
        <v>4925</v>
      </c>
      <c r="G178" s="353">
        <f>F178/E178*100</f>
        <v>31.92868719611021</v>
      </c>
      <c r="H178" s="354">
        <f>E178/$E$283*100</f>
        <v>0.041105054152211384</v>
      </c>
      <c r="I178" s="355">
        <f>F178/$F$283*100</f>
        <v>0.01389090240378893</v>
      </c>
      <c r="J178" s="339"/>
    </row>
    <row r="179" spans="1:10" ht="12.75">
      <c r="A179" s="330"/>
      <c r="B179" s="358"/>
      <c r="C179" s="340">
        <v>2330</v>
      </c>
      <c r="D179" s="178" t="s">
        <v>961</v>
      </c>
      <c r="E179" s="342">
        <v>15425</v>
      </c>
      <c r="F179" s="343">
        <v>4925</v>
      </c>
      <c r="G179" s="344">
        <f>F179/E179*100</f>
        <v>31.92868719611021</v>
      </c>
      <c r="H179" s="345">
        <f>E179/$E$283*100</f>
        <v>0.041105054152211384</v>
      </c>
      <c r="I179" s="346">
        <f>F179/$F$283*100</f>
        <v>0.01389090240378893</v>
      </c>
      <c r="J179" s="339"/>
    </row>
    <row r="180" spans="1:10" ht="12.75">
      <c r="A180" s="330"/>
      <c r="B180" s="368"/>
      <c r="C180" s="340"/>
      <c r="D180" s="178" t="s">
        <v>962</v>
      </c>
      <c r="E180" s="400"/>
      <c r="F180" s="324"/>
      <c r="G180" s="344"/>
      <c r="H180" s="345"/>
      <c r="I180" s="346"/>
      <c r="J180" s="339"/>
    </row>
    <row r="181" spans="1:10" ht="16.5" customHeight="1">
      <c r="A181" s="330"/>
      <c r="B181" s="358"/>
      <c r="C181" s="340"/>
      <c r="D181" s="348"/>
      <c r="E181" s="400"/>
      <c r="F181" s="324"/>
      <c r="G181" s="344"/>
      <c r="H181" s="345"/>
      <c r="I181" s="346"/>
      <c r="J181" s="339"/>
    </row>
    <row r="182" spans="1:10" ht="12.75">
      <c r="A182" s="330"/>
      <c r="B182" s="340">
        <v>85156</v>
      </c>
      <c r="C182" s="401"/>
      <c r="D182" s="347" t="s">
        <v>963</v>
      </c>
      <c r="E182" s="342">
        <f>E184</f>
        <v>2529000</v>
      </c>
      <c r="F182" s="343">
        <f>F184</f>
        <v>3238000</v>
      </c>
      <c r="G182" s="344">
        <f>F182/E182*100</f>
        <v>128.0347963621985</v>
      </c>
      <c r="H182" s="345">
        <f>E182/$E$283*100</f>
        <v>6.739363497629991</v>
      </c>
      <c r="I182" s="346">
        <f>F182/$F$283*100</f>
        <v>9.132739489029149</v>
      </c>
      <c r="J182" s="339"/>
    </row>
    <row r="183" spans="1:10" ht="12.75" customHeight="1" thickBot="1">
      <c r="A183" s="330"/>
      <c r="B183" s="374"/>
      <c r="C183" s="402"/>
      <c r="D183" s="351" t="s">
        <v>964</v>
      </c>
      <c r="E183" s="376"/>
      <c r="F183" s="343"/>
      <c r="G183" s="353"/>
      <c r="H183" s="354"/>
      <c r="I183" s="355"/>
      <c r="J183" s="339"/>
    </row>
    <row r="184" spans="1:10" ht="12.75">
      <c r="A184" s="330"/>
      <c r="B184" s="358"/>
      <c r="C184" s="340">
        <v>2110</v>
      </c>
      <c r="D184" s="178" t="s">
        <v>877</v>
      </c>
      <c r="E184" s="342">
        <v>2529000</v>
      </c>
      <c r="F184" s="357">
        <v>3238000</v>
      </c>
      <c r="G184" s="344">
        <f>F184/E184*100</f>
        <v>128.0347963621985</v>
      </c>
      <c r="H184" s="345">
        <f>E184/$E$283*100</f>
        <v>6.739363497629991</v>
      </c>
      <c r="I184" s="346">
        <f>F184/$F$283*100</f>
        <v>9.132739489029149</v>
      </c>
      <c r="J184" s="339"/>
    </row>
    <row r="185" spans="1:10" ht="12.75">
      <c r="A185" s="330"/>
      <c r="B185" s="358"/>
      <c r="C185" s="340"/>
      <c r="D185" s="347" t="s">
        <v>915</v>
      </c>
      <c r="E185" s="400"/>
      <c r="F185" s="324"/>
      <c r="G185" s="344"/>
      <c r="H185" s="345"/>
      <c r="I185" s="346"/>
      <c r="J185" s="339"/>
    </row>
    <row r="186" spans="1:10" ht="12.75">
      <c r="A186" s="330"/>
      <c r="B186" s="358"/>
      <c r="C186" s="340"/>
      <c r="D186" s="178"/>
      <c r="E186" s="342"/>
      <c r="F186" s="343"/>
      <c r="G186" s="344"/>
      <c r="H186" s="345"/>
      <c r="I186" s="346"/>
      <c r="J186" s="339"/>
    </row>
    <row r="187" spans="1:10" s="329" customFormat="1" ht="13.5" thickBot="1">
      <c r="A187" s="369">
        <v>852</v>
      </c>
      <c r="B187" s="321"/>
      <c r="C187" s="321"/>
      <c r="D187" s="390" t="s">
        <v>754</v>
      </c>
      <c r="E187" s="323">
        <f>E188+E197+E209+E214+E221+E203+E226</f>
        <v>5414242</v>
      </c>
      <c r="F187" s="323">
        <f>F188+F197+F209+F214+F221+F203+F226</f>
        <v>4997172</v>
      </c>
      <c r="G187" s="360">
        <f>F187/E187*100</f>
        <v>92.29679796359306</v>
      </c>
      <c r="H187" s="361">
        <f aca="true" t="shared" si="3" ref="H187:H192">E187/$E$283*100</f>
        <v>14.428052551259468</v>
      </c>
      <c r="I187" s="362">
        <f aca="true" t="shared" si="4" ref="I187:I192">F187/$F$283*100</f>
        <v>14.09446264912624</v>
      </c>
      <c r="J187" s="328"/>
    </row>
    <row r="188" spans="1:10" ht="13.5" thickBot="1">
      <c r="A188" s="371"/>
      <c r="B188" s="372">
        <v>85201</v>
      </c>
      <c r="C188" s="372"/>
      <c r="D188" s="351" t="s">
        <v>755</v>
      </c>
      <c r="E188" s="334">
        <f>SUM(E189:E195)</f>
        <v>462080</v>
      </c>
      <c r="F188" s="403">
        <f>SUM(F189:F195)</f>
        <v>314304</v>
      </c>
      <c r="G188" s="336">
        <f>F188/E188*100</f>
        <v>68.01939058171746</v>
      </c>
      <c r="H188" s="337">
        <f t="shared" si="3"/>
        <v>1.2313661862336363</v>
      </c>
      <c r="I188" s="338">
        <f t="shared" si="4"/>
        <v>0.886490596775731</v>
      </c>
      <c r="J188" s="339"/>
    </row>
    <row r="189" spans="1:10" ht="12.75" hidden="1">
      <c r="A189" s="371"/>
      <c r="B189" s="340"/>
      <c r="C189" s="341" t="s">
        <v>965</v>
      </c>
      <c r="D189" s="178" t="s">
        <v>966</v>
      </c>
      <c r="E189" s="342">
        <v>622</v>
      </c>
      <c r="F189" s="343">
        <v>0</v>
      </c>
      <c r="G189" s="344">
        <v>0</v>
      </c>
      <c r="H189" s="345">
        <f t="shared" si="3"/>
        <v>0.0016575263327504367</v>
      </c>
      <c r="I189" s="346">
        <f t="shared" si="4"/>
        <v>0</v>
      </c>
      <c r="J189" s="339"/>
    </row>
    <row r="190" spans="1:10" ht="12.75">
      <c r="A190" s="371"/>
      <c r="B190" s="340"/>
      <c r="C190" s="341" t="s">
        <v>924</v>
      </c>
      <c r="D190" s="178" t="s">
        <v>945</v>
      </c>
      <c r="E190" s="342">
        <v>20615</v>
      </c>
      <c r="F190" s="343">
        <v>3000</v>
      </c>
      <c r="G190" s="344">
        <f>F190/E190*100</f>
        <v>14.552510308028136</v>
      </c>
      <c r="H190" s="345">
        <f t="shared" si="3"/>
        <v>0.05493553914734767</v>
      </c>
      <c r="I190" s="346">
        <f t="shared" si="4"/>
        <v>0.008461463393170922</v>
      </c>
      <c r="J190" s="339"/>
    </row>
    <row r="191" spans="1:10" ht="12.75" hidden="1">
      <c r="A191" s="371"/>
      <c r="B191" s="340"/>
      <c r="C191" s="341" t="s">
        <v>886</v>
      </c>
      <c r="D191" s="178" t="s">
        <v>887</v>
      </c>
      <c r="E191" s="342">
        <v>1883</v>
      </c>
      <c r="F191" s="343">
        <v>0</v>
      </c>
      <c r="G191" s="344">
        <f>F191/E191*100</f>
        <v>0</v>
      </c>
      <c r="H191" s="345">
        <f t="shared" si="3"/>
        <v>0.005017881164902045</v>
      </c>
      <c r="I191" s="346">
        <f t="shared" si="4"/>
        <v>0</v>
      </c>
      <c r="J191" s="339"/>
    </row>
    <row r="192" spans="1:10" ht="12.75" hidden="1">
      <c r="A192" s="371"/>
      <c r="B192" s="340"/>
      <c r="C192" s="341" t="s">
        <v>949</v>
      </c>
      <c r="D192" s="178" t="s">
        <v>950</v>
      </c>
      <c r="E192" s="342">
        <v>3000</v>
      </c>
      <c r="F192" s="343">
        <v>0</v>
      </c>
      <c r="G192" s="379">
        <f>F192/E192*100</f>
        <v>0</v>
      </c>
      <c r="H192" s="345">
        <f t="shared" si="3"/>
        <v>0.007994499997188601</v>
      </c>
      <c r="I192" s="346">
        <f t="shared" si="4"/>
        <v>0</v>
      </c>
      <c r="J192" s="339"/>
    </row>
    <row r="193" spans="1:10" ht="12.75" hidden="1">
      <c r="A193" s="371"/>
      <c r="B193" s="340"/>
      <c r="C193" s="341"/>
      <c r="D193" s="178" t="s">
        <v>951</v>
      </c>
      <c r="E193" s="342"/>
      <c r="F193" s="343"/>
      <c r="G193" s="344"/>
      <c r="H193" s="345"/>
      <c r="I193" s="346"/>
      <c r="J193" s="339"/>
    </row>
    <row r="194" spans="1:10" ht="12.75">
      <c r="A194" s="371"/>
      <c r="B194" s="340"/>
      <c r="C194" s="341" t="s">
        <v>888</v>
      </c>
      <c r="D194" s="121" t="s">
        <v>889</v>
      </c>
      <c r="E194" s="342">
        <v>435960</v>
      </c>
      <c r="F194" s="343">
        <v>311304</v>
      </c>
      <c r="G194" s="379">
        <f>F194/E194*100</f>
        <v>71.40655105973025</v>
      </c>
      <c r="H194" s="345">
        <f>E194/$E$283*100</f>
        <v>1.1617607395914475</v>
      </c>
      <c r="I194" s="346">
        <f>F194/$F$283*100</f>
        <v>0.8780291333825602</v>
      </c>
      <c r="J194" s="339"/>
    </row>
    <row r="195" spans="1:10" ht="12.75">
      <c r="A195" s="371"/>
      <c r="B195" s="340"/>
      <c r="C195" s="341"/>
      <c r="D195" s="347" t="s">
        <v>890</v>
      </c>
      <c r="E195" s="342"/>
      <c r="F195" s="343"/>
      <c r="G195" s="344"/>
      <c r="H195" s="345"/>
      <c r="I195" s="346"/>
      <c r="J195" s="339"/>
    </row>
    <row r="196" spans="1:10" ht="12" customHeight="1">
      <c r="A196" s="371"/>
      <c r="B196" s="340"/>
      <c r="C196" s="340"/>
      <c r="D196" s="348"/>
      <c r="E196" s="342"/>
      <c r="F196" s="343"/>
      <c r="G196" s="344"/>
      <c r="H196" s="345"/>
      <c r="I196" s="346"/>
      <c r="J196" s="339"/>
    </row>
    <row r="197" spans="1:10" ht="13.5" thickBot="1">
      <c r="A197" s="371"/>
      <c r="B197" s="374">
        <v>85202</v>
      </c>
      <c r="C197" s="380"/>
      <c r="D197" s="351" t="s">
        <v>759</v>
      </c>
      <c r="E197" s="376">
        <f>SUM(E198:E200)</f>
        <v>4271052</v>
      </c>
      <c r="F197" s="377">
        <f>SUM(F198:F200)</f>
        <v>4267452</v>
      </c>
      <c r="G197" s="353">
        <f>F197/E197*100</f>
        <v>99.91571163263758</v>
      </c>
      <c r="H197" s="354">
        <f>E197/$E$283*100</f>
        <v>11.381641733997457</v>
      </c>
      <c r="I197" s="355">
        <f>F197/$F$283*100</f>
        <v>12.036296293371345</v>
      </c>
      <c r="J197" s="339"/>
    </row>
    <row r="198" spans="1:10" ht="12.75">
      <c r="A198" s="371"/>
      <c r="B198" s="340"/>
      <c r="C198" s="341" t="s">
        <v>864</v>
      </c>
      <c r="D198" s="178" t="s">
        <v>859</v>
      </c>
      <c r="E198" s="342">
        <v>1680708</v>
      </c>
      <c r="F198" s="343">
        <v>1841152</v>
      </c>
      <c r="G198" s="344">
        <f>F198/E198*100</f>
        <v>109.54621504746808</v>
      </c>
      <c r="H198" s="345">
        <f>E198/$E$283*100</f>
        <v>4.478806700424953</v>
      </c>
      <c r="I198" s="346">
        <f>F198/$F$283*100</f>
        <v>5.192946749754476</v>
      </c>
      <c r="J198" s="339"/>
    </row>
    <row r="199" spans="1:10" ht="12.75">
      <c r="A199" s="371"/>
      <c r="B199" s="340"/>
      <c r="C199" s="341" t="s">
        <v>886</v>
      </c>
      <c r="D199" s="178" t="s">
        <v>887</v>
      </c>
      <c r="E199" s="342">
        <v>23420</v>
      </c>
      <c r="F199" s="343">
        <v>2300</v>
      </c>
      <c r="G199" s="344">
        <f>F199/E199*100</f>
        <v>9.82066609735269</v>
      </c>
      <c r="H199" s="345">
        <f>E199/$E$283*100</f>
        <v>0.06241039664471901</v>
      </c>
      <c r="I199" s="346">
        <f>F199/$F$283*100</f>
        <v>0.006487121934764374</v>
      </c>
      <c r="J199" s="339"/>
    </row>
    <row r="200" spans="1:10" ht="12.75">
      <c r="A200" s="371"/>
      <c r="B200" s="340"/>
      <c r="C200" s="340">
        <v>2130</v>
      </c>
      <c r="D200" s="178" t="s">
        <v>950</v>
      </c>
      <c r="E200" s="342">
        <v>2566924</v>
      </c>
      <c r="F200" s="343">
        <v>2424000</v>
      </c>
      <c r="G200" s="344">
        <f>F200/E200*100</f>
        <v>94.4320907046722</v>
      </c>
      <c r="H200" s="345">
        <f>E200/$E$283*100</f>
        <v>6.840424636927785</v>
      </c>
      <c r="I200" s="346">
        <f>F200/$F$283*100</f>
        <v>6.836862421682105</v>
      </c>
      <c r="J200" s="339"/>
    </row>
    <row r="201" spans="1:10" ht="12.75">
      <c r="A201" s="371"/>
      <c r="B201" s="340"/>
      <c r="C201" s="340"/>
      <c r="D201" s="178" t="s">
        <v>951</v>
      </c>
      <c r="E201" s="378"/>
      <c r="F201" s="347"/>
      <c r="G201" s="344"/>
      <c r="H201" s="345"/>
      <c r="I201" s="346"/>
      <c r="J201" s="339"/>
    </row>
    <row r="202" spans="1:10" ht="12.75">
      <c r="A202" s="371"/>
      <c r="B202" s="340"/>
      <c r="C202" s="340"/>
      <c r="D202" s="348"/>
      <c r="E202" s="378"/>
      <c r="F202" s="347"/>
      <c r="G202" s="344"/>
      <c r="H202" s="345"/>
      <c r="I202" s="346"/>
      <c r="J202" s="339"/>
    </row>
    <row r="203" spans="1:10" ht="13.5" thickBot="1">
      <c r="A203" s="371"/>
      <c r="B203" s="374">
        <v>85203</v>
      </c>
      <c r="C203" s="380"/>
      <c r="D203" s="351" t="s">
        <v>763</v>
      </c>
      <c r="E203" s="404">
        <f>SUM(E204:E206)</f>
        <v>253094</v>
      </c>
      <c r="F203" s="405">
        <f>SUM(F204:F206)</f>
        <v>332704</v>
      </c>
      <c r="G203" s="353">
        <f>F203/E203*100</f>
        <v>131.45471642946887</v>
      </c>
      <c r="H203" s="354">
        <f>E203/$E$283*100</f>
        <v>0.6744533274294839</v>
      </c>
      <c r="I203" s="355">
        <f>F203/$F$283*100</f>
        <v>0.9383875722538462</v>
      </c>
      <c r="J203" s="339"/>
    </row>
    <row r="204" spans="1:10" ht="12.75">
      <c r="A204" s="371"/>
      <c r="B204" s="340"/>
      <c r="C204" s="341" t="s">
        <v>864</v>
      </c>
      <c r="D204" s="178" t="s">
        <v>859</v>
      </c>
      <c r="E204" s="406">
        <v>8704</v>
      </c>
      <c r="F204" s="407">
        <v>8704</v>
      </c>
      <c r="G204" s="344">
        <f>F204/E204*100</f>
        <v>100</v>
      </c>
      <c r="H204" s="345">
        <f>E204/$E$283*100</f>
        <v>0.02319470932517653</v>
      </c>
      <c r="I204" s="346">
        <f>F204/$F$283*100</f>
        <v>0.02454952579138657</v>
      </c>
      <c r="J204" s="339"/>
    </row>
    <row r="205" spans="1:10" ht="12.75" hidden="1">
      <c r="A205" s="371"/>
      <c r="B205" s="340"/>
      <c r="C205" s="341" t="s">
        <v>886</v>
      </c>
      <c r="D205" s="178" t="s">
        <v>887</v>
      </c>
      <c r="E205" s="406">
        <v>2890</v>
      </c>
      <c r="F205" s="405">
        <v>0</v>
      </c>
      <c r="G205" s="344"/>
      <c r="H205" s="345"/>
      <c r="I205" s="346"/>
      <c r="J205" s="339"/>
    </row>
    <row r="206" spans="1:10" ht="12.75">
      <c r="A206" s="371"/>
      <c r="B206" s="340"/>
      <c r="C206" s="340">
        <v>2110</v>
      </c>
      <c r="D206" s="347" t="s">
        <v>877</v>
      </c>
      <c r="E206" s="342">
        <v>241500</v>
      </c>
      <c r="F206" s="343">
        <v>324000</v>
      </c>
      <c r="G206" s="344">
        <f>F206/E206*100</f>
        <v>134.16149068322983</v>
      </c>
      <c r="H206" s="345">
        <f>E206/$E$283*100</f>
        <v>0.6435572497736823</v>
      </c>
      <c r="I206" s="346">
        <f>F206/$F$283*100</f>
        <v>0.9138380464624596</v>
      </c>
      <c r="J206" s="339"/>
    </row>
    <row r="207" spans="1:10" ht="12.75" customHeight="1">
      <c r="A207" s="371"/>
      <c r="B207" s="340"/>
      <c r="C207" s="340"/>
      <c r="D207" s="347" t="s">
        <v>916</v>
      </c>
      <c r="E207" s="342"/>
      <c r="F207" s="343"/>
      <c r="G207" s="344"/>
      <c r="H207" s="345"/>
      <c r="I207" s="346"/>
      <c r="J207" s="339"/>
    </row>
    <row r="208" spans="1:10" ht="12.75" customHeight="1">
      <c r="A208" s="371"/>
      <c r="B208" s="340"/>
      <c r="C208" s="340"/>
      <c r="D208" s="178"/>
      <c r="E208" s="342"/>
      <c r="F208" s="343"/>
      <c r="G208" s="344"/>
      <c r="H208" s="345"/>
      <c r="I208" s="346"/>
      <c r="J208" s="339"/>
    </row>
    <row r="209" spans="1:10" ht="13.5" thickBot="1">
      <c r="A209" s="371"/>
      <c r="B209" s="374">
        <v>85204</v>
      </c>
      <c r="C209" s="380"/>
      <c r="D209" s="351" t="s">
        <v>765</v>
      </c>
      <c r="E209" s="376">
        <f>SUM(E210:E211)</f>
        <v>57100</v>
      </c>
      <c r="F209" s="377">
        <f>SUM(F210:F211)</f>
        <v>56600</v>
      </c>
      <c r="G209" s="353">
        <f>F209/E209*100</f>
        <v>99.12434325744309</v>
      </c>
      <c r="H209" s="354">
        <f>E209/$E$283*100</f>
        <v>0.15216198327982305</v>
      </c>
      <c r="I209" s="355">
        <f>F209/$F$283*100</f>
        <v>0.15963960935115806</v>
      </c>
      <c r="J209" s="339"/>
    </row>
    <row r="210" spans="1:10" ht="12.75" hidden="1">
      <c r="A210" s="371"/>
      <c r="B210" s="340"/>
      <c r="C210" s="341" t="s">
        <v>864</v>
      </c>
      <c r="D210" s="178" t="s">
        <v>859</v>
      </c>
      <c r="E210" s="342">
        <v>500</v>
      </c>
      <c r="F210" s="343">
        <v>0</v>
      </c>
      <c r="G210" s="344">
        <v>0</v>
      </c>
      <c r="H210" s="345">
        <f>E210/$E$283*100</f>
        <v>0.0013324166661981</v>
      </c>
      <c r="I210" s="346">
        <f>F210/$F$283*100</f>
        <v>0</v>
      </c>
      <c r="J210" s="339"/>
    </row>
    <row r="211" spans="1:10" ht="12.75">
      <c r="A211" s="371"/>
      <c r="B211" s="340"/>
      <c r="C211" s="341" t="s">
        <v>888</v>
      </c>
      <c r="D211" s="121" t="s">
        <v>889</v>
      </c>
      <c r="E211" s="342">
        <v>56600</v>
      </c>
      <c r="F211" s="343">
        <v>56600</v>
      </c>
      <c r="G211" s="344">
        <f>F211/E211*100</f>
        <v>100</v>
      </c>
      <c r="H211" s="345">
        <f>E211/$E$283*100</f>
        <v>0.15082956661362495</v>
      </c>
      <c r="I211" s="346">
        <f>F211/$F$283*100</f>
        <v>0.15963960935115806</v>
      </c>
      <c r="J211" s="339"/>
    </row>
    <row r="212" spans="1:10" ht="12.75">
      <c r="A212" s="371"/>
      <c r="B212" s="340"/>
      <c r="C212" s="341"/>
      <c r="D212" s="347" t="s">
        <v>890</v>
      </c>
      <c r="E212" s="342"/>
      <c r="F212" s="343"/>
      <c r="G212" s="344"/>
      <c r="H212" s="345"/>
      <c r="I212" s="346"/>
      <c r="J212" s="339"/>
    </row>
    <row r="213" spans="1:10" ht="6.75" customHeight="1">
      <c r="A213" s="371"/>
      <c r="B213" s="340"/>
      <c r="C213" s="341"/>
      <c r="D213" s="178"/>
      <c r="E213" s="342"/>
      <c r="F213" s="343"/>
      <c r="G213" s="344"/>
      <c r="H213" s="345"/>
      <c r="I213" s="346"/>
      <c r="J213" s="339"/>
    </row>
    <row r="214" spans="1:10" ht="13.5" thickBot="1">
      <c r="A214" s="371"/>
      <c r="B214" s="374">
        <v>85218</v>
      </c>
      <c r="C214" s="380"/>
      <c r="D214" s="351" t="s">
        <v>766</v>
      </c>
      <c r="E214" s="376">
        <f>SUM(E215:E218)</f>
        <v>56700</v>
      </c>
      <c r="F214" s="343">
        <f>SUM(F215:F218)</f>
        <v>5000</v>
      </c>
      <c r="G214" s="353">
        <f>F214/E214*100</f>
        <v>8.818342151675484</v>
      </c>
      <c r="H214" s="354">
        <f>E214/$E$283*100</f>
        <v>0.15109604994686454</v>
      </c>
      <c r="I214" s="355">
        <f>F214/$F$283*100</f>
        <v>0.014102438988618203</v>
      </c>
      <c r="J214" s="339"/>
    </row>
    <row r="215" spans="1:10" ht="12.75">
      <c r="A215" s="371"/>
      <c r="B215" s="340"/>
      <c r="C215" s="341" t="s">
        <v>886</v>
      </c>
      <c r="D215" s="178" t="s">
        <v>887</v>
      </c>
      <c r="E215" s="342">
        <v>10700</v>
      </c>
      <c r="F215" s="357">
        <v>5000</v>
      </c>
      <c r="G215" s="344">
        <f>F215/E215*100</f>
        <v>46.728971962616825</v>
      </c>
      <c r="H215" s="345">
        <f>E215/$E$283*100</f>
        <v>0.02851371665663934</v>
      </c>
      <c r="I215" s="346">
        <f>F215/$F$283*100</f>
        <v>0.014102438988618203</v>
      </c>
      <c r="J215" s="339"/>
    </row>
    <row r="216" spans="1:10" ht="12.75" hidden="1">
      <c r="A216" s="371"/>
      <c r="B216" s="340"/>
      <c r="C216" s="341" t="s">
        <v>967</v>
      </c>
      <c r="D216" s="178" t="s">
        <v>970</v>
      </c>
      <c r="E216" s="342">
        <v>40000</v>
      </c>
      <c r="F216" s="343">
        <v>0</v>
      </c>
      <c r="G216" s="344">
        <f>F216/E216*100</f>
        <v>0</v>
      </c>
      <c r="H216" s="345">
        <f>E216/$E$283*100</f>
        <v>0.106593333295848</v>
      </c>
      <c r="I216" s="346">
        <f>F216/$F$283*100</f>
        <v>0</v>
      </c>
      <c r="J216" s="339"/>
    </row>
    <row r="217" spans="1:10" ht="12.75" hidden="1">
      <c r="A217" s="371"/>
      <c r="B217" s="340"/>
      <c r="C217" s="341"/>
      <c r="D217" s="178" t="s">
        <v>971</v>
      </c>
      <c r="E217" s="342"/>
      <c r="F217" s="343"/>
      <c r="G217" s="344"/>
      <c r="H217" s="345"/>
      <c r="I217" s="346"/>
      <c r="J217" s="339"/>
    </row>
    <row r="218" spans="1:10" ht="12.75" hidden="1">
      <c r="A218" s="371"/>
      <c r="B218" s="340"/>
      <c r="C218" s="341" t="s">
        <v>949</v>
      </c>
      <c r="D218" s="178" t="s">
        <v>950</v>
      </c>
      <c r="E218" s="342">
        <v>6000</v>
      </c>
      <c r="F218" s="343">
        <v>0</v>
      </c>
      <c r="G218" s="344">
        <f>F218/E218*100</f>
        <v>0</v>
      </c>
      <c r="H218" s="345">
        <f>E218/$E$283*100</f>
        <v>0.015988999994377202</v>
      </c>
      <c r="I218" s="346">
        <f>F218/$F$283*100</f>
        <v>0</v>
      </c>
      <c r="J218" s="339"/>
    </row>
    <row r="219" spans="1:10" ht="12.75" hidden="1">
      <c r="A219" s="371"/>
      <c r="B219" s="340"/>
      <c r="C219" s="341"/>
      <c r="D219" s="178" t="s">
        <v>951</v>
      </c>
      <c r="E219" s="342"/>
      <c r="F219" s="343"/>
      <c r="G219" s="344"/>
      <c r="H219" s="345"/>
      <c r="I219" s="346"/>
      <c r="J219" s="339"/>
    </row>
    <row r="220" spans="1:10" ht="14.25" customHeight="1">
      <c r="A220" s="371"/>
      <c r="B220" s="340"/>
      <c r="C220" s="340"/>
      <c r="D220" s="348"/>
      <c r="E220" s="342"/>
      <c r="F220" s="343"/>
      <c r="G220" s="344"/>
      <c r="H220" s="345"/>
      <c r="I220" s="346"/>
      <c r="J220" s="339"/>
    </row>
    <row r="221" spans="1:10" ht="14.25" customHeight="1" thickBot="1">
      <c r="A221" s="371"/>
      <c r="B221" s="374">
        <v>85220</v>
      </c>
      <c r="C221" s="380"/>
      <c r="D221" s="351" t="s">
        <v>972</v>
      </c>
      <c r="E221" s="376">
        <f>E222+E223</f>
        <v>134216</v>
      </c>
      <c r="F221" s="376">
        <f>F222+F223</f>
        <v>21112</v>
      </c>
      <c r="G221" s="353">
        <v>0</v>
      </c>
      <c r="H221" s="354">
        <f>E221/$E$283*100</f>
        <v>0.3576632705408884</v>
      </c>
      <c r="I221" s="355">
        <f>F221/$F$283*100</f>
        <v>0.05954613838554151</v>
      </c>
      <c r="J221" s="339"/>
    </row>
    <row r="222" spans="1:10" ht="14.25" customHeight="1">
      <c r="A222" s="371"/>
      <c r="B222" s="340"/>
      <c r="C222" s="341" t="s">
        <v>864</v>
      </c>
      <c r="D222" s="178" t="s">
        <v>859</v>
      </c>
      <c r="E222" s="342">
        <v>34216</v>
      </c>
      <c r="F222" s="343">
        <v>21112</v>
      </c>
      <c r="G222" s="344">
        <f>F222/E222*100</f>
        <v>61.702127659574465</v>
      </c>
      <c r="H222" s="345">
        <f>E222/$E$283*100</f>
        <v>0.09117993730126839</v>
      </c>
      <c r="I222" s="346">
        <f>F222/$F$283*100</f>
        <v>0.05954613838554151</v>
      </c>
      <c r="J222" s="339"/>
    </row>
    <row r="223" spans="1:10" ht="14.25" customHeight="1" hidden="1">
      <c r="A223" s="371"/>
      <c r="B223" s="340"/>
      <c r="C223" s="341" t="s">
        <v>967</v>
      </c>
      <c r="D223" s="178" t="s">
        <v>970</v>
      </c>
      <c r="E223" s="342">
        <v>100000</v>
      </c>
      <c r="F223" s="343">
        <v>0</v>
      </c>
      <c r="G223" s="344">
        <f>F223/E223*100</f>
        <v>0</v>
      </c>
      <c r="H223" s="345">
        <f>E223/$E$283*100</f>
        <v>0.26648333323962003</v>
      </c>
      <c r="I223" s="346">
        <f>F223/$F$283*100</f>
        <v>0</v>
      </c>
      <c r="J223" s="339"/>
    </row>
    <row r="224" spans="1:10" ht="14.25" customHeight="1" hidden="1">
      <c r="A224" s="371"/>
      <c r="B224" s="340"/>
      <c r="C224" s="341"/>
      <c r="D224" s="178" t="s">
        <v>971</v>
      </c>
      <c r="E224" s="342"/>
      <c r="F224" s="343"/>
      <c r="G224" s="344"/>
      <c r="H224" s="345"/>
      <c r="I224" s="346"/>
      <c r="J224" s="339"/>
    </row>
    <row r="225" spans="1:10" ht="14.25" customHeight="1">
      <c r="A225" s="371"/>
      <c r="B225" s="340"/>
      <c r="C225" s="340"/>
      <c r="D225" s="178"/>
      <c r="E225" s="342"/>
      <c r="F225" s="343"/>
      <c r="G225" s="344"/>
      <c r="H225" s="345"/>
      <c r="I225" s="346"/>
      <c r="J225" s="339"/>
    </row>
    <row r="226" spans="1:10" ht="14.25" customHeight="1" hidden="1" thickBot="1">
      <c r="A226" s="371"/>
      <c r="B226" s="374">
        <v>85295</v>
      </c>
      <c r="C226" s="380"/>
      <c r="D226" s="351" t="s">
        <v>621</v>
      </c>
      <c r="E226" s="376">
        <f>SUM(E227:E229)</f>
        <v>180000</v>
      </c>
      <c r="F226" s="377">
        <f>SUM(F227:F229)</f>
        <v>0</v>
      </c>
      <c r="G226" s="353">
        <f>F226/E226*100</f>
        <v>0</v>
      </c>
      <c r="H226" s="354">
        <f>E226/$E$283*100</f>
        <v>0.47966999983131603</v>
      </c>
      <c r="I226" s="355">
        <f>F226/$F$283*100</f>
        <v>0</v>
      </c>
      <c r="J226" s="339"/>
    </row>
    <row r="227" spans="1:10" ht="14.25" customHeight="1" hidden="1">
      <c r="A227" s="371"/>
      <c r="B227" s="340"/>
      <c r="C227" s="341" t="s">
        <v>967</v>
      </c>
      <c r="D227" s="178" t="s">
        <v>970</v>
      </c>
      <c r="E227" s="342">
        <v>160000</v>
      </c>
      <c r="F227" s="343">
        <v>0</v>
      </c>
      <c r="G227" s="344">
        <f>F227/E227*100</f>
        <v>0</v>
      </c>
      <c r="H227" s="345">
        <f>E227/$E$283*100</f>
        <v>0.426373333183392</v>
      </c>
      <c r="I227" s="346">
        <f>F227/$F$283*100</f>
        <v>0</v>
      </c>
      <c r="J227" s="339"/>
    </row>
    <row r="228" spans="1:10" ht="14.25" customHeight="1" hidden="1">
      <c r="A228" s="371"/>
      <c r="B228" s="340"/>
      <c r="C228" s="341"/>
      <c r="D228" s="178" t="s">
        <v>971</v>
      </c>
      <c r="E228" s="342"/>
      <c r="F228" s="343"/>
      <c r="G228" s="344"/>
      <c r="H228" s="345"/>
      <c r="I228" s="346"/>
      <c r="J228" s="339"/>
    </row>
    <row r="229" spans="1:10" ht="14.25" customHeight="1" hidden="1">
      <c r="A229" s="371"/>
      <c r="B229" s="340"/>
      <c r="C229" s="341" t="s">
        <v>888</v>
      </c>
      <c r="D229" s="178" t="s">
        <v>889</v>
      </c>
      <c r="E229" s="342">
        <v>20000</v>
      </c>
      <c r="F229" s="343">
        <v>0</v>
      </c>
      <c r="G229" s="344">
        <f>F229/E229*100</f>
        <v>0</v>
      </c>
      <c r="H229" s="345">
        <f>E229/$E$283*100</f>
        <v>0.053296666647924</v>
      </c>
      <c r="I229" s="346">
        <f>F229/$F$283*100</f>
        <v>0</v>
      </c>
      <c r="J229" s="339"/>
    </row>
    <row r="230" spans="1:10" ht="14.25" customHeight="1" hidden="1">
      <c r="A230" s="371"/>
      <c r="B230" s="340"/>
      <c r="C230" s="341"/>
      <c r="D230" s="178" t="s">
        <v>956</v>
      </c>
      <c r="E230" s="342"/>
      <c r="F230" s="343"/>
      <c r="G230" s="344"/>
      <c r="H230" s="345"/>
      <c r="I230" s="346"/>
      <c r="J230" s="339"/>
    </row>
    <row r="231" spans="1:10" ht="14.25" customHeight="1" hidden="1">
      <c r="A231" s="371"/>
      <c r="B231" s="340"/>
      <c r="C231" s="341"/>
      <c r="D231" s="178"/>
      <c r="E231" s="342"/>
      <c r="F231" s="343"/>
      <c r="G231" s="344"/>
      <c r="H231" s="345"/>
      <c r="I231" s="346"/>
      <c r="J231" s="339"/>
    </row>
    <row r="232" spans="1:10" s="329" customFormat="1" ht="13.5" thickBot="1">
      <c r="A232" s="369">
        <v>853</v>
      </c>
      <c r="B232" s="321"/>
      <c r="C232" s="321"/>
      <c r="D232" s="175" t="s">
        <v>773</v>
      </c>
      <c r="E232" s="392">
        <f>E233+E237+E240+E252+E248</f>
        <v>3865411</v>
      </c>
      <c r="F232" s="408">
        <f>F233+F237+F240+F252+F248</f>
        <v>571577</v>
      </c>
      <c r="G232" s="360">
        <f>F232/E232*100</f>
        <v>14.786965732751318</v>
      </c>
      <c r="H232" s="361">
        <f>E232/$E$283*100</f>
        <v>10.30067607621093</v>
      </c>
      <c r="I232" s="362">
        <f>F232/$F$283*100</f>
        <v>1.6121259539594854</v>
      </c>
      <c r="J232" s="328"/>
    </row>
    <row r="233" spans="1:10" ht="13.5" thickBot="1">
      <c r="A233" s="371"/>
      <c r="B233" s="380">
        <v>85321</v>
      </c>
      <c r="C233" s="380"/>
      <c r="D233" s="351" t="s">
        <v>973</v>
      </c>
      <c r="E233" s="376">
        <f>E234</f>
        <v>274325</v>
      </c>
      <c r="F233" s="335">
        <f>F234</f>
        <v>320000</v>
      </c>
      <c r="G233" s="336">
        <f>F233/E233*100</f>
        <v>116.64995899024879</v>
      </c>
      <c r="H233" s="337">
        <f>E233/$E$283*100</f>
        <v>0.7310304039095877</v>
      </c>
      <c r="I233" s="338">
        <f>F233/$F$283*100</f>
        <v>0.902556095271565</v>
      </c>
      <c r="J233" s="339"/>
    </row>
    <row r="234" spans="1:10" ht="12.75">
      <c r="A234" s="371"/>
      <c r="B234" s="340"/>
      <c r="C234" s="340">
        <v>2110</v>
      </c>
      <c r="D234" s="178" t="s">
        <v>877</v>
      </c>
      <c r="E234" s="342">
        <v>274325</v>
      </c>
      <c r="F234" s="343">
        <v>320000</v>
      </c>
      <c r="G234" s="344">
        <f>F234/E234*100</f>
        <v>116.64995899024879</v>
      </c>
      <c r="H234" s="345">
        <f>E234/$E$283*100</f>
        <v>0.7310304039095877</v>
      </c>
      <c r="I234" s="346">
        <f>F234/$F$283*100</f>
        <v>0.902556095271565</v>
      </c>
      <c r="J234" s="339"/>
    </row>
    <row r="235" spans="1:10" ht="12.75">
      <c r="A235" s="371"/>
      <c r="B235" s="340"/>
      <c r="C235" s="340"/>
      <c r="D235" s="347" t="s">
        <v>915</v>
      </c>
      <c r="E235" s="342"/>
      <c r="F235" s="343"/>
      <c r="G235" s="344"/>
      <c r="H235" s="345"/>
      <c r="I235" s="346"/>
      <c r="J235" s="339"/>
    </row>
    <row r="236" spans="1:10" ht="12.75">
      <c r="A236" s="371"/>
      <c r="B236" s="340"/>
      <c r="C236" s="340"/>
      <c r="D236" s="348"/>
      <c r="E236" s="342"/>
      <c r="F236" s="343"/>
      <c r="G236" s="344"/>
      <c r="H236" s="345"/>
      <c r="I236" s="346"/>
      <c r="J236" s="339"/>
    </row>
    <row r="237" spans="1:10" ht="13.5" thickBot="1">
      <c r="A237" s="371"/>
      <c r="B237" s="380">
        <v>85324</v>
      </c>
      <c r="C237" s="380"/>
      <c r="D237" s="351" t="s">
        <v>974</v>
      </c>
      <c r="E237" s="376">
        <f>SUM(E238:E238)</f>
        <v>51225</v>
      </c>
      <c r="F237" s="343">
        <f>SUM(F238:F238)</f>
        <v>45000</v>
      </c>
      <c r="G237" s="353">
        <f>F237/E237*100</f>
        <v>87.84773060029283</v>
      </c>
      <c r="H237" s="354">
        <f>E237/$E$283*100</f>
        <v>0.13650608745199536</v>
      </c>
      <c r="I237" s="355">
        <f>F237/$F$283*100</f>
        <v>0.12692195089756383</v>
      </c>
      <c r="J237" s="339"/>
    </row>
    <row r="238" spans="1:10" ht="12.75">
      <c r="A238" s="371"/>
      <c r="B238" s="340"/>
      <c r="C238" s="341" t="s">
        <v>886</v>
      </c>
      <c r="D238" s="178" t="s">
        <v>887</v>
      </c>
      <c r="E238" s="342">
        <v>51225</v>
      </c>
      <c r="F238" s="357">
        <v>45000</v>
      </c>
      <c r="G238" s="344">
        <f>F238/E238*100</f>
        <v>87.84773060029283</v>
      </c>
      <c r="H238" s="345">
        <f>E238/$E$283*100</f>
        <v>0.13650608745199536</v>
      </c>
      <c r="I238" s="346">
        <f>F238/$F$283*100</f>
        <v>0.12692195089756383</v>
      </c>
      <c r="J238" s="339"/>
    </row>
    <row r="239" spans="1:10" ht="12.75">
      <c r="A239" s="371"/>
      <c r="B239" s="340"/>
      <c r="C239" s="341"/>
      <c r="D239" s="348"/>
      <c r="E239" s="342"/>
      <c r="F239" s="343"/>
      <c r="G239" s="344"/>
      <c r="H239" s="345"/>
      <c r="I239" s="346"/>
      <c r="J239" s="339"/>
    </row>
    <row r="240" spans="1:10" ht="13.5" hidden="1" thickBot="1">
      <c r="A240" s="371"/>
      <c r="B240" s="380">
        <v>85333</v>
      </c>
      <c r="C240" s="380"/>
      <c r="D240" s="351" t="s">
        <v>775</v>
      </c>
      <c r="E240" s="376">
        <f>SUM(E241:E245)</f>
        <v>2289264</v>
      </c>
      <c r="F240" s="376">
        <f>SUM(F241:F245)</f>
        <v>0</v>
      </c>
      <c r="G240" s="353">
        <f>F240/E240*100</f>
        <v>0</v>
      </c>
      <c r="H240" s="354">
        <f>E240/$E$283*100</f>
        <v>6.100507013854655</v>
      </c>
      <c r="I240" s="355">
        <f>F240/$F$283*100</f>
        <v>0</v>
      </c>
      <c r="J240" s="339"/>
    </row>
    <row r="241" spans="1:10" ht="12.75" hidden="1">
      <c r="A241" s="371"/>
      <c r="B241" s="340"/>
      <c r="C241" s="341" t="s">
        <v>864</v>
      </c>
      <c r="D241" s="178" t="s">
        <v>859</v>
      </c>
      <c r="E241" s="342">
        <v>60000</v>
      </c>
      <c r="F241" s="343">
        <v>0</v>
      </c>
      <c r="G241" s="344">
        <f>F241/E241*100</f>
        <v>0</v>
      </c>
      <c r="H241" s="345">
        <f>E241/$E$283*100</f>
        <v>0.159889999943772</v>
      </c>
      <c r="I241" s="346">
        <f>F241/$F$283*100</f>
        <v>0</v>
      </c>
      <c r="J241" s="339"/>
    </row>
    <row r="242" spans="1:10" ht="12.75" hidden="1">
      <c r="A242" s="371"/>
      <c r="B242" s="340"/>
      <c r="C242" s="341" t="s">
        <v>886</v>
      </c>
      <c r="D242" s="347" t="s">
        <v>887</v>
      </c>
      <c r="E242" s="342">
        <v>155000</v>
      </c>
      <c r="F242" s="343">
        <v>0</v>
      </c>
      <c r="G242" s="344">
        <f>F242/E242*100</f>
        <v>0</v>
      </c>
      <c r="H242" s="345">
        <f>E242/$E$283*100</f>
        <v>0.41304916652141105</v>
      </c>
      <c r="I242" s="346">
        <f>F242/$F$283*100</f>
        <v>0</v>
      </c>
      <c r="J242" s="339"/>
    </row>
    <row r="243" spans="1:10" ht="12.75" hidden="1">
      <c r="A243" s="371"/>
      <c r="B243" s="340"/>
      <c r="C243" s="341" t="s">
        <v>888</v>
      </c>
      <c r="D243" s="121" t="s">
        <v>889</v>
      </c>
      <c r="E243" s="342">
        <v>1402362</v>
      </c>
      <c r="F243" s="343">
        <v>0</v>
      </c>
      <c r="G243" s="344">
        <v>0</v>
      </c>
      <c r="H243" s="345">
        <f>E243/$E$283*100</f>
        <v>3.7370610016858</v>
      </c>
      <c r="I243" s="346">
        <f>F243/$F$283*100</f>
        <v>0</v>
      </c>
      <c r="J243" s="339"/>
    </row>
    <row r="244" spans="1:10" ht="12.75" hidden="1">
      <c r="A244" s="371"/>
      <c r="B244" s="340"/>
      <c r="C244" s="341"/>
      <c r="D244" s="347" t="s">
        <v>890</v>
      </c>
      <c r="E244" s="342"/>
      <c r="F244" s="343"/>
      <c r="G244" s="344"/>
      <c r="H244" s="345"/>
      <c r="I244" s="346"/>
      <c r="J244" s="339"/>
    </row>
    <row r="245" spans="1:10" ht="12.75" hidden="1">
      <c r="A245" s="371"/>
      <c r="B245" s="340"/>
      <c r="C245" s="341" t="s">
        <v>975</v>
      </c>
      <c r="D245" s="347" t="s">
        <v>976</v>
      </c>
      <c r="E245" s="342">
        <v>671902</v>
      </c>
      <c r="F245" s="343">
        <v>0</v>
      </c>
      <c r="G245" s="344">
        <v>0</v>
      </c>
      <c r="H245" s="345">
        <f>E245/$E$283*100</f>
        <v>1.7905068457036717</v>
      </c>
      <c r="I245" s="346">
        <f>F245/$F$283*100</f>
        <v>0</v>
      </c>
      <c r="J245" s="339"/>
    </row>
    <row r="246" spans="1:10" ht="12.75" hidden="1">
      <c r="A246" s="371"/>
      <c r="B246" s="340"/>
      <c r="C246" s="341"/>
      <c r="D246" s="347" t="s">
        <v>977</v>
      </c>
      <c r="E246" s="342"/>
      <c r="F246" s="343"/>
      <c r="G246" s="344"/>
      <c r="H246" s="345"/>
      <c r="I246" s="346"/>
      <c r="J246" s="339"/>
    </row>
    <row r="247" spans="1:10" ht="12.75" hidden="1">
      <c r="A247" s="371"/>
      <c r="B247" s="393"/>
      <c r="C247" s="341"/>
      <c r="D247" s="347"/>
      <c r="E247" s="342"/>
      <c r="F247" s="343"/>
      <c r="G247" s="344"/>
      <c r="H247" s="345"/>
      <c r="I247" s="346"/>
      <c r="J247" s="339"/>
    </row>
    <row r="248" spans="1:10" ht="13.5" hidden="1" thickBot="1">
      <c r="A248" s="371"/>
      <c r="B248" s="374">
        <v>85334</v>
      </c>
      <c r="C248" s="350"/>
      <c r="D248" s="387" t="s">
        <v>780</v>
      </c>
      <c r="E248" s="376">
        <f>E249</f>
        <v>5745</v>
      </c>
      <c r="F248" s="377">
        <f>F249</f>
        <v>0</v>
      </c>
      <c r="G248" s="353">
        <v>0</v>
      </c>
      <c r="H248" s="354">
        <f>E248/$E$283*100</f>
        <v>0.01530946749461617</v>
      </c>
      <c r="I248" s="355">
        <f>F248/$F$283*100</f>
        <v>0</v>
      </c>
      <c r="J248" s="339"/>
    </row>
    <row r="249" spans="1:10" ht="12.75" hidden="1">
      <c r="A249" s="371"/>
      <c r="B249" s="393"/>
      <c r="C249" s="341" t="s">
        <v>876</v>
      </c>
      <c r="D249" s="178" t="s">
        <v>877</v>
      </c>
      <c r="E249" s="342">
        <v>5745</v>
      </c>
      <c r="F249" s="343">
        <v>0</v>
      </c>
      <c r="G249" s="344">
        <v>0</v>
      </c>
      <c r="H249" s="345">
        <f>E249/$E$283*100</f>
        <v>0.01530946749461617</v>
      </c>
      <c r="I249" s="346">
        <f>F249/$F$283*100</f>
        <v>0</v>
      </c>
      <c r="J249" s="339"/>
    </row>
    <row r="250" spans="1:10" ht="12.75" hidden="1">
      <c r="A250" s="371"/>
      <c r="B250" s="393"/>
      <c r="C250" s="341"/>
      <c r="D250" s="347" t="s">
        <v>915</v>
      </c>
      <c r="E250" s="342"/>
      <c r="F250" s="343"/>
      <c r="G250" s="344"/>
      <c r="H250" s="345"/>
      <c r="I250" s="346"/>
      <c r="J250" s="339"/>
    </row>
    <row r="251" spans="1:10" ht="12.75" hidden="1">
      <c r="A251" s="371"/>
      <c r="B251" s="393"/>
      <c r="C251" s="341"/>
      <c r="D251" s="347"/>
      <c r="E251" s="342"/>
      <c r="F251" s="343"/>
      <c r="G251" s="344"/>
      <c r="H251" s="345"/>
      <c r="I251" s="346"/>
      <c r="J251" s="339"/>
    </row>
    <row r="252" spans="1:10" ht="13.5" thickBot="1">
      <c r="A252" s="371"/>
      <c r="B252" s="374">
        <v>85395</v>
      </c>
      <c r="C252" s="350"/>
      <c r="D252" s="387" t="s">
        <v>621</v>
      </c>
      <c r="E252" s="376">
        <f>SUM(E253:E256)</f>
        <v>1244852</v>
      </c>
      <c r="F252" s="377">
        <f>SUM(F253:F256)</f>
        <v>206577</v>
      </c>
      <c r="G252" s="353">
        <f>F252/E252*100</f>
        <v>16.59450280033289</v>
      </c>
      <c r="H252" s="354">
        <f>E252/$E$283*100</f>
        <v>3.317323103500075</v>
      </c>
      <c r="I252" s="355">
        <f>F252/$F$283*100</f>
        <v>0.5826479077903566</v>
      </c>
      <c r="J252" s="339"/>
    </row>
    <row r="253" spans="1:10" ht="12.75">
      <c r="A253" s="371"/>
      <c r="B253" s="340"/>
      <c r="C253" s="341" t="s">
        <v>978</v>
      </c>
      <c r="D253" s="178" t="s">
        <v>968</v>
      </c>
      <c r="E253" s="342">
        <v>973417</v>
      </c>
      <c r="F253" s="343">
        <v>166081</v>
      </c>
      <c r="G253" s="344">
        <v>0</v>
      </c>
      <c r="H253" s="345">
        <f>E253/$E$283*100</f>
        <v>2.5939940679211118</v>
      </c>
      <c r="I253" s="346">
        <f>F253/$F$283*100</f>
        <v>0.46842943393374</v>
      </c>
      <c r="J253" s="339"/>
    </row>
    <row r="254" spans="1:10" ht="12.75">
      <c r="A254" s="371"/>
      <c r="B254" s="340"/>
      <c r="C254" s="341"/>
      <c r="D254" s="178" t="s">
        <v>969</v>
      </c>
      <c r="E254" s="342"/>
      <c r="F254" s="343"/>
      <c r="G254" s="344"/>
      <c r="H254" s="345"/>
      <c r="I254" s="346"/>
      <c r="J254" s="339"/>
    </row>
    <row r="255" spans="1:10" ht="12.75">
      <c r="A255" s="371"/>
      <c r="B255" s="340"/>
      <c r="C255" s="341" t="s">
        <v>979</v>
      </c>
      <c r="D255" s="178" t="s">
        <v>968</v>
      </c>
      <c r="E255" s="342">
        <v>271435</v>
      </c>
      <c r="F255" s="343">
        <v>40496</v>
      </c>
      <c r="G255" s="344">
        <v>0</v>
      </c>
      <c r="H255" s="345">
        <f>E255/$E$283*100</f>
        <v>0.7233290355789626</v>
      </c>
      <c r="I255" s="346">
        <f>F255/$F$283*100</f>
        <v>0.11421847385661656</v>
      </c>
      <c r="J255" s="339"/>
    </row>
    <row r="256" spans="1:10" ht="12.75">
      <c r="A256" s="371"/>
      <c r="B256" s="340"/>
      <c r="C256" s="341"/>
      <c r="D256" s="178" t="s">
        <v>969</v>
      </c>
      <c r="E256" s="342"/>
      <c r="F256" s="343"/>
      <c r="G256" s="344"/>
      <c r="H256" s="345"/>
      <c r="I256" s="346"/>
      <c r="J256" s="339"/>
    </row>
    <row r="257" spans="1:10" ht="12.75">
      <c r="A257" s="371"/>
      <c r="B257" s="340"/>
      <c r="C257" s="341"/>
      <c r="D257" s="347"/>
      <c r="E257" s="342"/>
      <c r="F257" s="343"/>
      <c r="G257" s="344"/>
      <c r="H257" s="345"/>
      <c r="I257" s="346"/>
      <c r="J257" s="339"/>
    </row>
    <row r="258" spans="1:10" s="329" customFormat="1" ht="14.25" customHeight="1" thickBot="1">
      <c r="A258" s="409">
        <v>854</v>
      </c>
      <c r="B258" s="389"/>
      <c r="C258" s="389"/>
      <c r="D258" s="390" t="s">
        <v>784</v>
      </c>
      <c r="E258" s="408">
        <f>E262+E265+E277+E259</f>
        <v>968256</v>
      </c>
      <c r="F258" s="392">
        <f>F262+F265+F277+F259</f>
        <v>327460</v>
      </c>
      <c r="G258" s="360">
        <f>F258/E258*100</f>
        <v>33.81956837861061</v>
      </c>
      <c r="H258" s="361">
        <f>E258/$E$283*100</f>
        <v>2.5802408630926155</v>
      </c>
      <c r="I258" s="362">
        <f>F258/$F$283*100</f>
        <v>0.9235969342425834</v>
      </c>
      <c r="J258" s="328"/>
    </row>
    <row r="259" spans="1:10" ht="14.25" customHeight="1" hidden="1" thickBot="1">
      <c r="A259" s="410"/>
      <c r="B259" s="374">
        <v>85406</v>
      </c>
      <c r="C259" s="374"/>
      <c r="D259" s="411" t="s">
        <v>980</v>
      </c>
      <c r="E259" s="404">
        <f>E260</f>
        <v>775</v>
      </c>
      <c r="F259" s="412">
        <f>F260</f>
        <v>0</v>
      </c>
      <c r="G259" s="336">
        <f>F259/E259*100</f>
        <v>0</v>
      </c>
      <c r="H259" s="337">
        <f>E259/$E$283*100</f>
        <v>0.002065245832607055</v>
      </c>
      <c r="I259" s="338">
        <f>F259/$F$283*100</f>
        <v>0</v>
      </c>
      <c r="J259" s="339"/>
    </row>
    <row r="260" spans="1:10" ht="14.25" customHeight="1" hidden="1">
      <c r="A260" s="410"/>
      <c r="B260" s="413"/>
      <c r="C260" s="396" t="s">
        <v>886</v>
      </c>
      <c r="D260" s="347" t="s">
        <v>887</v>
      </c>
      <c r="E260" s="414">
        <v>775</v>
      </c>
      <c r="F260" s="407">
        <v>0</v>
      </c>
      <c r="G260" s="344">
        <f>F260/E260*100</f>
        <v>0</v>
      </c>
      <c r="H260" s="345">
        <f>E260/$E$283*100</f>
        <v>0.002065245832607055</v>
      </c>
      <c r="I260" s="346">
        <f>F260/$F$283*100</f>
        <v>0</v>
      </c>
      <c r="J260" s="339"/>
    </row>
    <row r="261" spans="1:10" ht="14.25" customHeight="1" hidden="1">
      <c r="A261" s="410"/>
      <c r="B261" s="368"/>
      <c r="C261" s="368"/>
      <c r="D261" s="395"/>
      <c r="E261" s="415"/>
      <c r="F261" s="416"/>
      <c r="G261" s="344"/>
      <c r="H261" s="345"/>
      <c r="I261" s="346"/>
      <c r="J261" s="339"/>
    </row>
    <row r="262" spans="1:10" ht="14.25" customHeight="1" thickBot="1">
      <c r="A262" s="410"/>
      <c r="B262" s="374">
        <v>85410</v>
      </c>
      <c r="C262" s="374"/>
      <c r="D262" s="387" t="s">
        <v>787</v>
      </c>
      <c r="E262" s="376">
        <f>E263</f>
        <v>139793</v>
      </c>
      <c r="F262" s="377">
        <f>F263</f>
        <v>111580</v>
      </c>
      <c r="G262" s="353">
        <f>F262/E262*100</f>
        <v>79.8180166388875</v>
      </c>
      <c r="H262" s="354">
        <f>E262/$E$283*100</f>
        <v>0.37252504603566206</v>
      </c>
      <c r="I262" s="355">
        <f>F262/$F$283*100</f>
        <v>0.31471002847000384</v>
      </c>
      <c r="J262" s="339"/>
    </row>
    <row r="263" spans="1:10" ht="14.25" customHeight="1">
      <c r="A263" s="410"/>
      <c r="B263" s="368"/>
      <c r="C263" s="394" t="s">
        <v>864</v>
      </c>
      <c r="D263" s="347" t="s">
        <v>859</v>
      </c>
      <c r="E263" s="342">
        <v>139793</v>
      </c>
      <c r="F263" s="343">
        <v>111580</v>
      </c>
      <c r="G263" s="344">
        <f>F263/E263*100</f>
        <v>79.8180166388875</v>
      </c>
      <c r="H263" s="345">
        <f>E263/$E$283*100</f>
        <v>0.37252504603566206</v>
      </c>
      <c r="I263" s="346">
        <f>F263/$F$283*100</f>
        <v>0.31471002847000384</v>
      </c>
      <c r="J263" s="339"/>
    </row>
    <row r="264" spans="1:10" ht="14.25" customHeight="1">
      <c r="A264" s="410"/>
      <c r="B264" s="368"/>
      <c r="C264" s="393"/>
      <c r="D264" s="347"/>
      <c r="E264" s="342"/>
      <c r="F264" s="343"/>
      <c r="G264" s="344"/>
      <c r="H264" s="345"/>
      <c r="I264" s="346"/>
      <c r="J264" s="339"/>
    </row>
    <row r="265" spans="1:10" ht="14.25" customHeight="1" thickBot="1">
      <c r="A265" s="410"/>
      <c r="B265" s="374">
        <v>85415</v>
      </c>
      <c r="C265" s="380"/>
      <c r="D265" s="351" t="s">
        <v>789</v>
      </c>
      <c r="E265" s="376">
        <f>SUM(E266:E275)</f>
        <v>731564</v>
      </c>
      <c r="F265" s="376">
        <f>SUM(F266:F275)</f>
        <v>153880</v>
      </c>
      <c r="G265" s="353">
        <f>F265/E265*100</f>
        <v>21.03438660185575</v>
      </c>
      <c r="H265" s="354">
        <f>E265/$E$283*100</f>
        <v>1.949496131981094</v>
      </c>
      <c r="I265" s="355">
        <f>F265/$F$283*100</f>
        <v>0.43401666231371383</v>
      </c>
      <c r="J265" s="339"/>
    </row>
    <row r="266" spans="1:10" ht="14.25" customHeight="1" hidden="1">
      <c r="A266" s="410"/>
      <c r="B266" s="393"/>
      <c r="C266" s="340">
        <v>2130</v>
      </c>
      <c r="D266" s="178" t="s">
        <v>950</v>
      </c>
      <c r="E266" s="342">
        <v>335777</v>
      </c>
      <c r="F266" s="343">
        <v>0</v>
      </c>
      <c r="G266" s="344">
        <v>0</v>
      </c>
      <c r="H266" s="345">
        <f>E266/$E$283*100</f>
        <v>0.8947897418519989</v>
      </c>
      <c r="I266" s="346">
        <f>F266/$F$283*100</f>
        <v>0</v>
      </c>
      <c r="J266" s="339"/>
    </row>
    <row r="267" spans="1:10" ht="14.25" customHeight="1" hidden="1">
      <c r="A267" s="410"/>
      <c r="B267" s="393"/>
      <c r="C267" s="340"/>
      <c r="D267" s="178" t="s">
        <v>951</v>
      </c>
      <c r="E267" s="342"/>
      <c r="F267" s="343"/>
      <c r="G267" s="344"/>
      <c r="H267" s="345"/>
      <c r="I267" s="346"/>
      <c r="J267" s="339"/>
    </row>
    <row r="268" spans="1:10" ht="14.25" customHeight="1" hidden="1">
      <c r="A268" s="410"/>
      <c r="B268" s="393"/>
      <c r="C268" s="341" t="s">
        <v>954</v>
      </c>
      <c r="D268" s="178" t="s">
        <v>955</v>
      </c>
      <c r="E268" s="342">
        <v>269140</v>
      </c>
      <c r="F268" s="343">
        <v>0</v>
      </c>
      <c r="G268" s="344">
        <f>F268/E268*100</f>
        <v>0</v>
      </c>
      <c r="H268" s="345">
        <f>E268/$E$283*100</f>
        <v>0.7172132430811133</v>
      </c>
      <c r="I268" s="346">
        <f>F268/$F$283*100</f>
        <v>0</v>
      </c>
      <c r="J268" s="339"/>
    </row>
    <row r="269" spans="1:10" ht="14.25" customHeight="1" hidden="1">
      <c r="A269" s="410"/>
      <c r="B269" s="393"/>
      <c r="C269" s="341"/>
      <c r="D269" s="178" t="s">
        <v>956</v>
      </c>
      <c r="E269" s="342"/>
      <c r="F269" s="343"/>
      <c r="G269" s="344"/>
      <c r="H269" s="345"/>
      <c r="I269" s="346"/>
      <c r="J269" s="339"/>
    </row>
    <row r="270" spans="1:10" ht="14.25" customHeight="1" hidden="1">
      <c r="A270" s="410"/>
      <c r="B270" s="393"/>
      <c r="C270" s="341" t="s">
        <v>957</v>
      </c>
      <c r="D270" s="178" t="s">
        <v>955</v>
      </c>
      <c r="E270" s="342">
        <v>126647</v>
      </c>
      <c r="F270" s="343">
        <v>0</v>
      </c>
      <c r="G270" s="344">
        <f>F270/E270*100</f>
        <v>0</v>
      </c>
      <c r="H270" s="345">
        <f>E270/$E$283*100</f>
        <v>0.3374931470479816</v>
      </c>
      <c r="I270" s="346">
        <f>F270/$F$283*100</f>
        <v>0</v>
      </c>
      <c r="J270" s="339"/>
    </row>
    <row r="271" spans="1:10" ht="14.25" customHeight="1" hidden="1">
      <c r="A271" s="410"/>
      <c r="B271" s="393"/>
      <c r="C271" s="341"/>
      <c r="D271" s="178" t="s">
        <v>956</v>
      </c>
      <c r="E271" s="342"/>
      <c r="F271" s="343"/>
      <c r="G271" s="344"/>
      <c r="H271" s="345"/>
      <c r="I271" s="346"/>
      <c r="J271" s="339"/>
    </row>
    <row r="272" spans="1:10" ht="14.25" customHeight="1">
      <c r="A272" s="410"/>
      <c r="B272" s="393"/>
      <c r="C272" s="341" t="s">
        <v>133</v>
      </c>
      <c r="D272" s="178" t="s">
        <v>135</v>
      </c>
      <c r="E272" s="342">
        <v>0</v>
      </c>
      <c r="F272" s="343">
        <v>104638</v>
      </c>
      <c r="G272" s="344">
        <v>0</v>
      </c>
      <c r="H272" s="345">
        <f>E272/$E$283*100</f>
        <v>0</v>
      </c>
      <c r="I272" s="346">
        <f>F272/$F$283*100</f>
        <v>0.2951302021782063</v>
      </c>
      <c r="J272" s="339"/>
    </row>
    <row r="273" spans="1:10" ht="14.25" customHeight="1">
      <c r="A273" s="410"/>
      <c r="B273" s="393"/>
      <c r="C273" s="341"/>
      <c r="D273" s="178" t="s">
        <v>136</v>
      </c>
      <c r="E273" s="342"/>
      <c r="F273" s="343"/>
      <c r="G273" s="344"/>
      <c r="H273" s="345"/>
      <c r="I273" s="346"/>
      <c r="J273" s="339"/>
    </row>
    <row r="274" spans="1:10" ht="14.25" customHeight="1">
      <c r="A274" s="410"/>
      <c r="B274" s="393"/>
      <c r="C274" s="341" t="s">
        <v>134</v>
      </c>
      <c r="D274" s="178" t="s">
        <v>135</v>
      </c>
      <c r="E274" s="342">
        <v>0</v>
      </c>
      <c r="F274" s="343">
        <v>49242</v>
      </c>
      <c r="G274" s="344">
        <v>0</v>
      </c>
      <c r="H274" s="345">
        <f>E274/$E$283*100</f>
        <v>0</v>
      </c>
      <c r="I274" s="346">
        <f>F274/$F$283*100</f>
        <v>0.1388864601355075</v>
      </c>
      <c r="J274" s="339"/>
    </row>
    <row r="275" spans="1:10" ht="14.25" customHeight="1">
      <c r="A275" s="410"/>
      <c r="B275" s="393"/>
      <c r="C275" s="341"/>
      <c r="D275" s="178" t="s">
        <v>136</v>
      </c>
      <c r="E275" s="342"/>
      <c r="F275" s="343"/>
      <c r="G275" s="344"/>
      <c r="H275" s="345"/>
      <c r="I275" s="346"/>
      <c r="J275" s="339"/>
    </row>
    <row r="276" spans="1:10" ht="14.25" customHeight="1">
      <c r="A276" s="410"/>
      <c r="B276" s="368"/>
      <c r="C276" s="340"/>
      <c r="D276" s="348"/>
      <c r="E276" s="342"/>
      <c r="F276" s="343"/>
      <c r="G276" s="344"/>
      <c r="H276" s="345"/>
      <c r="I276" s="346"/>
      <c r="J276" s="339"/>
    </row>
    <row r="277" spans="1:10" ht="14.25" customHeight="1" thickBot="1">
      <c r="A277" s="410"/>
      <c r="B277" s="374">
        <v>85420</v>
      </c>
      <c r="C277" s="380"/>
      <c r="D277" s="351" t="s">
        <v>792</v>
      </c>
      <c r="E277" s="376">
        <f>SUM(E278:E281)</f>
        <v>96124</v>
      </c>
      <c r="F277" s="377">
        <f>SUM(F278:F281)</f>
        <v>62000</v>
      </c>
      <c r="G277" s="353">
        <f>F277/E277*100</f>
        <v>64.50002080645832</v>
      </c>
      <c r="H277" s="354">
        <f>E277/$E$283*100</f>
        <v>0.2561544392432523</v>
      </c>
      <c r="I277" s="355">
        <f>F277/$F$283*100</f>
        <v>0.1748702434588657</v>
      </c>
      <c r="J277" s="339"/>
    </row>
    <row r="278" spans="1:10" ht="14.25" customHeight="1" thickBot="1">
      <c r="A278" s="410"/>
      <c r="B278" s="368"/>
      <c r="C278" s="341" t="s">
        <v>864</v>
      </c>
      <c r="D278" s="178" t="s">
        <v>859</v>
      </c>
      <c r="E278" s="342">
        <v>62000</v>
      </c>
      <c r="F278" s="343">
        <v>62000</v>
      </c>
      <c r="G278" s="344">
        <f>F278/E278*100</f>
        <v>100</v>
      </c>
      <c r="H278" s="345">
        <f>E278/$E$283*100</f>
        <v>0.1652196666085644</v>
      </c>
      <c r="I278" s="346">
        <f>F278/$F$283*100</f>
        <v>0.1748702434588657</v>
      </c>
      <c r="J278" s="339"/>
    </row>
    <row r="279" spans="1:10" ht="14.25" customHeight="1" hidden="1">
      <c r="A279" s="410"/>
      <c r="B279" s="368"/>
      <c r="C279" s="341" t="s">
        <v>965</v>
      </c>
      <c r="D279" s="178" t="s">
        <v>966</v>
      </c>
      <c r="E279" s="342">
        <v>9633</v>
      </c>
      <c r="F279" s="343">
        <v>0</v>
      </c>
      <c r="G279" s="344"/>
      <c r="H279" s="345"/>
      <c r="I279" s="346"/>
      <c r="J279" s="339"/>
    </row>
    <row r="280" spans="1:10" ht="14.25" customHeight="1" hidden="1">
      <c r="A280" s="410"/>
      <c r="B280" s="368"/>
      <c r="C280" s="341" t="s">
        <v>924</v>
      </c>
      <c r="D280" s="178" t="s">
        <v>945</v>
      </c>
      <c r="E280" s="342">
        <v>7757</v>
      </c>
      <c r="F280" s="343">
        <v>0</v>
      </c>
      <c r="G280" s="344">
        <f>F280/E280*100</f>
        <v>0</v>
      </c>
      <c r="H280" s="345">
        <f>E280/$E$283*100</f>
        <v>0.020671112159397324</v>
      </c>
      <c r="I280" s="346">
        <f>F280/$F$283*100</f>
        <v>0</v>
      </c>
      <c r="J280" s="339"/>
    </row>
    <row r="281" spans="1:10" ht="14.25" customHeight="1" hidden="1">
      <c r="A281" s="410"/>
      <c r="B281" s="368"/>
      <c r="C281" s="341" t="s">
        <v>886</v>
      </c>
      <c r="D281" s="178" t="s">
        <v>887</v>
      </c>
      <c r="E281" s="342">
        <v>16734</v>
      </c>
      <c r="F281" s="343">
        <v>0</v>
      </c>
      <c r="G281" s="344">
        <f>F281/E281*100</f>
        <v>0</v>
      </c>
      <c r="H281" s="345">
        <f>E281/$E$283*100</f>
        <v>0.044593320984318015</v>
      </c>
      <c r="I281" s="346">
        <f>F281/$F$283*100</f>
        <v>0</v>
      </c>
      <c r="J281" s="339"/>
    </row>
    <row r="282" spans="1:10" ht="6.75" customHeight="1" hidden="1" thickBot="1">
      <c r="A282" s="410"/>
      <c r="B282" s="368"/>
      <c r="C282" s="341"/>
      <c r="D282" s="178"/>
      <c r="E282" s="342"/>
      <c r="F282" s="343"/>
      <c r="G282" s="344"/>
      <c r="H282" s="345"/>
      <c r="I282" s="346"/>
      <c r="J282" s="339"/>
    </row>
    <row r="283" spans="1:10" s="329" customFormat="1" ht="13.5" thickBot="1">
      <c r="A283" s="1013" t="s">
        <v>981</v>
      </c>
      <c r="B283" s="1014"/>
      <c r="C283" s="1014"/>
      <c r="D283" s="1015"/>
      <c r="E283" s="417">
        <f>E258+E232+E187+E173+E132+E116+E110+E76+E62+E43+E25+E21+E12+E104+E162+E98</f>
        <v>37525799</v>
      </c>
      <c r="F283" s="418">
        <f>F258+F232+F187+F173+F132+F116+F110+F76+F62+F43+F25+F21+F12+F104+F162</f>
        <v>35454860</v>
      </c>
      <c r="G283" s="325">
        <f aca="true" t="shared" si="5" ref="G283:G292">F283/E283*100</f>
        <v>94.48129272344075</v>
      </c>
      <c r="H283" s="326">
        <f aca="true" t="shared" si="6" ref="H283:H295">E283/$E$283*100</f>
        <v>100</v>
      </c>
      <c r="I283" s="327">
        <f aca="true" t="shared" si="7" ref="I283:I295">F283/$F$283*100</f>
        <v>100</v>
      </c>
      <c r="J283" s="328"/>
    </row>
    <row r="284" spans="1:10" s="329" customFormat="1" ht="12.75">
      <c r="A284" s="419"/>
      <c r="B284" s="419"/>
      <c r="C284" s="419"/>
      <c r="D284" s="717" t="s">
        <v>982</v>
      </c>
      <c r="E284" s="746">
        <f>SUM(E285:E287)</f>
        <v>9563763</v>
      </c>
      <c r="F284" s="746">
        <f>SUM(F285:F287)</f>
        <v>8510929</v>
      </c>
      <c r="G284" s="726">
        <f t="shared" si="5"/>
        <v>88.99142523711639</v>
      </c>
      <c r="H284" s="727">
        <f t="shared" si="6"/>
        <v>25.48583442553748</v>
      </c>
      <c r="I284" s="728">
        <f t="shared" si="7"/>
        <v>24.004971391792267</v>
      </c>
      <c r="J284" s="328"/>
    </row>
    <row r="285" spans="1:10" s="329" customFormat="1" ht="12.75">
      <c r="A285" s="419"/>
      <c r="B285" s="419"/>
      <c r="C285" s="419"/>
      <c r="D285" s="718" t="s">
        <v>983</v>
      </c>
      <c r="E285" s="719">
        <f>E113+E114</f>
        <v>3005856</v>
      </c>
      <c r="F285" s="719">
        <f>F113+F114</f>
        <v>3506685</v>
      </c>
      <c r="G285" s="720">
        <f t="shared" si="5"/>
        <v>116.66177621283256</v>
      </c>
      <c r="H285" s="721">
        <f t="shared" si="6"/>
        <v>8.010105261183114</v>
      </c>
      <c r="I285" s="722">
        <f t="shared" si="7"/>
        <v>9.890562252960525</v>
      </c>
      <c r="J285" s="328"/>
    </row>
    <row r="286" spans="1:10" s="329" customFormat="1" ht="12.75">
      <c r="A286" s="419"/>
      <c r="B286" s="419"/>
      <c r="C286" s="419"/>
      <c r="D286" s="718" t="s">
        <v>984</v>
      </c>
      <c r="E286" s="719">
        <f>E189+E142+E50+E48+E45+E28+E18</f>
        <v>1553893</v>
      </c>
      <c r="F286" s="719">
        <f>F189+F142+F50+F48+F45+F28+F18</f>
        <v>1565915</v>
      </c>
      <c r="G286" s="720">
        <f t="shared" si="5"/>
        <v>100.77366974431314</v>
      </c>
      <c r="H286" s="721">
        <f t="shared" si="6"/>
        <v>4.140865861377129</v>
      </c>
      <c r="I286" s="722">
        <f t="shared" si="7"/>
        <v>4.416644149772415</v>
      </c>
      <c r="J286" s="328"/>
    </row>
    <row r="287" spans="1:10" s="329" customFormat="1" ht="13.5" thickBot="1">
      <c r="A287" s="419"/>
      <c r="B287" s="419"/>
      <c r="C287" s="419"/>
      <c r="D287" s="718" t="s">
        <v>985</v>
      </c>
      <c r="E287" s="719">
        <f>E283-E285-E286-E288-E293-E294-E295</f>
        <v>5004014</v>
      </c>
      <c r="F287" s="719">
        <f>F283-F285-F286-F288-F293-F294-F295</f>
        <v>3438329</v>
      </c>
      <c r="G287" s="720">
        <f t="shared" si="5"/>
        <v>68.71141847324968</v>
      </c>
      <c r="H287" s="721">
        <f t="shared" si="6"/>
        <v>13.33486330297724</v>
      </c>
      <c r="I287" s="722">
        <f t="shared" si="7"/>
        <v>9.697764989059328</v>
      </c>
      <c r="J287" s="328"/>
    </row>
    <row r="288" spans="1:10" ht="12.75">
      <c r="A288" s="121"/>
      <c r="B288" s="121"/>
      <c r="C288" s="1003"/>
      <c r="D288" s="723" t="s">
        <v>986</v>
      </c>
      <c r="E288" s="724">
        <f>SUM(E289:E292)</f>
        <v>11029113</v>
      </c>
      <c r="F288" s="725">
        <f>SUM(F289:F292)</f>
        <v>8096669</v>
      </c>
      <c r="G288" s="726">
        <f t="shared" si="5"/>
        <v>73.41178751183345</v>
      </c>
      <c r="H288" s="727">
        <f t="shared" si="6"/>
        <v>29.390747949164254</v>
      </c>
      <c r="I288" s="728">
        <f t="shared" si="7"/>
        <v>22.83655611670727</v>
      </c>
      <c r="J288" s="339"/>
    </row>
    <row r="289" spans="1:10" ht="12.75">
      <c r="A289" s="121"/>
      <c r="B289" s="121"/>
      <c r="C289" s="1003"/>
      <c r="D289" s="729" t="s">
        <v>987</v>
      </c>
      <c r="E289" s="730">
        <f>E200+E37+E175+E266+E218+E192</f>
        <v>3120382</v>
      </c>
      <c r="F289" s="730">
        <f>F200+F37+F175+F266+F218+F192</f>
        <v>2424000</v>
      </c>
      <c r="G289" s="731">
        <f t="shared" si="5"/>
        <v>77.68279652939928</v>
      </c>
      <c r="H289" s="721">
        <f t="shared" si="6"/>
        <v>8.31529796340912</v>
      </c>
      <c r="I289" s="722">
        <f t="shared" si="7"/>
        <v>6.836862421682105</v>
      </c>
      <c r="J289" s="388"/>
    </row>
    <row r="290" spans="1:10" ht="12.75">
      <c r="A290" s="121"/>
      <c r="B290" s="121"/>
      <c r="C290" s="1003"/>
      <c r="D290" s="729" t="s">
        <v>988</v>
      </c>
      <c r="E290" s="732">
        <f>E206+E184+E91+E78+E74+E72+E68+E64+E52+E14+E234+E106+E249+E101</f>
        <v>3593652</v>
      </c>
      <c r="F290" s="732">
        <f>F206+F184+F91+F78+F74+F72+F68+F64+F52+F14+F234+F106+F249+F101</f>
        <v>4368285</v>
      </c>
      <c r="G290" s="720">
        <f t="shared" si="5"/>
        <v>121.55559302904122</v>
      </c>
      <c r="H290" s="721">
        <f t="shared" si="6"/>
        <v>9.57648363463227</v>
      </c>
      <c r="I290" s="722">
        <f t="shared" si="7"/>
        <v>12.320694539479215</v>
      </c>
      <c r="J290" s="339"/>
    </row>
    <row r="291" spans="1:10" ht="12.75">
      <c r="A291" s="121"/>
      <c r="B291" s="121"/>
      <c r="C291" s="1003"/>
      <c r="D291" s="729" t="s">
        <v>989</v>
      </c>
      <c r="E291" s="732">
        <f>E211+E179+E194+E270+E268+E164+E166+E138+E243+E31+E35+E229+E272+E274+E168+E170+E149</f>
        <v>2770227</v>
      </c>
      <c r="F291" s="732">
        <f>F211+F179+F194+F270+F268+F164+F166+F138+F243+F31+F35+F229+F272+F274+F168+F170+F149</f>
        <v>1097807</v>
      </c>
      <c r="G291" s="720">
        <f t="shared" si="5"/>
        <v>39.62877410407162</v>
      </c>
      <c r="H291" s="721">
        <f t="shared" si="6"/>
        <v>7.3821932479039285</v>
      </c>
      <c r="I291" s="722">
        <f t="shared" si="7"/>
        <v>3.096351247755597</v>
      </c>
      <c r="J291" s="339"/>
    </row>
    <row r="292" spans="1:10" ht="13.5" thickBot="1">
      <c r="A292" s="121"/>
      <c r="B292" s="121"/>
      <c r="C292" s="1003"/>
      <c r="D292" s="733" t="s">
        <v>990</v>
      </c>
      <c r="E292" s="734">
        <f>E227+E223+E216+E253+E255</f>
        <v>1544852</v>
      </c>
      <c r="F292" s="734">
        <f>F227+F223+F216+F253+F255</f>
        <v>206577</v>
      </c>
      <c r="G292" s="720">
        <f t="shared" si="5"/>
        <v>13.371960550266305</v>
      </c>
      <c r="H292" s="721">
        <f t="shared" si="6"/>
        <v>4.116773103218935</v>
      </c>
      <c r="I292" s="722">
        <f t="shared" si="7"/>
        <v>0.5826479077903566</v>
      </c>
      <c r="J292" s="339"/>
    </row>
    <row r="293" spans="1:10" ht="13.5" thickBot="1">
      <c r="A293" s="121"/>
      <c r="B293" s="121"/>
      <c r="C293" s="1003"/>
      <c r="D293" s="735" t="s">
        <v>991</v>
      </c>
      <c r="E293" s="736">
        <f>E118+E121+E124+E130</f>
        <v>16072386</v>
      </c>
      <c r="F293" s="736">
        <f>F118+F121+F124+F130</f>
        <v>18658627</v>
      </c>
      <c r="G293" s="737">
        <v>0</v>
      </c>
      <c r="H293" s="738">
        <f t="shared" si="6"/>
        <v>42.830229943938036</v>
      </c>
      <c r="I293" s="739">
        <f t="shared" si="7"/>
        <v>52.62642977577686</v>
      </c>
      <c r="J293" s="339"/>
    </row>
    <row r="294" spans="1:10" ht="13.5" hidden="1" thickBot="1">
      <c r="A294" s="121"/>
      <c r="B294" s="121"/>
      <c r="C294" s="1003"/>
      <c r="D294" s="740" t="s">
        <v>992</v>
      </c>
      <c r="E294" s="736">
        <v>0</v>
      </c>
      <c r="F294" s="736">
        <v>0</v>
      </c>
      <c r="G294" s="737">
        <v>0</v>
      </c>
      <c r="H294" s="738">
        <f t="shared" si="6"/>
        <v>0</v>
      </c>
      <c r="I294" s="739">
        <f t="shared" si="7"/>
        <v>0</v>
      </c>
      <c r="J294" s="339"/>
    </row>
    <row r="295" spans="1:9" ht="13.5" thickBot="1">
      <c r="A295" s="152"/>
      <c r="B295" s="152"/>
      <c r="C295" s="198"/>
      <c r="D295" s="741" t="s">
        <v>31</v>
      </c>
      <c r="E295" s="742">
        <f>E245+E23</f>
        <v>860537</v>
      </c>
      <c r="F295" s="742">
        <f>F245+F23</f>
        <v>188635</v>
      </c>
      <c r="G295" s="743">
        <f>F295/E295*100</f>
        <v>21.920614685946102</v>
      </c>
      <c r="H295" s="744">
        <f t="shared" si="6"/>
        <v>2.293187681360229</v>
      </c>
      <c r="I295" s="745">
        <f t="shared" si="7"/>
        <v>0.532042715723599</v>
      </c>
    </row>
    <row r="296" spans="1:5" ht="12.75">
      <c r="A296" s="123"/>
      <c r="B296" s="123"/>
      <c r="C296" s="214"/>
      <c r="D296" s="123"/>
      <c r="E296" s="123"/>
    </row>
    <row r="297" spans="1:5" ht="12.75">
      <c r="A297" s="123"/>
      <c r="B297" s="123"/>
      <c r="C297" s="214"/>
      <c r="D297" s="123"/>
      <c r="E297" s="123"/>
    </row>
    <row r="298" spans="1:5" ht="12.75">
      <c r="A298" s="123"/>
      <c r="B298" s="123"/>
      <c r="C298" s="214"/>
      <c r="D298" s="123"/>
      <c r="E298" s="122"/>
    </row>
    <row r="299" spans="1:5" ht="12.75">
      <c r="A299" s="123"/>
      <c r="B299" s="123"/>
      <c r="C299" s="214"/>
      <c r="D299" s="123"/>
      <c r="E299" s="123"/>
    </row>
    <row r="300" spans="1:5" ht="12.75">
      <c r="A300" s="123"/>
      <c r="B300" s="123"/>
      <c r="C300" s="214"/>
      <c r="D300" s="123"/>
      <c r="E300" s="123">
        <v>31274520</v>
      </c>
    </row>
    <row r="301" spans="1:5" ht="12.75">
      <c r="A301" s="123"/>
      <c r="B301" s="123"/>
      <c r="C301" s="214"/>
      <c r="D301" s="123"/>
      <c r="E301" s="123"/>
    </row>
    <row r="302" spans="1:5" ht="12.75">
      <c r="A302" s="123"/>
      <c r="B302" s="123"/>
      <c r="C302" s="214"/>
      <c r="D302" s="123"/>
      <c r="E302" s="123"/>
    </row>
    <row r="303" spans="1:5" ht="12.75">
      <c r="A303" s="123"/>
      <c r="B303" s="123"/>
      <c r="C303" s="214"/>
      <c r="D303" s="123"/>
      <c r="E303" s="123"/>
    </row>
    <row r="304" spans="1:5" ht="12.75">
      <c r="A304" s="123"/>
      <c r="B304" s="123"/>
      <c r="C304" s="214"/>
      <c r="D304" s="123"/>
      <c r="E304" s="123"/>
    </row>
    <row r="305" spans="1:5" ht="12.75">
      <c r="A305" s="123"/>
      <c r="B305" s="123"/>
      <c r="C305" s="214"/>
      <c r="D305" s="123"/>
      <c r="E305" s="123"/>
    </row>
    <row r="306" spans="1:5" ht="12.75">
      <c r="A306" s="123"/>
      <c r="B306" s="123"/>
      <c r="C306" s="214"/>
      <c r="D306" s="123"/>
      <c r="E306" s="123"/>
    </row>
    <row r="307" spans="1:5" ht="12.75">
      <c r="A307" s="123"/>
      <c r="B307" s="123"/>
      <c r="C307" s="214"/>
      <c r="D307" s="123"/>
      <c r="E307" s="123"/>
    </row>
    <row r="308" spans="1:5" ht="12.75">
      <c r="A308" s="123"/>
      <c r="B308" s="123"/>
      <c r="C308" s="214"/>
      <c r="D308" s="123"/>
      <c r="E308" s="123"/>
    </row>
    <row r="309" spans="1:5" ht="12.75">
      <c r="A309" s="123"/>
      <c r="B309" s="123"/>
      <c r="C309" s="214"/>
      <c r="D309" s="123"/>
      <c r="E309" s="123"/>
    </row>
    <row r="310" spans="1:5" ht="12.75">
      <c r="A310" s="123"/>
      <c r="B310" s="123"/>
      <c r="C310" s="214"/>
      <c r="D310" s="123"/>
      <c r="E310" s="123"/>
    </row>
    <row r="311" spans="1:5" ht="12.75">
      <c r="A311" s="123"/>
      <c r="B311" s="123"/>
      <c r="C311" s="214"/>
      <c r="D311" s="123"/>
      <c r="E311" s="123"/>
    </row>
    <row r="312" spans="1:5" ht="12.75">
      <c r="A312" s="123"/>
      <c r="B312" s="123"/>
      <c r="C312" s="214"/>
      <c r="D312" s="123"/>
      <c r="E312" s="123"/>
    </row>
    <row r="313" spans="1:5" ht="12.75">
      <c r="A313" s="123"/>
      <c r="B313" s="123"/>
      <c r="C313" s="214"/>
      <c r="D313" s="123"/>
      <c r="E313" s="123"/>
    </row>
    <row r="314" spans="1:5" ht="12.75">
      <c r="A314" s="123"/>
      <c r="B314" s="123"/>
      <c r="C314" s="214"/>
      <c r="D314" s="123"/>
      <c r="E314" s="123"/>
    </row>
    <row r="315" spans="1:5" ht="12.75">
      <c r="A315" s="123"/>
      <c r="B315" s="123"/>
      <c r="C315" s="214"/>
      <c r="D315" s="123"/>
      <c r="E315" s="123"/>
    </row>
    <row r="316" spans="1:5" ht="12.75">
      <c r="A316" s="123"/>
      <c r="B316" s="123"/>
      <c r="C316" s="214"/>
      <c r="D316" s="123"/>
      <c r="E316" s="123"/>
    </row>
    <row r="317" spans="1:5" ht="12.75">
      <c r="A317" s="123"/>
      <c r="B317" s="123"/>
      <c r="C317" s="214"/>
      <c r="D317" s="123"/>
      <c r="E317" s="123"/>
    </row>
    <row r="318" spans="1:5" ht="12.75">
      <c r="A318" s="123"/>
      <c r="B318" s="123"/>
      <c r="C318" s="214"/>
      <c r="D318" s="123"/>
      <c r="E318" s="123"/>
    </row>
    <row r="319" spans="1:5" ht="12.75">
      <c r="A319" s="123"/>
      <c r="B319" s="123"/>
      <c r="C319" s="214"/>
      <c r="D319" s="123"/>
      <c r="E319" s="123"/>
    </row>
    <row r="320" spans="1:5" ht="12.75">
      <c r="A320" s="123"/>
      <c r="B320" s="123"/>
      <c r="C320" s="214"/>
      <c r="D320" s="123"/>
      <c r="E320" s="123"/>
    </row>
    <row r="321" spans="1:5" ht="12.75">
      <c r="A321" s="123"/>
      <c r="B321" s="123"/>
      <c r="C321" s="214"/>
      <c r="D321" s="123"/>
      <c r="E321" s="123"/>
    </row>
    <row r="322" spans="1:5" ht="12.75">
      <c r="A322" s="123"/>
      <c r="B322" s="123"/>
      <c r="C322" s="214"/>
      <c r="D322" s="123"/>
      <c r="E322" s="123"/>
    </row>
    <row r="323" spans="1:5" ht="12.75">
      <c r="A323" s="123"/>
      <c r="B323" s="123"/>
      <c r="C323" s="214"/>
      <c r="D323" s="123"/>
      <c r="E323" s="123"/>
    </row>
    <row r="324" spans="1:5" ht="12.75">
      <c r="A324" s="123"/>
      <c r="B324" s="123"/>
      <c r="C324" s="214"/>
      <c r="D324" s="123"/>
      <c r="E324" s="123"/>
    </row>
    <row r="325" spans="1:5" ht="12.75">
      <c r="A325" s="123"/>
      <c r="B325" s="123"/>
      <c r="C325" s="214"/>
      <c r="D325" s="123"/>
      <c r="E325" s="123"/>
    </row>
    <row r="326" spans="1:5" ht="12.75">
      <c r="A326" s="123"/>
      <c r="B326" s="123"/>
      <c r="C326" s="214"/>
      <c r="D326" s="123"/>
      <c r="E326" s="123"/>
    </row>
    <row r="327" spans="1:5" ht="12.75">
      <c r="A327" s="123"/>
      <c r="B327" s="123"/>
      <c r="C327" s="214"/>
      <c r="D327" s="123"/>
      <c r="E327" s="123"/>
    </row>
    <row r="328" spans="1:5" ht="12.75">
      <c r="A328" s="123"/>
      <c r="B328" s="123"/>
      <c r="C328" s="214"/>
      <c r="D328" s="123"/>
      <c r="E328" s="123"/>
    </row>
    <row r="329" spans="1:5" ht="12.75">
      <c r="A329" s="123"/>
      <c r="B329" s="123"/>
      <c r="C329" s="214"/>
      <c r="D329" s="123"/>
      <c r="E329" s="123"/>
    </row>
    <row r="330" spans="1:5" ht="12.75">
      <c r="A330" s="123"/>
      <c r="B330" s="123"/>
      <c r="C330" s="214"/>
      <c r="D330" s="123"/>
      <c r="E330" s="123"/>
    </row>
    <row r="331" spans="1:5" ht="12.75">
      <c r="A331" s="123"/>
      <c r="B331" s="123"/>
      <c r="C331" s="214"/>
      <c r="D331" s="123"/>
      <c r="E331" s="123"/>
    </row>
    <row r="332" spans="1:5" ht="12.75">
      <c r="A332" s="123"/>
      <c r="B332" s="123"/>
      <c r="C332" s="214"/>
      <c r="D332" s="123"/>
      <c r="E332" s="123"/>
    </row>
    <row r="333" spans="1:5" ht="12.75">
      <c r="A333" s="123"/>
      <c r="B333" s="123"/>
      <c r="C333" s="214"/>
      <c r="D333" s="123"/>
      <c r="E333" s="123"/>
    </row>
    <row r="334" spans="1:5" ht="12.75">
      <c r="A334" s="123"/>
      <c r="B334" s="123"/>
      <c r="C334" s="214"/>
      <c r="D334" s="123"/>
      <c r="E334" s="123"/>
    </row>
    <row r="335" spans="1:5" ht="12.75">
      <c r="A335" s="123"/>
      <c r="B335" s="123"/>
      <c r="C335" s="214"/>
      <c r="D335" s="123"/>
      <c r="E335" s="123"/>
    </row>
    <row r="336" spans="1:5" ht="12.75">
      <c r="A336" s="123"/>
      <c r="B336" s="123"/>
      <c r="C336" s="214"/>
      <c r="D336" s="123"/>
      <c r="E336" s="123"/>
    </row>
    <row r="337" spans="1:5" ht="12.75">
      <c r="A337" s="123"/>
      <c r="B337" s="123"/>
      <c r="C337" s="214"/>
      <c r="D337" s="123"/>
      <c r="E337" s="123"/>
    </row>
    <row r="338" spans="1:5" ht="12.75">
      <c r="A338" s="123"/>
      <c r="B338" s="123"/>
      <c r="C338" s="214"/>
      <c r="D338" s="123"/>
      <c r="E338" s="123"/>
    </row>
    <row r="339" spans="1:5" ht="12.75">
      <c r="A339" s="123"/>
      <c r="B339" s="123"/>
      <c r="C339" s="214"/>
      <c r="D339" s="123"/>
      <c r="E339" s="123"/>
    </row>
    <row r="340" spans="1:5" ht="12.75">
      <c r="A340" s="123"/>
      <c r="B340" s="123"/>
      <c r="C340" s="214"/>
      <c r="D340" s="123"/>
      <c r="E340" s="123"/>
    </row>
    <row r="341" spans="1:5" ht="12.75">
      <c r="A341" s="123"/>
      <c r="B341" s="123"/>
      <c r="C341" s="214"/>
      <c r="D341" s="123"/>
      <c r="E341" s="123"/>
    </row>
    <row r="342" spans="1:5" ht="12.75">
      <c r="A342" s="123"/>
      <c r="B342" s="123"/>
      <c r="C342" s="214"/>
      <c r="D342" s="123"/>
      <c r="E342" s="123"/>
    </row>
    <row r="343" spans="1:5" ht="12.75">
      <c r="A343" s="123"/>
      <c r="B343" s="123"/>
      <c r="C343" s="214"/>
      <c r="D343" s="123"/>
      <c r="E343" s="123"/>
    </row>
    <row r="344" spans="1:5" ht="12.75">
      <c r="A344" s="123"/>
      <c r="B344" s="123"/>
      <c r="C344" s="214"/>
      <c r="D344" s="123"/>
      <c r="E344" s="123"/>
    </row>
    <row r="345" spans="1:5" ht="12.75">
      <c r="A345" s="123"/>
      <c r="B345" s="123"/>
      <c r="C345" s="214"/>
      <c r="D345" s="123"/>
      <c r="E345" s="123"/>
    </row>
    <row r="346" spans="1:5" ht="12.75">
      <c r="A346" s="123"/>
      <c r="B346" s="123"/>
      <c r="C346" s="214"/>
      <c r="D346" s="123"/>
      <c r="E346" s="123"/>
    </row>
    <row r="347" spans="1:5" ht="12.75">
      <c r="A347" s="123"/>
      <c r="B347" s="123"/>
      <c r="C347" s="214"/>
      <c r="D347" s="123"/>
      <c r="E347" s="123"/>
    </row>
    <row r="348" spans="1:5" ht="12.75">
      <c r="A348" s="123"/>
      <c r="B348" s="123"/>
      <c r="C348" s="214"/>
      <c r="D348" s="123"/>
      <c r="E348" s="123"/>
    </row>
    <row r="349" spans="1:5" ht="12.75">
      <c r="A349" s="123"/>
      <c r="B349" s="123"/>
      <c r="C349" s="214"/>
      <c r="D349" s="123"/>
      <c r="E349" s="123"/>
    </row>
    <row r="350" spans="1:5" ht="12.75">
      <c r="A350" s="123"/>
      <c r="B350" s="123"/>
      <c r="C350" s="214"/>
      <c r="D350" s="123"/>
      <c r="E350" s="123"/>
    </row>
    <row r="351" spans="1:5" ht="12.75">
      <c r="A351" s="123"/>
      <c r="B351" s="123"/>
      <c r="C351" s="214"/>
      <c r="D351" s="123"/>
      <c r="E351" s="123"/>
    </row>
    <row r="352" spans="1:5" ht="12.75">
      <c r="A352" s="123"/>
      <c r="B352" s="123"/>
      <c r="C352" s="214"/>
      <c r="D352" s="123"/>
      <c r="E352" s="123"/>
    </row>
    <row r="353" spans="1:5" ht="12.75">
      <c r="A353" s="123"/>
      <c r="B353" s="123"/>
      <c r="C353" s="214"/>
      <c r="D353" s="123"/>
      <c r="E353" s="123"/>
    </row>
    <row r="354" spans="1:5" ht="12.75">
      <c r="A354" s="123"/>
      <c r="B354" s="123"/>
      <c r="C354" s="214"/>
      <c r="D354" s="123"/>
      <c r="E354" s="123"/>
    </row>
    <row r="355" spans="1:5" ht="12.75">
      <c r="A355" s="123"/>
      <c r="B355" s="123"/>
      <c r="C355" s="214"/>
      <c r="D355" s="123"/>
      <c r="E355" s="123"/>
    </row>
    <row r="356" spans="1:5" ht="12.75">
      <c r="A356" s="123"/>
      <c r="B356" s="123"/>
      <c r="C356" s="214"/>
      <c r="D356" s="123"/>
      <c r="E356" s="123"/>
    </row>
    <row r="357" spans="1:5" ht="12.75">
      <c r="A357" s="123"/>
      <c r="B357" s="123"/>
      <c r="C357" s="214"/>
      <c r="D357" s="123"/>
      <c r="E357" s="123"/>
    </row>
    <row r="358" spans="1:5" ht="12.75">
      <c r="A358" s="123"/>
      <c r="B358" s="123"/>
      <c r="C358" s="214"/>
      <c r="D358" s="123"/>
      <c r="E358" s="123"/>
    </row>
    <row r="359" spans="1:5" ht="12.75">
      <c r="A359" s="123"/>
      <c r="B359" s="123"/>
      <c r="C359" s="214"/>
      <c r="D359" s="123"/>
      <c r="E359" s="123"/>
    </row>
    <row r="360" spans="1:5" ht="12.75">
      <c r="A360" s="123"/>
      <c r="B360" s="123"/>
      <c r="C360" s="214"/>
      <c r="D360" s="123"/>
      <c r="E360" s="123"/>
    </row>
    <row r="361" spans="1:5" ht="12.75">
      <c r="A361" s="123"/>
      <c r="B361" s="123"/>
      <c r="C361" s="214"/>
      <c r="D361" s="123"/>
      <c r="E361" s="123"/>
    </row>
    <row r="362" spans="1:5" ht="12.75">
      <c r="A362" s="123"/>
      <c r="B362" s="123"/>
      <c r="C362" s="214"/>
      <c r="D362" s="123"/>
      <c r="E362" s="123"/>
    </row>
    <row r="363" spans="1:5" ht="12.75">
      <c r="A363" s="123"/>
      <c r="B363" s="123"/>
      <c r="C363" s="214"/>
      <c r="D363" s="123"/>
      <c r="E363" s="123"/>
    </row>
    <row r="364" spans="1:5" ht="12.75">
      <c r="A364" s="123"/>
      <c r="B364" s="123"/>
      <c r="C364" s="214"/>
      <c r="D364" s="123"/>
      <c r="E364" s="123"/>
    </row>
    <row r="365" spans="1:5" ht="12.75">
      <c r="A365" s="123"/>
      <c r="B365" s="123"/>
      <c r="C365" s="214"/>
      <c r="D365" s="123"/>
      <c r="E365" s="123"/>
    </row>
    <row r="366" spans="1:5" ht="12.75">
      <c r="A366" s="123"/>
      <c r="B366" s="123"/>
      <c r="C366" s="214"/>
      <c r="D366" s="123"/>
      <c r="E366" s="123"/>
    </row>
    <row r="367" spans="1:5" ht="12.75">
      <c r="A367" s="123"/>
      <c r="B367" s="123"/>
      <c r="C367" s="214"/>
      <c r="D367" s="123"/>
      <c r="E367" s="123"/>
    </row>
    <row r="368" spans="1:5" ht="12.75">
      <c r="A368" s="123"/>
      <c r="B368" s="123"/>
      <c r="C368" s="214"/>
      <c r="D368" s="123"/>
      <c r="E368" s="123"/>
    </row>
    <row r="369" spans="1:5" ht="12.75">
      <c r="A369" s="123"/>
      <c r="B369" s="123"/>
      <c r="C369" s="214"/>
      <c r="D369" s="123"/>
      <c r="E369" s="123"/>
    </row>
    <row r="370" spans="1:5" ht="12.75">
      <c r="A370" s="123"/>
      <c r="B370" s="123"/>
      <c r="C370" s="214"/>
      <c r="D370" s="123"/>
      <c r="E370" s="123"/>
    </row>
    <row r="371" spans="1:5" ht="12.75">
      <c r="A371" s="123"/>
      <c r="B371" s="123"/>
      <c r="C371" s="214"/>
      <c r="D371" s="123"/>
      <c r="E371" s="123"/>
    </row>
    <row r="372" spans="1:5" ht="12.75">
      <c r="A372" s="123"/>
      <c r="B372" s="123"/>
      <c r="C372" s="214"/>
      <c r="D372" s="123"/>
      <c r="E372" s="123"/>
    </row>
    <row r="373" spans="1:5" ht="12.75">
      <c r="A373" s="123"/>
      <c r="B373" s="123"/>
      <c r="C373" s="214"/>
      <c r="D373" s="123"/>
      <c r="E373" s="123"/>
    </row>
    <row r="374" spans="1:5" ht="12.75">
      <c r="A374" s="123"/>
      <c r="B374" s="123"/>
      <c r="C374" s="214"/>
      <c r="D374" s="123"/>
      <c r="E374" s="123"/>
    </row>
    <row r="375" spans="1:5" ht="12.75">
      <c r="A375" s="123"/>
      <c r="B375" s="123"/>
      <c r="C375" s="214"/>
      <c r="D375" s="123"/>
      <c r="E375" s="123"/>
    </row>
    <row r="376" spans="1:5" ht="12.75">
      <c r="A376" s="123"/>
      <c r="B376" s="123"/>
      <c r="C376" s="214"/>
      <c r="D376" s="123"/>
      <c r="E376" s="123"/>
    </row>
    <row r="377" spans="1:5" ht="12.75">
      <c r="A377" s="123"/>
      <c r="B377" s="123"/>
      <c r="C377" s="214"/>
      <c r="D377" s="123"/>
      <c r="E377" s="123"/>
    </row>
    <row r="378" spans="1:5" ht="12.75">
      <c r="A378" s="123"/>
      <c r="B378" s="123"/>
      <c r="C378" s="214"/>
      <c r="D378" s="123"/>
      <c r="E378" s="123"/>
    </row>
    <row r="379" spans="1:5" ht="12.75">
      <c r="A379" s="123"/>
      <c r="B379" s="123"/>
      <c r="C379" s="214"/>
      <c r="D379" s="123"/>
      <c r="E379" s="123"/>
    </row>
    <row r="380" spans="1:5" ht="12.75">
      <c r="A380" s="123"/>
      <c r="B380" s="123"/>
      <c r="C380" s="214"/>
      <c r="D380" s="123"/>
      <c r="E380" s="123"/>
    </row>
    <row r="381" spans="1:5" ht="12.75">
      <c r="A381" s="123"/>
      <c r="B381" s="123"/>
      <c r="C381" s="214"/>
      <c r="D381" s="123"/>
      <c r="E381" s="123"/>
    </row>
    <row r="382" spans="1:5" ht="12.75">
      <c r="A382" s="123"/>
      <c r="B382" s="123"/>
      <c r="C382" s="214"/>
      <c r="D382" s="123"/>
      <c r="E382" s="123"/>
    </row>
    <row r="383" spans="1:5" ht="12.75">
      <c r="A383" s="123"/>
      <c r="B383" s="123"/>
      <c r="C383" s="214"/>
      <c r="D383" s="123"/>
      <c r="E383" s="123"/>
    </row>
    <row r="384" spans="1:5" ht="12.75">
      <c r="A384" s="123"/>
      <c r="B384" s="123"/>
      <c r="C384" s="214"/>
      <c r="D384" s="123"/>
      <c r="E384" s="123"/>
    </row>
    <row r="385" spans="1:5" ht="12.75">
      <c r="A385" s="123"/>
      <c r="B385" s="123"/>
      <c r="C385" s="214"/>
      <c r="D385" s="123"/>
      <c r="E385" s="123"/>
    </row>
    <row r="386" spans="1:5" ht="12.75">
      <c r="A386" s="123"/>
      <c r="B386" s="123"/>
      <c r="C386" s="214"/>
      <c r="D386" s="123"/>
      <c r="E386" s="123"/>
    </row>
    <row r="387" spans="1:5" ht="12.75">
      <c r="A387" s="123"/>
      <c r="B387" s="123"/>
      <c r="C387" s="214"/>
      <c r="D387" s="123"/>
      <c r="E387" s="123"/>
    </row>
    <row r="388" spans="1:5" ht="12.75">
      <c r="A388" s="123"/>
      <c r="B388" s="123"/>
      <c r="C388" s="214"/>
      <c r="D388" s="123"/>
      <c r="E388" s="123"/>
    </row>
    <row r="389" spans="1:5" ht="12.75">
      <c r="A389" s="123"/>
      <c r="B389" s="123"/>
      <c r="C389" s="214"/>
      <c r="D389" s="123"/>
      <c r="E389" s="123"/>
    </row>
    <row r="390" spans="1:5" ht="12.75">
      <c r="A390" s="123"/>
      <c r="B390" s="123"/>
      <c r="C390" s="214"/>
      <c r="D390" s="123"/>
      <c r="E390" s="123"/>
    </row>
    <row r="391" spans="1:5" ht="12.75">
      <c r="A391" s="123"/>
      <c r="B391" s="123"/>
      <c r="C391" s="214"/>
      <c r="D391" s="123"/>
      <c r="E391" s="123"/>
    </row>
    <row r="392" spans="1:5" ht="12.75">
      <c r="A392" s="123"/>
      <c r="B392" s="123"/>
      <c r="C392" s="214"/>
      <c r="D392" s="123"/>
      <c r="E392" s="123"/>
    </row>
    <row r="393" spans="1:5" ht="12.75">
      <c r="A393" s="123"/>
      <c r="B393" s="123"/>
      <c r="C393" s="214"/>
      <c r="D393" s="123"/>
      <c r="E393" s="123"/>
    </row>
    <row r="394" spans="1:5" ht="12.75">
      <c r="A394" s="123"/>
      <c r="B394" s="123"/>
      <c r="C394" s="214"/>
      <c r="D394" s="123"/>
      <c r="E394" s="123"/>
    </row>
    <row r="395" spans="1:5" ht="12.75">
      <c r="A395" s="123"/>
      <c r="B395" s="123"/>
      <c r="C395" s="214"/>
      <c r="D395" s="123"/>
      <c r="E395" s="123"/>
    </row>
    <row r="396" spans="1:5" ht="12.75">
      <c r="A396" s="123"/>
      <c r="B396" s="123"/>
      <c r="C396" s="214"/>
      <c r="D396" s="123"/>
      <c r="E396" s="123"/>
    </row>
    <row r="397" spans="1:5" ht="12.75">
      <c r="A397" s="123"/>
      <c r="B397" s="123"/>
      <c r="C397" s="214"/>
      <c r="D397" s="123"/>
      <c r="E397" s="123"/>
    </row>
    <row r="398" spans="1:5" ht="12.75">
      <c r="A398" s="123"/>
      <c r="B398" s="123"/>
      <c r="C398" s="214"/>
      <c r="D398" s="123"/>
      <c r="E398" s="123"/>
    </row>
    <row r="399" spans="1:5" ht="12.75">
      <c r="A399" s="123"/>
      <c r="B399" s="123"/>
      <c r="C399" s="214"/>
      <c r="D399" s="123"/>
      <c r="E399" s="123"/>
    </row>
    <row r="400" spans="1:5" ht="12.75">
      <c r="A400" s="123"/>
      <c r="B400" s="123"/>
      <c r="C400" s="214"/>
      <c r="D400" s="123"/>
      <c r="E400" s="123"/>
    </row>
    <row r="401" spans="1:5" ht="12.75">
      <c r="A401" s="123"/>
      <c r="B401" s="123"/>
      <c r="C401" s="214"/>
      <c r="D401" s="123"/>
      <c r="E401" s="123"/>
    </row>
    <row r="402" spans="1:5" ht="12.75">
      <c r="A402" s="123"/>
      <c r="B402" s="123"/>
      <c r="C402" s="214"/>
      <c r="D402" s="123"/>
      <c r="E402" s="123"/>
    </row>
    <row r="403" spans="1:5" ht="12.75">
      <c r="A403" s="123"/>
      <c r="B403" s="123"/>
      <c r="C403" s="214"/>
      <c r="D403" s="123"/>
      <c r="E403" s="123"/>
    </row>
    <row r="404" spans="1:5" ht="12.75">
      <c r="A404" s="123"/>
      <c r="B404" s="123"/>
      <c r="C404" s="214"/>
      <c r="D404" s="123"/>
      <c r="E404" s="123"/>
    </row>
    <row r="405" spans="1:5" ht="12.75">
      <c r="A405" s="123"/>
      <c r="B405" s="123"/>
      <c r="C405" s="214"/>
      <c r="D405" s="123"/>
      <c r="E405" s="123"/>
    </row>
    <row r="406" spans="1:5" ht="12.75">
      <c r="A406" s="123"/>
      <c r="B406" s="123"/>
      <c r="C406" s="214"/>
      <c r="D406" s="123"/>
      <c r="E406" s="123"/>
    </row>
    <row r="407" spans="1:5" ht="12.75">
      <c r="A407" s="123"/>
      <c r="B407" s="123"/>
      <c r="C407" s="214"/>
      <c r="D407" s="123"/>
      <c r="E407" s="123"/>
    </row>
    <row r="408" spans="1:5" ht="12.75">
      <c r="A408" s="123"/>
      <c r="B408" s="123"/>
      <c r="C408" s="214"/>
      <c r="D408" s="123"/>
      <c r="E408" s="123"/>
    </row>
    <row r="409" spans="1:5" ht="12.75">
      <c r="A409" s="123"/>
      <c r="B409" s="123"/>
      <c r="C409" s="214"/>
      <c r="D409" s="123"/>
      <c r="E409" s="123"/>
    </row>
    <row r="410" spans="1:5" ht="12.75">
      <c r="A410" s="123"/>
      <c r="B410" s="123"/>
      <c r="C410" s="214"/>
      <c r="D410" s="123"/>
      <c r="E410" s="123"/>
    </row>
    <row r="411" spans="1:5" ht="12.75">
      <c r="A411" s="123"/>
      <c r="B411" s="123"/>
      <c r="C411" s="214"/>
      <c r="D411" s="123"/>
      <c r="E411" s="123"/>
    </row>
    <row r="412" spans="1:5" ht="12.75">
      <c r="A412" s="123"/>
      <c r="B412" s="123"/>
      <c r="C412" s="214"/>
      <c r="D412" s="123"/>
      <c r="E412" s="123"/>
    </row>
    <row r="413" spans="1:5" ht="12.75">
      <c r="A413" s="123"/>
      <c r="B413" s="123"/>
      <c r="C413" s="214"/>
      <c r="D413" s="123"/>
      <c r="E413" s="123"/>
    </row>
    <row r="414" spans="1:5" ht="12.75">
      <c r="A414" s="123"/>
      <c r="B414" s="123"/>
      <c r="C414" s="214"/>
      <c r="D414" s="123"/>
      <c r="E414" s="123"/>
    </row>
    <row r="415" spans="1:5" ht="12.75">
      <c r="A415" s="123"/>
      <c r="B415" s="123"/>
      <c r="C415" s="214"/>
      <c r="D415" s="123"/>
      <c r="E415" s="123"/>
    </row>
    <row r="416" spans="1:5" ht="12.75">
      <c r="A416" s="123"/>
      <c r="B416" s="123"/>
      <c r="C416" s="214"/>
      <c r="D416" s="123"/>
      <c r="E416" s="123"/>
    </row>
    <row r="417" spans="1:5" ht="12.75">
      <c r="A417" s="123"/>
      <c r="B417" s="123"/>
      <c r="C417" s="214"/>
      <c r="D417" s="123"/>
      <c r="E417" s="123"/>
    </row>
    <row r="418" spans="1:5" ht="12.75">
      <c r="A418" s="123"/>
      <c r="B418" s="123"/>
      <c r="C418" s="214"/>
      <c r="D418" s="123"/>
      <c r="E418" s="123"/>
    </row>
    <row r="419" spans="1:5" ht="12.75">
      <c r="A419" s="123"/>
      <c r="B419" s="123"/>
      <c r="C419" s="214"/>
      <c r="D419" s="123"/>
      <c r="E419" s="123"/>
    </row>
    <row r="420" spans="1:5" ht="12.75">
      <c r="A420" s="123"/>
      <c r="B420" s="123"/>
      <c r="C420" s="214"/>
      <c r="D420" s="123"/>
      <c r="E420" s="123"/>
    </row>
    <row r="421" spans="1:5" ht="12.75">
      <c r="A421" s="123"/>
      <c r="B421" s="123"/>
      <c r="C421" s="214"/>
      <c r="D421" s="123"/>
      <c r="E421" s="123"/>
    </row>
    <row r="422" spans="1:5" ht="12.75">
      <c r="A422" s="123"/>
      <c r="B422" s="123"/>
      <c r="C422" s="214"/>
      <c r="D422" s="123"/>
      <c r="E422" s="123"/>
    </row>
    <row r="423" spans="1:5" ht="12.75">
      <c r="A423" s="123"/>
      <c r="B423" s="123"/>
      <c r="C423" s="214"/>
      <c r="D423" s="123"/>
      <c r="E423" s="123"/>
    </row>
    <row r="424" spans="1:5" ht="12.75">
      <c r="A424" s="123"/>
      <c r="B424" s="123"/>
      <c r="C424" s="214"/>
      <c r="D424" s="123"/>
      <c r="E424" s="123"/>
    </row>
    <row r="425" spans="1:5" ht="12.75">
      <c r="A425" s="123"/>
      <c r="B425" s="123"/>
      <c r="C425" s="214"/>
      <c r="D425" s="123"/>
      <c r="E425" s="123"/>
    </row>
    <row r="426" spans="1:5" ht="12.75">
      <c r="A426" s="123"/>
      <c r="B426" s="123"/>
      <c r="C426" s="214"/>
      <c r="D426" s="123"/>
      <c r="E426" s="123"/>
    </row>
    <row r="427" spans="1:5" ht="12.75">
      <c r="A427" s="123"/>
      <c r="B427" s="123"/>
      <c r="C427" s="214"/>
      <c r="D427" s="123"/>
      <c r="E427" s="123"/>
    </row>
    <row r="428" spans="1:5" ht="12.75">
      <c r="A428" s="123"/>
      <c r="B428" s="123"/>
      <c r="C428" s="214"/>
      <c r="D428" s="123"/>
      <c r="E428" s="123"/>
    </row>
    <row r="429" spans="1:5" ht="12.75">
      <c r="A429" s="123"/>
      <c r="B429" s="123"/>
      <c r="C429" s="214"/>
      <c r="D429" s="123"/>
      <c r="E429" s="123"/>
    </row>
    <row r="430" spans="1:5" ht="12.75">
      <c r="A430" s="123"/>
      <c r="B430" s="123"/>
      <c r="C430" s="214"/>
      <c r="D430" s="123"/>
      <c r="E430" s="123"/>
    </row>
    <row r="431" spans="1:5" ht="12.75">
      <c r="A431" s="123"/>
      <c r="B431" s="123"/>
      <c r="C431" s="214"/>
      <c r="D431" s="123"/>
      <c r="E431" s="123"/>
    </row>
    <row r="432" spans="1:5" ht="12.75">
      <c r="A432" s="123"/>
      <c r="B432" s="123"/>
      <c r="C432" s="214"/>
      <c r="D432" s="123"/>
      <c r="E432" s="123"/>
    </row>
    <row r="433" spans="1:5" ht="12.75">
      <c r="A433" s="123"/>
      <c r="B433" s="123"/>
      <c r="C433" s="214"/>
      <c r="D433" s="123"/>
      <c r="E433" s="123"/>
    </row>
    <row r="434" spans="1:5" ht="12.75">
      <c r="A434" s="123"/>
      <c r="B434" s="123"/>
      <c r="C434" s="214"/>
      <c r="D434" s="123"/>
      <c r="E434" s="123"/>
    </row>
    <row r="435" spans="1:5" ht="12.75">
      <c r="A435" s="123"/>
      <c r="B435" s="123"/>
      <c r="C435" s="214"/>
      <c r="D435" s="123"/>
      <c r="E435" s="123"/>
    </row>
    <row r="436" spans="2:5" ht="12.75">
      <c r="B436" s="339"/>
      <c r="C436" s="420"/>
      <c r="D436" s="339"/>
      <c r="E436" s="339"/>
    </row>
    <row r="437" spans="2:5" ht="12.75">
      <c r="B437" s="339"/>
      <c r="C437" s="420"/>
      <c r="D437" s="339"/>
      <c r="E437" s="339"/>
    </row>
    <row r="438" spans="2:5" ht="12.75">
      <c r="B438" s="339"/>
      <c r="C438" s="420"/>
      <c r="D438" s="339"/>
      <c r="E438" s="339"/>
    </row>
    <row r="439" spans="2:5" ht="12.75">
      <c r="B439" s="339"/>
      <c r="C439" s="420"/>
      <c r="D439" s="339"/>
      <c r="E439" s="339"/>
    </row>
    <row r="440" spans="2:5" ht="12.75">
      <c r="B440" s="339"/>
      <c r="C440" s="420"/>
      <c r="D440" s="339"/>
      <c r="E440" s="339"/>
    </row>
    <row r="441" spans="2:5" ht="12.75">
      <c r="B441" s="339"/>
      <c r="C441" s="420"/>
      <c r="D441" s="339"/>
      <c r="E441" s="339"/>
    </row>
    <row r="442" spans="2:5" ht="12.75">
      <c r="B442" s="339"/>
      <c r="C442" s="420"/>
      <c r="D442" s="339"/>
      <c r="E442" s="339"/>
    </row>
    <row r="443" spans="2:5" ht="12.75">
      <c r="B443" s="339"/>
      <c r="C443" s="420"/>
      <c r="D443" s="339"/>
      <c r="E443" s="339"/>
    </row>
    <row r="444" spans="2:5" ht="12.75">
      <c r="B444" s="339"/>
      <c r="C444" s="420"/>
      <c r="D444" s="339"/>
      <c r="E444" s="339"/>
    </row>
    <row r="445" spans="2:5" ht="12.75">
      <c r="B445" s="339"/>
      <c r="C445" s="420"/>
      <c r="D445" s="339"/>
      <c r="E445" s="339"/>
    </row>
    <row r="446" spans="2:5" ht="12.75">
      <c r="B446" s="339"/>
      <c r="C446" s="420"/>
      <c r="D446" s="339"/>
      <c r="E446" s="339"/>
    </row>
    <row r="447" spans="2:5" ht="12.75">
      <c r="B447" s="339"/>
      <c r="C447" s="420"/>
      <c r="D447" s="339"/>
      <c r="E447" s="339"/>
    </row>
    <row r="448" spans="2:5" ht="12.75">
      <c r="B448" s="339"/>
      <c r="C448" s="420"/>
      <c r="D448" s="339"/>
      <c r="E448" s="339"/>
    </row>
    <row r="449" spans="2:5" ht="12.75">
      <c r="B449" s="339"/>
      <c r="C449" s="420"/>
      <c r="D449" s="339"/>
      <c r="E449" s="339"/>
    </row>
    <row r="450" spans="2:5" ht="12.75">
      <c r="B450" s="339"/>
      <c r="C450" s="420"/>
      <c r="D450" s="339"/>
      <c r="E450" s="339"/>
    </row>
    <row r="451" spans="2:5" ht="12.75">
      <c r="B451" s="339"/>
      <c r="C451" s="420"/>
      <c r="D451" s="339"/>
      <c r="E451" s="339"/>
    </row>
    <row r="452" spans="2:5" ht="12.75">
      <c r="B452" s="339"/>
      <c r="C452" s="420"/>
      <c r="D452" s="339"/>
      <c r="E452" s="339"/>
    </row>
    <row r="453" spans="2:5" ht="12.75">
      <c r="B453" s="339"/>
      <c r="C453" s="420"/>
      <c r="D453" s="339"/>
      <c r="E453" s="339"/>
    </row>
    <row r="454" spans="2:5" ht="12.75">
      <c r="B454" s="339"/>
      <c r="C454" s="420"/>
      <c r="D454" s="339"/>
      <c r="E454" s="339"/>
    </row>
    <row r="455" spans="2:5" ht="12.75">
      <c r="B455" s="339"/>
      <c r="C455" s="420"/>
      <c r="D455" s="339"/>
      <c r="E455" s="339"/>
    </row>
    <row r="456" spans="2:5" ht="12.75">
      <c r="B456" s="339"/>
      <c r="C456" s="420"/>
      <c r="D456" s="339"/>
      <c r="E456" s="339"/>
    </row>
    <row r="457" spans="2:5" ht="12.75">
      <c r="B457" s="339"/>
      <c r="C457" s="420"/>
      <c r="D457" s="339"/>
      <c r="E457" s="339"/>
    </row>
    <row r="458" spans="2:5" ht="12.75">
      <c r="B458" s="339"/>
      <c r="C458" s="420"/>
      <c r="D458" s="339"/>
      <c r="E458" s="339"/>
    </row>
    <row r="459" spans="2:5" ht="12.75">
      <c r="B459" s="339"/>
      <c r="C459" s="420"/>
      <c r="D459" s="339"/>
      <c r="E459" s="339"/>
    </row>
    <row r="460" spans="2:5" ht="12.75">
      <c r="B460" s="339"/>
      <c r="C460" s="420"/>
      <c r="D460" s="339"/>
      <c r="E460" s="339"/>
    </row>
    <row r="461" spans="2:5" ht="12.75">
      <c r="B461" s="339"/>
      <c r="C461" s="420"/>
      <c r="D461" s="339"/>
      <c r="E461" s="339"/>
    </row>
    <row r="462" spans="2:5" ht="12.75">
      <c r="B462" s="339"/>
      <c r="C462" s="420"/>
      <c r="D462" s="339"/>
      <c r="E462" s="339"/>
    </row>
    <row r="463" spans="2:5" ht="12.75">
      <c r="B463" s="339"/>
      <c r="C463" s="420"/>
      <c r="D463" s="339"/>
      <c r="E463" s="339"/>
    </row>
    <row r="464" spans="2:5" ht="12.75">
      <c r="B464" s="339"/>
      <c r="C464" s="420"/>
      <c r="D464" s="339"/>
      <c r="E464" s="339"/>
    </row>
    <row r="465" spans="2:5" ht="12.75">
      <c r="B465" s="339"/>
      <c r="C465" s="420"/>
      <c r="D465" s="339"/>
      <c r="E465" s="339"/>
    </row>
    <row r="466" spans="2:5" ht="12.75">
      <c r="B466" s="339"/>
      <c r="C466" s="420"/>
      <c r="D466" s="339"/>
      <c r="E466" s="339"/>
    </row>
    <row r="467" spans="2:5" ht="12.75">
      <c r="B467" s="339"/>
      <c r="C467" s="420"/>
      <c r="D467" s="339"/>
      <c r="E467" s="339"/>
    </row>
    <row r="468" spans="2:5" ht="12.75">
      <c r="B468" s="339"/>
      <c r="C468" s="420"/>
      <c r="D468" s="339"/>
      <c r="E468" s="339"/>
    </row>
    <row r="469" spans="2:5" ht="12.75">
      <c r="B469" s="339"/>
      <c r="C469" s="420"/>
      <c r="D469" s="339"/>
      <c r="E469" s="339"/>
    </row>
    <row r="470" spans="2:5" ht="12.75">
      <c r="B470" s="339"/>
      <c r="C470" s="420"/>
      <c r="D470" s="339"/>
      <c r="E470" s="339"/>
    </row>
    <row r="471" spans="2:5" ht="12.75">
      <c r="B471" s="339"/>
      <c r="C471" s="420"/>
      <c r="D471" s="339"/>
      <c r="E471" s="339"/>
    </row>
    <row r="472" spans="2:5" ht="12.75">
      <c r="B472" s="339"/>
      <c r="C472" s="420"/>
      <c r="D472" s="339"/>
      <c r="E472" s="339"/>
    </row>
    <row r="473" spans="2:5" ht="12.75">
      <c r="B473" s="339"/>
      <c r="C473" s="420"/>
      <c r="D473" s="339"/>
      <c r="E473" s="339"/>
    </row>
    <row r="474" spans="2:5" ht="12.75">
      <c r="B474" s="339"/>
      <c r="C474" s="420"/>
      <c r="D474" s="339"/>
      <c r="E474" s="339"/>
    </row>
    <row r="475" spans="2:5" ht="12.75">
      <c r="B475" s="339"/>
      <c r="C475" s="420"/>
      <c r="D475" s="339"/>
      <c r="E475" s="339"/>
    </row>
    <row r="476" spans="2:5" ht="12.75">
      <c r="B476" s="339"/>
      <c r="C476" s="420"/>
      <c r="D476" s="339"/>
      <c r="E476" s="339"/>
    </row>
    <row r="477" spans="2:5" ht="12.75">
      <c r="B477" s="339"/>
      <c r="C477" s="420"/>
      <c r="D477" s="339"/>
      <c r="E477" s="339"/>
    </row>
    <row r="478" spans="2:5" ht="12.75">
      <c r="B478" s="339"/>
      <c r="C478" s="420"/>
      <c r="D478" s="339"/>
      <c r="E478" s="339"/>
    </row>
    <row r="479" spans="2:5" ht="12.75">
      <c r="B479" s="339"/>
      <c r="C479" s="420"/>
      <c r="D479" s="339"/>
      <c r="E479" s="339"/>
    </row>
    <row r="480" spans="2:5" ht="12.75">
      <c r="B480" s="339"/>
      <c r="C480" s="420"/>
      <c r="D480" s="339"/>
      <c r="E480" s="339"/>
    </row>
    <row r="481" spans="2:5" ht="12.75">
      <c r="B481" s="339"/>
      <c r="C481" s="420"/>
      <c r="D481" s="339"/>
      <c r="E481" s="339"/>
    </row>
    <row r="482" spans="2:5" ht="12.75">
      <c r="B482" s="339"/>
      <c r="C482" s="420"/>
      <c r="D482" s="339"/>
      <c r="E482" s="339"/>
    </row>
    <row r="483" spans="2:5" ht="12.75">
      <c r="B483" s="339"/>
      <c r="C483" s="420"/>
      <c r="D483" s="339"/>
      <c r="E483" s="339"/>
    </row>
    <row r="484" spans="2:5" ht="12.75">
      <c r="B484" s="339"/>
      <c r="C484" s="420"/>
      <c r="D484" s="339"/>
      <c r="E484" s="339"/>
    </row>
    <row r="485" spans="2:5" ht="12.75">
      <c r="B485" s="339"/>
      <c r="C485" s="420"/>
      <c r="D485" s="339"/>
      <c r="E485" s="339"/>
    </row>
    <row r="486" spans="2:5" ht="12.75">
      <c r="B486" s="339"/>
      <c r="C486" s="420"/>
      <c r="D486" s="339"/>
      <c r="E486" s="339"/>
    </row>
    <row r="487" spans="2:5" ht="12.75">
      <c r="B487" s="339"/>
      <c r="C487" s="420"/>
      <c r="D487" s="339"/>
      <c r="E487" s="339"/>
    </row>
    <row r="488" spans="2:5" ht="12.75">
      <c r="B488" s="339"/>
      <c r="C488" s="420"/>
      <c r="D488" s="339"/>
      <c r="E488" s="339"/>
    </row>
    <row r="489" spans="2:5" ht="12.75">
      <c r="B489" s="339"/>
      <c r="C489" s="420"/>
      <c r="D489" s="339"/>
      <c r="E489" s="339"/>
    </row>
    <row r="490" spans="2:5" ht="12.75">
      <c r="B490" s="339"/>
      <c r="C490" s="420"/>
      <c r="D490" s="339"/>
      <c r="E490" s="339"/>
    </row>
    <row r="491" spans="2:5" ht="12.75">
      <c r="B491" s="339"/>
      <c r="C491" s="420"/>
      <c r="D491" s="339"/>
      <c r="E491" s="339"/>
    </row>
    <row r="492" spans="2:5" ht="12.75">
      <c r="B492" s="339"/>
      <c r="C492" s="420"/>
      <c r="D492" s="339"/>
      <c r="E492" s="339"/>
    </row>
    <row r="493" spans="2:5" ht="12.75">
      <c r="B493" s="339"/>
      <c r="C493" s="420"/>
      <c r="D493" s="339"/>
      <c r="E493" s="339"/>
    </row>
    <row r="494" spans="2:5" ht="12.75">
      <c r="B494" s="339"/>
      <c r="C494" s="420"/>
      <c r="D494" s="339"/>
      <c r="E494" s="339"/>
    </row>
    <row r="495" spans="2:5" ht="12.75">
      <c r="B495" s="339"/>
      <c r="C495" s="420"/>
      <c r="D495" s="339"/>
      <c r="E495" s="339"/>
    </row>
    <row r="496" spans="2:5" ht="12.75">
      <c r="B496" s="339"/>
      <c r="C496" s="420"/>
      <c r="D496" s="339"/>
      <c r="E496" s="339"/>
    </row>
    <row r="497" spans="2:5" ht="12.75">
      <c r="B497" s="339"/>
      <c r="C497" s="420"/>
      <c r="D497" s="339"/>
      <c r="E497" s="339"/>
    </row>
    <row r="498" spans="2:5" ht="12.75">
      <c r="B498" s="339"/>
      <c r="C498" s="420"/>
      <c r="D498" s="339"/>
      <c r="E498" s="339"/>
    </row>
    <row r="499" spans="2:5" ht="12.75">
      <c r="B499" s="339"/>
      <c r="C499" s="420"/>
      <c r="D499" s="339"/>
      <c r="E499" s="339"/>
    </row>
    <row r="500" spans="2:5" ht="12.75">
      <c r="B500" s="339"/>
      <c r="C500" s="420"/>
      <c r="D500" s="339"/>
      <c r="E500" s="339"/>
    </row>
    <row r="501" spans="2:5" ht="12.75">
      <c r="B501" s="339"/>
      <c r="C501" s="420"/>
      <c r="D501" s="339"/>
      <c r="E501" s="339"/>
    </row>
    <row r="502" spans="2:5" ht="12.75">
      <c r="B502" s="339"/>
      <c r="C502" s="420"/>
      <c r="D502" s="339"/>
      <c r="E502" s="339"/>
    </row>
    <row r="503" spans="2:5" ht="12.75">
      <c r="B503" s="339"/>
      <c r="C503" s="420"/>
      <c r="D503" s="339"/>
      <c r="E503" s="339"/>
    </row>
    <row r="504" spans="2:5" ht="12.75">
      <c r="B504" s="339"/>
      <c r="C504" s="420"/>
      <c r="D504" s="339"/>
      <c r="E504" s="339"/>
    </row>
    <row r="505" spans="2:5" ht="12.75">
      <c r="B505" s="339"/>
      <c r="C505" s="420"/>
      <c r="D505" s="339"/>
      <c r="E505" s="339"/>
    </row>
    <row r="506" spans="2:5" ht="12.75">
      <c r="B506" s="339"/>
      <c r="C506" s="420"/>
      <c r="D506" s="339"/>
      <c r="E506" s="339"/>
    </row>
    <row r="507" spans="2:5" ht="12.75">
      <c r="B507" s="339"/>
      <c r="C507" s="420"/>
      <c r="D507" s="339"/>
      <c r="E507" s="339"/>
    </row>
    <row r="508" spans="2:5" ht="12.75">
      <c r="B508" s="339"/>
      <c r="C508" s="420"/>
      <c r="D508" s="339"/>
      <c r="E508" s="339"/>
    </row>
    <row r="509" spans="2:5" ht="12.75">
      <c r="B509" s="339"/>
      <c r="C509" s="420"/>
      <c r="D509" s="339"/>
      <c r="E509" s="339"/>
    </row>
    <row r="510" spans="2:5" ht="12.75">
      <c r="B510" s="339"/>
      <c r="C510" s="420"/>
      <c r="D510" s="339"/>
      <c r="E510" s="339"/>
    </row>
    <row r="511" spans="2:5" ht="12.75">
      <c r="B511" s="339"/>
      <c r="C511" s="420"/>
      <c r="D511" s="339"/>
      <c r="E511" s="339"/>
    </row>
    <row r="512" spans="2:5" ht="12.75">
      <c r="B512" s="339"/>
      <c r="C512" s="420"/>
      <c r="D512" s="339"/>
      <c r="E512" s="339"/>
    </row>
    <row r="513" spans="2:5" ht="12.75">
      <c r="B513" s="339"/>
      <c r="C513" s="420"/>
      <c r="D513" s="339"/>
      <c r="E513" s="339"/>
    </row>
    <row r="514" spans="2:5" ht="12.75">
      <c r="B514" s="339"/>
      <c r="C514" s="420"/>
      <c r="D514" s="339"/>
      <c r="E514" s="339"/>
    </row>
    <row r="515" spans="2:5" ht="12.75">
      <c r="B515" s="339"/>
      <c r="C515" s="420"/>
      <c r="D515" s="339"/>
      <c r="E515" s="339"/>
    </row>
    <row r="516" spans="2:5" ht="12.75">
      <c r="B516" s="339"/>
      <c r="C516" s="420"/>
      <c r="D516" s="339"/>
      <c r="E516" s="339"/>
    </row>
    <row r="517" spans="2:5" ht="12.75">
      <c r="B517" s="339"/>
      <c r="C517" s="420"/>
      <c r="D517" s="339"/>
      <c r="E517" s="339"/>
    </row>
    <row r="518" spans="2:5" ht="12.75">
      <c r="B518" s="339"/>
      <c r="C518" s="420"/>
      <c r="D518" s="339"/>
      <c r="E518" s="339"/>
    </row>
    <row r="519" spans="2:5" ht="12.75">
      <c r="B519" s="339"/>
      <c r="C519" s="420"/>
      <c r="D519" s="339"/>
      <c r="E519" s="339"/>
    </row>
    <row r="520" spans="2:5" ht="12.75">
      <c r="B520" s="339"/>
      <c r="C520" s="420"/>
      <c r="D520" s="339"/>
      <c r="E520" s="339"/>
    </row>
    <row r="521" spans="2:5" ht="12.75">
      <c r="B521" s="339"/>
      <c r="C521" s="420"/>
      <c r="D521" s="339"/>
      <c r="E521" s="339"/>
    </row>
    <row r="522" spans="2:5" ht="12.75">
      <c r="B522" s="339"/>
      <c r="C522" s="420"/>
      <c r="D522" s="339"/>
      <c r="E522" s="339"/>
    </row>
    <row r="523" spans="2:5" ht="12.75">
      <c r="B523" s="339"/>
      <c r="C523" s="420"/>
      <c r="D523" s="339"/>
      <c r="E523" s="339"/>
    </row>
    <row r="524" spans="2:5" ht="12.75">
      <c r="B524" s="339"/>
      <c r="C524" s="420"/>
      <c r="D524" s="339"/>
      <c r="E524" s="339"/>
    </row>
    <row r="525" spans="2:5" ht="12.75">
      <c r="B525" s="339"/>
      <c r="C525" s="420"/>
      <c r="D525" s="339"/>
      <c r="E525" s="339"/>
    </row>
    <row r="526" spans="2:5" ht="12.75">
      <c r="B526" s="339"/>
      <c r="C526" s="420"/>
      <c r="D526" s="339"/>
      <c r="E526" s="339"/>
    </row>
    <row r="527" spans="2:5" ht="12.75">
      <c r="B527" s="339"/>
      <c r="C527" s="420"/>
      <c r="D527" s="339"/>
      <c r="E527" s="339"/>
    </row>
    <row r="528" spans="2:5" ht="12.75">
      <c r="B528" s="339"/>
      <c r="C528" s="420"/>
      <c r="D528" s="339"/>
      <c r="E528" s="339"/>
    </row>
    <row r="529" spans="2:5" ht="12.75">
      <c r="B529" s="339"/>
      <c r="C529" s="420"/>
      <c r="D529" s="339"/>
      <c r="E529" s="339"/>
    </row>
    <row r="530" spans="2:5" ht="12.75">
      <c r="B530" s="339"/>
      <c r="C530" s="420"/>
      <c r="D530" s="339"/>
      <c r="E530" s="339"/>
    </row>
    <row r="531" spans="2:5" ht="12.75">
      <c r="B531" s="339"/>
      <c r="C531" s="420"/>
      <c r="D531" s="339"/>
      <c r="E531" s="339"/>
    </row>
    <row r="532" spans="2:5" ht="12.75">
      <c r="B532" s="339"/>
      <c r="C532" s="420"/>
      <c r="D532" s="339"/>
      <c r="E532" s="339"/>
    </row>
    <row r="533" spans="2:5" ht="12.75">
      <c r="B533" s="339"/>
      <c r="C533" s="420"/>
      <c r="D533" s="339"/>
      <c r="E533" s="339"/>
    </row>
    <row r="534" spans="2:5" ht="12.75">
      <c r="B534" s="339"/>
      <c r="C534" s="420"/>
      <c r="D534" s="339"/>
      <c r="E534" s="339"/>
    </row>
    <row r="535" spans="2:5" ht="12.75">
      <c r="B535" s="339"/>
      <c r="C535" s="420"/>
      <c r="D535" s="339"/>
      <c r="E535" s="339"/>
    </row>
    <row r="536" spans="2:5" ht="12.75">
      <c r="B536" s="339"/>
      <c r="C536" s="420"/>
      <c r="D536" s="339"/>
      <c r="E536" s="339"/>
    </row>
    <row r="537" spans="2:5" ht="12.75">
      <c r="B537" s="339"/>
      <c r="C537" s="420"/>
      <c r="D537" s="339"/>
      <c r="E537" s="339"/>
    </row>
    <row r="538" spans="2:5" ht="12.75">
      <c r="B538" s="339"/>
      <c r="C538" s="420"/>
      <c r="D538" s="339"/>
      <c r="E538" s="339"/>
    </row>
    <row r="539" spans="2:5" ht="12.75">
      <c r="B539" s="339"/>
      <c r="C539" s="420"/>
      <c r="D539" s="339"/>
      <c r="E539" s="339"/>
    </row>
    <row r="540" spans="2:5" ht="12.75">
      <c r="B540" s="339"/>
      <c r="C540" s="420"/>
      <c r="D540" s="339"/>
      <c r="E540" s="339"/>
    </row>
    <row r="541" spans="2:5" ht="12.75">
      <c r="B541" s="339"/>
      <c r="C541" s="420"/>
      <c r="D541" s="339"/>
      <c r="E541" s="339"/>
    </row>
    <row r="542" spans="2:5" ht="12.75">
      <c r="B542" s="339"/>
      <c r="C542" s="420"/>
      <c r="D542" s="339"/>
      <c r="E542" s="339"/>
    </row>
    <row r="543" spans="2:5" ht="12.75">
      <c r="B543" s="339"/>
      <c r="C543" s="420"/>
      <c r="D543" s="339"/>
      <c r="E543" s="339"/>
    </row>
    <row r="544" spans="2:5" ht="12.75">
      <c r="B544" s="339"/>
      <c r="C544" s="420"/>
      <c r="D544" s="339"/>
      <c r="E544" s="339"/>
    </row>
    <row r="545" spans="2:5" ht="12.75">
      <c r="B545" s="339"/>
      <c r="C545" s="420"/>
      <c r="D545" s="339"/>
      <c r="E545" s="339"/>
    </row>
    <row r="546" spans="2:5" ht="12.75">
      <c r="B546" s="339"/>
      <c r="C546" s="420"/>
      <c r="D546" s="339"/>
      <c r="E546" s="339"/>
    </row>
    <row r="547" spans="2:5" ht="12.75">
      <c r="B547" s="339"/>
      <c r="C547" s="420"/>
      <c r="D547" s="339"/>
      <c r="E547" s="339"/>
    </row>
    <row r="548" spans="2:5" ht="12.75">
      <c r="B548" s="339"/>
      <c r="C548" s="420"/>
      <c r="D548" s="339"/>
      <c r="E548" s="339"/>
    </row>
    <row r="549" spans="2:5" ht="12.75">
      <c r="B549" s="339"/>
      <c r="C549" s="420"/>
      <c r="D549" s="339"/>
      <c r="E549" s="339"/>
    </row>
    <row r="550" spans="2:5" ht="12.75">
      <c r="B550" s="339"/>
      <c r="C550" s="420"/>
      <c r="D550" s="339"/>
      <c r="E550" s="339"/>
    </row>
    <row r="551" spans="2:5" ht="12.75">
      <c r="B551" s="339"/>
      <c r="C551" s="420"/>
      <c r="D551" s="339"/>
      <c r="E551" s="339"/>
    </row>
    <row r="552" spans="2:5" ht="12.75">
      <c r="B552" s="339"/>
      <c r="C552" s="420"/>
      <c r="D552" s="339"/>
      <c r="E552" s="339"/>
    </row>
    <row r="553" spans="2:5" ht="12.75">
      <c r="B553" s="339"/>
      <c r="C553" s="420"/>
      <c r="D553" s="339"/>
      <c r="E553" s="339"/>
    </row>
    <row r="554" spans="2:5" ht="12.75">
      <c r="B554" s="339"/>
      <c r="C554" s="420"/>
      <c r="D554" s="339"/>
      <c r="E554" s="339"/>
    </row>
    <row r="555" spans="2:5" ht="12.75">
      <c r="B555" s="339"/>
      <c r="C555" s="420"/>
      <c r="D555" s="339"/>
      <c r="E555" s="339"/>
    </row>
    <row r="556" spans="2:5" ht="12.75">
      <c r="B556" s="339"/>
      <c r="C556" s="420"/>
      <c r="D556" s="339"/>
      <c r="E556" s="339"/>
    </row>
    <row r="557" spans="2:5" ht="12.75">
      <c r="B557" s="339"/>
      <c r="C557" s="420"/>
      <c r="D557" s="339"/>
      <c r="E557" s="339"/>
    </row>
    <row r="558" spans="2:5" ht="12.75">
      <c r="B558" s="339"/>
      <c r="C558" s="420"/>
      <c r="D558" s="339"/>
      <c r="E558" s="339"/>
    </row>
    <row r="559" spans="2:5" ht="12.75">
      <c r="B559" s="339"/>
      <c r="C559" s="420"/>
      <c r="D559" s="339"/>
      <c r="E559" s="339"/>
    </row>
    <row r="560" spans="2:5" ht="12.75">
      <c r="B560" s="339"/>
      <c r="C560" s="420"/>
      <c r="D560" s="339"/>
      <c r="E560" s="339"/>
    </row>
    <row r="561" spans="2:5" ht="12.75">
      <c r="B561" s="339"/>
      <c r="C561" s="420"/>
      <c r="D561" s="339"/>
      <c r="E561" s="339"/>
    </row>
    <row r="562" spans="2:5" ht="12.75">
      <c r="B562" s="339"/>
      <c r="C562" s="420"/>
      <c r="D562" s="339"/>
      <c r="E562" s="339"/>
    </row>
    <row r="563" spans="2:5" ht="12.75">
      <c r="B563" s="339"/>
      <c r="C563" s="420"/>
      <c r="D563" s="339"/>
      <c r="E563" s="339"/>
    </row>
    <row r="564" spans="2:5" ht="12.75">
      <c r="B564" s="339"/>
      <c r="C564" s="420"/>
      <c r="D564" s="339"/>
      <c r="E564" s="339"/>
    </row>
    <row r="565" spans="2:5" ht="12.75">
      <c r="B565" s="339"/>
      <c r="C565" s="420"/>
      <c r="D565" s="339"/>
      <c r="E565" s="339"/>
    </row>
    <row r="566" spans="2:5" ht="12.75">
      <c r="B566" s="339"/>
      <c r="C566" s="420"/>
      <c r="D566" s="339"/>
      <c r="E566" s="339"/>
    </row>
    <row r="567" spans="2:5" ht="12.75">
      <c r="B567" s="339"/>
      <c r="C567" s="420"/>
      <c r="D567" s="339"/>
      <c r="E567" s="339"/>
    </row>
    <row r="568" spans="2:5" ht="12.75">
      <c r="B568" s="339"/>
      <c r="C568" s="420"/>
      <c r="D568" s="339"/>
      <c r="E568" s="339"/>
    </row>
    <row r="569" spans="2:5" ht="12.75">
      <c r="B569" s="339"/>
      <c r="C569" s="420"/>
      <c r="D569" s="339"/>
      <c r="E569" s="339"/>
    </row>
    <row r="570" spans="2:5" ht="12.75">
      <c r="B570" s="339"/>
      <c r="C570" s="420"/>
      <c r="D570" s="339"/>
      <c r="E570" s="339"/>
    </row>
    <row r="571" spans="2:5" ht="12.75">
      <c r="B571" s="339"/>
      <c r="C571" s="420"/>
      <c r="D571" s="339"/>
      <c r="E571" s="339"/>
    </row>
    <row r="572" spans="2:5" ht="12.75">
      <c r="B572" s="339"/>
      <c r="C572" s="420"/>
      <c r="D572" s="339"/>
      <c r="E572" s="339"/>
    </row>
    <row r="573" spans="2:5" ht="12.75">
      <c r="B573" s="339"/>
      <c r="C573" s="420"/>
      <c r="D573" s="339"/>
      <c r="E573" s="339"/>
    </row>
    <row r="574" spans="2:5" ht="12.75">
      <c r="B574" s="339"/>
      <c r="C574" s="420"/>
      <c r="D574" s="339"/>
      <c r="E574" s="339"/>
    </row>
    <row r="575" spans="2:5" ht="12.75">
      <c r="B575" s="339"/>
      <c r="C575" s="420"/>
      <c r="D575" s="339"/>
      <c r="E575" s="339"/>
    </row>
    <row r="576" spans="2:5" ht="12.75">
      <c r="B576" s="339"/>
      <c r="C576" s="420"/>
      <c r="D576" s="339"/>
      <c r="E576" s="339"/>
    </row>
    <row r="577" spans="2:5" ht="12.75">
      <c r="B577" s="339"/>
      <c r="C577" s="420"/>
      <c r="D577" s="339"/>
      <c r="E577" s="339"/>
    </row>
    <row r="578" spans="2:5" ht="12.75">
      <c r="B578" s="339"/>
      <c r="C578" s="420"/>
      <c r="D578" s="339"/>
      <c r="E578" s="339"/>
    </row>
    <row r="579" spans="2:5" ht="12.75">
      <c r="B579" s="339"/>
      <c r="C579" s="420"/>
      <c r="D579" s="339"/>
      <c r="E579" s="339"/>
    </row>
    <row r="580" spans="2:5" ht="12.75">
      <c r="B580" s="339"/>
      <c r="C580" s="420"/>
      <c r="D580" s="339"/>
      <c r="E580" s="339"/>
    </row>
    <row r="581" spans="2:5" ht="12.75">
      <c r="B581" s="339"/>
      <c r="C581" s="420"/>
      <c r="D581" s="339"/>
      <c r="E581" s="339"/>
    </row>
    <row r="582" spans="2:5" ht="12.75">
      <c r="B582" s="339"/>
      <c r="C582" s="420"/>
      <c r="D582" s="339"/>
      <c r="E582" s="339"/>
    </row>
    <row r="583" spans="2:5" ht="12.75">
      <c r="B583" s="339"/>
      <c r="C583" s="420"/>
      <c r="D583" s="339"/>
      <c r="E583" s="339"/>
    </row>
    <row r="584" spans="2:5" ht="12.75">
      <c r="B584" s="339"/>
      <c r="C584" s="420"/>
      <c r="D584" s="339"/>
      <c r="E584" s="339"/>
    </row>
    <row r="585" spans="2:5" ht="12.75">
      <c r="B585" s="339"/>
      <c r="C585" s="420"/>
      <c r="D585" s="339"/>
      <c r="E585" s="339"/>
    </row>
    <row r="586" spans="2:5" ht="12.75">
      <c r="B586" s="339"/>
      <c r="C586" s="420"/>
      <c r="D586" s="339"/>
      <c r="E586" s="339"/>
    </row>
    <row r="587" spans="2:5" ht="12.75">
      <c r="B587" s="339"/>
      <c r="C587" s="420"/>
      <c r="D587" s="339"/>
      <c r="E587" s="339"/>
    </row>
    <row r="588" spans="2:5" ht="12.75">
      <c r="B588" s="339"/>
      <c r="C588" s="420"/>
      <c r="D588" s="339"/>
      <c r="E588" s="339"/>
    </row>
    <row r="589" spans="2:5" ht="12.75">
      <c r="B589" s="339"/>
      <c r="C589" s="420"/>
      <c r="D589" s="339"/>
      <c r="E589" s="339"/>
    </row>
    <row r="590" spans="2:5" ht="12.75">
      <c r="B590" s="339"/>
      <c r="C590" s="420"/>
      <c r="D590" s="339"/>
      <c r="E590" s="339"/>
    </row>
    <row r="591" spans="2:5" ht="12.75">
      <c r="B591" s="339"/>
      <c r="C591" s="420"/>
      <c r="D591" s="339"/>
      <c r="E591" s="339"/>
    </row>
    <row r="592" spans="2:5" ht="12.75">
      <c r="B592" s="339"/>
      <c r="C592" s="420"/>
      <c r="D592" s="339"/>
      <c r="E592" s="339"/>
    </row>
    <row r="593" spans="2:5" ht="12.75">
      <c r="B593" s="339"/>
      <c r="C593" s="420"/>
      <c r="D593" s="339"/>
      <c r="E593" s="339"/>
    </row>
    <row r="594" spans="2:5" ht="12.75">
      <c r="B594" s="339"/>
      <c r="C594" s="420"/>
      <c r="D594" s="339"/>
      <c r="E594" s="339"/>
    </row>
    <row r="595" spans="2:5" ht="12.75">
      <c r="B595" s="339"/>
      <c r="C595" s="420"/>
      <c r="D595" s="339"/>
      <c r="E595" s="339"/>
    </row>
    <row r="596" spans="2:5" ht="12.75">
      <c r="B596" s="339"/>
      <c r="C596" s="420"/>
      <c r="D596" s="339"/>
      <c r="E596" s="339"/>
    </row>
    <row r="597" spans="2:5" ht="12.75">
      <c r="B597" s="339"/>
      <c r="C597" s="420"/>
      <c r="D597" s="339"/>
      <c r="E597" s="339"/>
    </row>
    <row r="598" spans="2:5" ht="12.75">
      <c r="B598" s="339"/>
      <c r="C598" s="420"/>
      <c r="D598" s="339"/>
      <c r="E598" s="339"/>
    </row>
    <row r="599" spans="2:5" ht="12.75">
      <c r="B599" s="339"/>
      <c r="C599" s="420"/>
      <c r="D599" s="339"/>
      <c r="E599" s="339"/>
    </row>
    <row r="600" spans="2:5" ht="12.75">
      <c r="B600" s="339"/>
      <c r="C600" s="420"/>
      <c r="D600" s="339"/>
      <c r="E600" s="339"/>
    </row>
    <row r="601" spans="2:5" ht="12.75">
      <c r="B601" s="339"/>
      <c r="C601" s="420"/>
      <c r="D601" s="339"/>
      <c r="E601" s="339"/>
    </row>
    <row r="602" spans="2:5" ht="12.75">
      <c r="B602" s="339"/>
      <c r="C602" s="420"/>
      <c r="D602" s="339"/>
      <c r="E602" s="339"/>
    </row>
    <row r="603" spans="2:5" ht="12.75">
      <c r="B603" s="339"/>
      <c r="C603" s="420"/>
      <c r="D603" s="339"/>
      <c r="E603" s="339"/>
    </row>
    <row r="604" spans="2:5" ht="12.75">
      <c r="B604" s="339"/>
      <c r="C604" s="420"/>
      <c r="D604" s="339"/>
      <c r="E604" s="339"/>
    </row>
    <row r="605" spans="2:5" ht="12.75">
      <c r="B605" s="339"/>
      <c r="C605" s="420"/>
      <c r="D605" s="339"/>
      <c r="E605" s="339"/>
    </row>
    <row r="606" spans="2:5" ht="12.75">
      <c r="B606" s="339"/>
      <c r="C606" s="420"/>
      <c r="D606" s="339"/>
      <c r="E606" s="339"/>
    </row>
    <row r="607" spans="2:5" ht="12.75">
      <c r="B607" s="339"/>
      <c r="C607" s="420"/>
      <c r="D607" s="339"/>
      <c r="E607" s="339"/>
    </row>
    <row r="608" spans="2:5" ht="12.75">
      <c r="B608" s="339"/>
      <c r="C608" s="420"/>
      <c r="D608" s="339"/>
      <c r="E608" s="339"/>
    </row>
    <row r="609" spans="2:5" ht="12.75">
      <c r="B609" s="339"/>
      <c r="C609" s="420"/>
      <c r="D609" s="339"/>
      <c r="E609" s="339"/>
    </row>
    <row r="610" spans="2:5" ht="12.75">
      <c r="B610" s="339"/>
      <c r="C610" s="420"/>
      <c r="D610" s="339"/>
      <c r="E610" s="339"/>
    </row>
    <row r="611" spans="2:5" ht="12.75">
      <c r="B611" s="339"/>
      <c r="C611" s="420"/>
      <c r="D611" s="339"/>
      <c r="E611" s="339"/>
    </row>
    <row r="612" spans="2:5" ht="12.75">
      <c r="B612" s="339"/>
      <c r="C612" s="420"/>
      <c r="D612" s="339"/>
      <c r="E612" s="339"/>
    </row>
    <row r="613" spans="2:5" ht="12.75">
      <c r="B613" s="339"/>
      <c r="C613" s="420"/>
      <c r="D613" s="339"/>
      <c r="E613" s="339"/>
    </row>
    <row r="614" spans="2:5" ht="12.75">
      <c r="B614" s="339"/>
      <c r="C614" s="420"/>
      <c r="D614" s="339"/>
      <c r="E614" s="339"/>
    </row>
    <row r="615" spans="2:5" ht="12.75">
      <c r="B615" s="339"/>
      <c r="C615" s="420"/>
      <c r="D615" s="339"/>
      <c r="E615" s="339"/>
    </row>
    <row r="616" spans="2:5" ht="12.75">
      <c r="B616" s="339"/>
      <c r="C616" s="420"/>
      <c r="D616" s="339"/>
      <c r="E616" s="339"/>
    </row>
    <row r="617" spans="2:5" ht="12.75">
      <c r="B617" s="339"/>
      <c r="C617" s="420"/>
      <c r="D617" s="339"/>
      <c r="E617" s="339"/>
    </row>
    <row r="618" spans="2:5" ht="12.75">
      <c r="B618" s="339"/>
      <c r="C618" s="420"/>
      <c r="D618" s="339"/>
      <c r="E618" s="339"/>
    </row>
    <row r="619" spans="2:5" ht="12.75">
      <c r="B619" s="339"/>
      <c r="C619" s="420"/>
      <c r="D619" s="339"/>
      <c r="E619" s="339"/>
    </row>
    <row r="620" spans="2:5" ht="12.75">
      <c r="B620" s="339"/>
      <c r="C620" s="420"/>
      <c r="D620" s="339"/>
      <c r="E620" s="339"/>
    </row>
    <row r="621" spans="2:5" ht="12.75">
      <c r="B621" s="339"/>
      <c r="C621" s="420"/>
      <c r="D621" s="339"/>
      <c r="E621" s="339"/>
    </row>
    <row r="622" spans="2:5" ht="12.75">
      <c r="B622" s="339"/>
      <c r="C622" s="420"/>
      <c r="D622" s="339"/>
      <c r="E622" s="339"/>
    </row>
    <row r="623" spans="2:5" ht="12.75">
      <c r="B623" s="339"/>
      <c r="C623" s="420"/>
      <c r="D623" s="339"/>
      <c r="E623" s="339"/>
    </row>
    <row r="624" spans="2:5" ht="12.75">
      <c r="B624" s="339"/>
      <c r="C624" s="420"/>
      <c r="D624" s="339"/>
      <c r="E624" s="339"/>
    </row>
    <row r="625" spans="2:5" ht="12.75">
      <c r="B625" s="339"/>
      <c r="C625" s="420"/>
      <c r="D625" s="339"/>
      <c r="E625" s="339"/>
    </row>
    <row r="626" spans="2:5" ht="12.75">
      <c r="B626" s="339"/>
      <c r="C626" s="420"/>
      <c r="D626" s="339"/>
      <c r="E626" s="339"/>
    </row>
    <row r="627" spans="2:5" ht="12.75">
      <c r="B627" s="339"/>
      <c r="C627" s="420"/>
      <c r="D627" s="339"/>
      <c r="E627" s="339"/>
    </row>
    <row r="628" spans="2:5" ht="12.75">
      <c r="B628" s="339"/>
      <c r="C628" s="420"/>
      <c r="D628" s="339"/>
      <c r="E628" s="339"/>
    </row>
    <row r="629" spans="2:5" ht="12.75">
      <c r="B629" s="339"/>
      <c r="C629" s="420"/>
      <c r="D629" s="339"/>
      <c r="E629" s="339"/>
    </row>
    <row r="630" spans="2:5" ht="12.75">
      <c r="B630" s="339"/>
      <c r="C630" s="420"/>
      <c r="D630" s="339"/>
      <c r="E630" s="339"/>
    </row>
    <row r="631" spans="2:5" ht="12.75">
      <c r="B631" s="339"/>
      <c r="C631" s="420"/>
      <c r="D631" s="339"/>
      <c r="E631" s="339"/>
    </row>
    <row r="632" spans="2:5" ht="12.75">
      <c r="B632" s="339"/>
      <c r="C632" s="420"/>
      <c r="D632" s="339"/>
      <c r="E632" s="339"/>
    </row>
    <row r="633" spans="2:5" ht="12.75">
      <c r="B633" s="339"/>
      <c r="C633" s="420"/>
      <c r="D633" s="339"/>
      <c r="E633" s="339"/>
    </row>
    <row r="634" spans="2:5" ht="12.75">
      <c r="B634" s="339"/>
      <c r="C634" s="420"/>
      <c r="D634" s="339"/>
      <c r="E634" s="339"/>
    </row>
    <row r="635" spans="2:5" ht="12.75">
      <c r="B635" s="339"/>
      <c r="C635" s="420"/>
      <c r="D635" s="339"/>
      <c r="E635" s="339"/>
    </row>
    <row r="636" spans="2:5" ht="12.75">
      <c r="B636" s="339"/>
      <c r="C636" s="420"/>
      <c r="D636" s="339"/>
      <c r="E636" s="339"/>
    </row>
    <row r="637" spans="2:5" ht="12.75">
      <c r="B637" s="339"/>
      <c r="C637" s="420"/>
      <c r="D637" s="339"/>
      <c r="E637" s="339"/>
    </row>
    <row r="638" spans="2:5" ht="12.75">
      <c r="B638" s="339"/>
      <c r="C638" s="420"/>
      <c r="D638" s="339"/>
      <c r="E638" s="339"/>
    </row>
    <row r="639" spans="2:5" ht="12.75">
      <c r="B639" s="339"/>
      <c r="C639" s="420"/>
      <c r="D639" s="339"/>
      <c r="E639" s="339"/>
    </row>
    <row r="640" spans="2:5" ht="12.75">
      <c r="B640" s="339"/>
      <c r="C640" s="420"/>
      <c r="D640" s="339"/>
      <c r="E640" s="339"/>
    </row>
    <row r="641" spans="2:5" ht="12.75">
      <c r="B641" s="339"/>
      <c r="C641" s="420"/>
      <c r="D641" s="339"/>
      <c r="E641" s="339"/>
    </row>
    <row r="642" spans="2:5" ht="12.75">
      <c r="B642" s="339"/>
      <c r="C642" s="420"/>
      <c r="D642" s="339"/>
      <c r="E642" s="339"/>
    </row>
    <row r="643" spans="2:5" ht="12.75">
      <c r="B643" s="339"/>
      <c r="C643" s="420"/>
      <c r="D643" s="339"/>
      <c r="E643" s="339"/>
    </row>
    <row r="644" spans="2:5" ht="12.75">
      <c r="B644" s="339"/>
      <c r="C644" s="420"/>
      <c r="D644" s="339"/>
      <c r="E644" s="339"/>
    </row>
    <row r="645" spans="2:5" ht="12.75">
      <c r="B645" s="339"/>
      <c r="C645" s="420"/>
      <c r="D645" s="339"/>
      <c r="E645" s="339"/>
    </row>
    <row r="646" spans="2:5" ht="12.75">
      <c r="B646" s="339"/>
      <c r="C646" s="420"/>
      <c r="D646" s="339"/>
      <c r="E646" s="339"/>
    </row>
    <row r="647" spans="2:5" ht="12.75">
      <c r="B647" s="339"/>
      <c r="C647" s="420"/>
      <c r="D647" s="339"/>
      <c r="E647" s="339"/>
    </row>
    <row r="648" spans="2:5" ht="12.75">
      <c r="B648" s="339"/>
      <c r="C648" s="420"/>
      <c r="D648" s="339"/>
      <c r="E648" s="339"/>
    </row>
    <row r="649" spans="2:5" ht="12.75">
      <c r="B649" s="339"/>
      <c r="C649" s="420"/>
      <c r="D649" s="339"/>
      <c r="E649" s="339"/>
    </row>
    <row r="650" spans="2:5" ht="12.75">
      <c r="B650" s="339"/>
      <c r="C650" s="420"/>
      <c r="D650" s="339"/>
      <c r="E650" s="339"/>
    </row>
    <row r="651" spans="2:5" ht="12.75">
      <c r="B651" s="339"/>
      <c r="C651" s="420"/>
      <c r="D651" s="339"/>
      <c r="E651" s="339"/>
    </row>
    <row r="652" spans="2:5" ht="12.75">
      <c r="B652" s="339"/>
      <c r="C652" s="420"/>
      <c r="D652" s="339"/>
      <c r="E652" s="339"/>
    </row>
    <row r="653" spans="2:5" ht="12.75">
      <c r="B653" s="339"/>
      <c r="C653" s="420"/>
      <c r="D653" s="339"/>
      <c r="E653" s="339"/>
    </row>
    <row r="654" spans="2:5" ht="12.75">
      <c r="B654" s="339"/>
      <c r="C654" s="420"/>
      <c r="D654" s="339"/>
      <c r="E654" s="339"/>
    </row>
    <row r="655" spans="2:5" ht="12.75">
      <c r="B655" s="339"/>
      <c r="C655" s="420"/>
      <c r="D655" s="339"/>
      <c r="E655" s="339"/>
    </row>
    <row r="656" spans="2:5" ht="12.75">
      <c r="B656" s="339"/>
      <c r="C656" s="420"/>
      <c r="D656" s="339"/>
      <c r="E656" s="339"/>
    </row>
    <row r="657" spans="2:5" ht="12.75">
      <c r="B657" s="339"/>
      <c r="C657" s="420"/>
      <c r="D657" s="339"/>
      <c r="E657" s="339"/>
    </row>
    <row r="658" spans="2:5" ht="12.75">
      <c r="B658" s="339"/>
      <c r="C658" s="420"/>
      <c r="D658" s="339"/>
      <c r="E658" s="339"/>
    </row>
    <row r="659" spans="2:5" ht="12.75">
      <c r="B659" s="339"/>
      <c r="C659" s="420"/>
      <c r="D659" s="339"/>
      <c r="E659" s="339"/>
    </row>
    <row r="660" spans="2:5" ht="12.75">
      <c r="B660" s="339"/>
      <c r="C660" s="420"/>
      <c r="D660" s="339"/>
      <c r="E660" s="339"/>
    </row>
    <row r="661" spans="2:5" ht="12.75">
      <c r="B661" s="339"/>
      <c r="C661" s="420"/>
      <c r="D661" s="339"/>
      <c r="E661" s="339"/>
    </row>
    <row r="662" spans="2:5" ht="12.75">
      <c r="B662" s="339"/>
      <c r="C662" s="420"/>
      <c r="D662" s="339"/>
      <c r="E662" s="339"/>
    </row>
    <row r="663" spans="2:5" ht="12.75">
      <c r="B663" s="339"/>
      <c r="C663" s="420"/>
      <c r="D663" s="339"/>
      <c r="E663" s="339"/>
    </row>
    <row r="664" spans="2:5" ht="12.75">
      <c r="B664" s="339"/>
      <c r="C664" s="420"/>
      <c r="D664" s="339"/>
      <c r="E664" s="339"/>
    </row>
    <row r="665" spans="2:5" ht="12.75">
      <c r="B665" s="339"/>
      <c r="C665" s="420"/>
      <c r="D665" s="339"/>
      <c r="E665" s="339"/>
    </row>
    <row r="666" spans="2:5" ht="12.75">
      <c r="B666" s="339"/>
      <c r="C666" s="420"/>
      <c r="D666" s="339"/>
      <c r="E666" s="339"/>
    </row>
    <row r="667" spans="2:5" ht="12.75">
      <c r="B667" s="339"/>
      <c r="C667" s="420"/>
      <c r="D667" s="339"/>
      <c r="E667" s="339"/>
    </row>
    <row r="668" spans="2:5" ht="12.75">
      <c r="B668" s="339"/>
      <c r="C668" s="420"/>
      <c r="D668" s="339"/>
      <c r="E668" s="339"/>
    </row>
    <row r="669" spans="2:5" ht="12.75">
      <c r="B669" s="339"/>
      <c r="C669" s="420"/>
      <c r="D669" s="339"/>
      <c r="E669" s="339"/>
    </row>
    <row r="670" spans="2:5" ht="12.75">
      <c r="B670" s="339"/>
      <c r="C670" s="420"/>
      <c r="D670" s="339"/>
      <c r="E670" s="339"/>
    </row>
    <row r="671" spans="2:5" ht="12.75">
      <c r="B671" s="339"/>
      <c r="C671" s="420"/>
      <c r="D671" s="339"/>
      <c r="E671" s="339"/>
    </row>
    <row r="672" spans="2:5" ht="12.75">
      <c r="B672" s="339"/>
      <c r="C672" s="420"/>
      <c r="D672" s="339"/>
      <c r="E672" s="339"/>
    </row>
    <row r="673" spans="2:5" ht="12.75">
      <c r="B673" s="339"/>
      <c r="C673" s="420"/>
      <c r="D673" s="339"/>
      <c r="E673" s="339"/>
    </row>
    <row r="674" spans="2:5" ht="12.75">
      <c r="B674" s="339"/>
      <c r="C674" s="420"/>
      <c r="D674" s="339"/>
      <c r="E674" s="339"/>
    </row>
    <row r="675" spans="2:5" ht="12.75">
      <c r="B675" s="339"/>
      <c r="C675" s="420"/>
      <c r="D675" s="339"/>
      <c r="E675" s="339"/>
    </row>
    <row r="676" spans="2:5" ht="12.75">
      <c r="B676" s="339"/>
      <c r="C676" s="420"/>
      <c r="D676" s="339"/>
      <c r="E676" s="339"/>
    </row>
    <row r="677" spans="2:5" ht="12.75">
      <c r="B677" s="339"/>
      <c r="C677" s="420"/>
      <c r="D677" s="339"/>
      <c r="E677" s="339"/>
    </row>
    <row r="678" spans="2:5" ht="12.75">
      <c r="B678" s="339"/>
      <c r="C678" s="420"/>
      <c r="D678" s="339"/>
      <c r="E678" s="339"/>
    </row>
    <row r="679" spans="2:5" ht="12.75">
      <c r="B679" s="339"/>
      <c r="C679" s="420"/>
      <c r="D679" s="339"/>
      <c r="E679" s="339"/>
    </row>
    <row r="680" spans="2:5" ht="12.75">
      <c r="B680" s="339"/>
      <c r="C680" s="420"/>
      <c r="D680" s="339"/>
      <c r="E680" s="339"/>
    </row>
    <row r="681" spans="2:5" ht="12.75">
      <c r="B681" s="339"/>
      <c r="C681" s="420"/>
      <c r="D681" s="339"/>
      <c r="E681" s="339"/>
    </row>
    <row r="682" spans="2:5" ht="12.75">
      <c r="B682" s="339"/>
      <c r="C682" s="420"/>
      <c r="D682" s="339"/>
      <c r="E682" s="339"/>
    </row>
    <row r="683" spans="2:5" ht="12.75">
      <c r="B683" s="339"/>
      <c r="C683" s="420"/>
      <c r="D683" s="339"/>
      <c r="E683" s="339"/>
    </row>
    <row r="684" spans="2:5" ht="12.75">
      <c r="B684" s="339"/>
      <c r="C684" s="420"/>
      <c r="D684" s="339"/>
      <c r="E684" s="339"/>
    </row>
    <row r="685" spans="2:5" ht="12.75">
      <c r="B685" s="339"/>
      <c r="C685" s="420"/>
      <c r="D685" s="339"/>
      <c r="E685" s="339"/>
    </row>
    <row r="686" spans="2:5" ht="12.75">
      <c r="B686" s="339"/>
      <c r="C686" s="420"/>
      <c r="D686" s="339"/>
      <c r="E686" s="339"/>
    </row>
    <row r="687" spans="2:5" ht="12.75">
      <c r="B687" s="339"/>
      <c r="C687" s="420"/>
      <c r="D687" s="339"/>
      <c r="E687" s="339"/>
    </row>
    <row r="688" spans="2:5" ht="12.75">
      <c r="B688" s="339"/>
      <c r="C688" s="420"/>
      <c r="D688" s="339"/>
      <c r="E688" s="339"/>
    </row>
    <row r="689" spans="2:5" ht="12.75">
      <c r="B689" s="339"/>
      <c r="C689" s="420"/>
      <c r="D689" s="339"/>
      <c r="E689" s="339"/>
    </row>
    <row r="690" spans="2:5" ht="12.75">
      <c r="B690" s="339"/>
      <c r="C690" s="420"/>
      <c r="D690" s="339"/>
      <c r="E690" s="339"/>
    </row>
    <row r="691" spans="2:5" ht="12.75">
      <c r="B691" s="339"/>
      <c r="C691" s="420"/>
      <c r="D691" s="339"/>
      <c r="E691" s="339"/>
    </row>
    <row r="692" spans="2:5" ht="12.75">
      <c r="B692" s="339"/>
      <c r="C692" s="420"/>
      <c r="D692" s="339"/>
      <c r="E692" s="339"/>
    </row>
    <row r="693" spans="2:5" ht="12.75">
      <c r="B693" s="339"/>
      <c r="C693" s="420"/>
      <c r="D693" s="339"/>
      <c r="E693" s="339"/>
    </row>
    <row r="694" spans="2:5" ht="12.75">
      <c r="B694" s="339"/>
      <c r="C694" s="420"/>
      <c r="D694" s="339"/>
      <c r="E694" s="339"/>
    </row>
    <row r="695" spans="2:5" ht="12.75">
      <c r="B695" s="339"/>
      <c r="C695" s="420"/>
      <c r="D695" s="339"/>
      <c r="E695" s="339"/>
    </row>
    <row r="696" spans="2:5" ht="12.75">
      <c r="B696" s="339"/>
      <c r="C696" s="420"/>
      <c r="D696" s="339"/>
      <c r="E696" s="339"/>
    </row>
    <row r="697" spans="2:5" ht="12.75">
      <c r="B697" s="339"/>
      <c r="C697" s="420"/>
      <c r="D697" s="339"/>
      <c r="E697" s="339"/>
    </row>
    <row r="698" spans="2:5" ht="12.75">
      <c r="B698" s="339"/>
      <c r="C698" s="420"/>
      <c r="D698" s="339"/>
      <c r="E698" s="339"/>
    </row>
    <row r="699" spans="2:5" ht="12.75">
      <c r="B699" s="339"/>
      <c r="C699" s="420"/>
      <c r="D699" s="339"/>
      <c r="E699" s="339"/>
    </row>
    <row r="700" spans="2:5" ht="12.75">
      <c r="B700" s="339"/>
      <c r="C700" s="420"/>
      <c r="D700" s="339"/>
      <c r="E700" s="339"/>
    </row>
    <row r="701" spans="2:5" ht="12.75">
      <c r="B701" s="339"/>
      <c r="C701" s="420"/>
      <c r="D701" s="339"/>
      <c r="E701" s="339"/>
    </row>
    <row r="702" spans="2:5" ht="12.75">
      <c r="B702" s="339"/>
      <c r="C702" s="420"/>
      <c r="D702" s="339"/>
      <c r="E702" s="339"/>
    </row>
    <row r="703" spans="2:5" ht="12.75">
      <c r="B703" s="339"/>
      <c r="C703" s="420"/>
      <c r="D703" s="339"/>
      <c r="E703" s="339"/>
    </row>
    <row r="704" spans="2:5" ht="12.75">
      <c r="B704" s="339"/>
      <c r="C704" s="420"/>
      <c r="D704" s="339"/>
      <c r="E704" s="339"/>
    </row>
    <row r="705" spans="2:5" ht="12.75">
      <c r="B705" s="339"/>
      <c r="C705" s="420"/>
      <c r="D705" s="339"/>
      <c r="E705" s="339"/>
    </row>
    <row r="706" spans="2:5" ht="12.75">
      <c r="B706" s="339"/>
      <c r="C706" s="420"/>
      <c r="D706" s="339"/>
      <c r="E706" s="339"/>
    </row>
    <row r="707" spans="2:5" ht="12.75">
      <c r="B707" s="339"/>
      <c r="C707" s="420"/>
      <c r="D707" s="339"/>
      <c r="E707" s="339"/>
    </row>
    <row r="708" spans="2:5" ht="12.75">
      <c r="B708" s="339"/>
      <c r="C708" s="420"/>
      <c r="D708" s="339"/>
      <c r="E708" s="339"/>
    </row>
    <row r="709" spans="2:5" ht="12.75">
      <c r="B709" s="339"/>
      <c r="C709" s="420"/>
      <c r="D709" s="339"/>
      <c r="E709" s="339"/>
    </row>
    <row r="710" spans="2:5" ht="12.75">
      <c r="B710" s="339"/>
      <c r="C710" s="420"/>
      <c r="D710" s="339"/>
      <c r="E710" s="339"/>
    </row>
    <row r="711" spans="2:5" ht="12.75">
      <c r="B711" s="339"/>
      <c r="C711" s="420"/>
      <c r="D711" s="339"/>
      <c r="E711" s="339"/>
    </row>
    <row r="712" spans="2:5" ht="12.75">
      <c r="B712" s="339"/>
      <c r="C712" s="420"/>
      <c r="D712" s="339"/>
      <c r="E712" s="339"/>
    </row>
    <row r="713" spans="2:5" ht="12.75">
      <c r="B713" s="339"/>
      <c r="C713" s="420"/>
      <c r="D713" s="339"/>
      <c r="E713" s="339"/>
    </row>
    <row r="714" spans="2:5" ht="12.75">
      <c r="B714" s="339"/>
      <c r="C714" s="420"/>
      <c r="D714" s="339"/>
      <c r="E714" s="339"/>
    </row>
    <row r="715" spans="2:5" ht="12.75">
      <c r="B715" s="339"/>
      <c r="C715" s="420"/>
      <c r="D715" s="339"/>
      <c r="E715" s="339"/>
    </row>
    <row r="716" spans="2:5" ht="12.75">
      <c r="B716" s="339"/>
      <c r="C716" s="420"/>
      <c r="D716" s="339"/>
      <c r="E716" s="339"/>
    </row>
    <row r="717" spans="2:5" ht="12.75">
      <c r="B717" s="339"/>
      <c r="C717" s="420"/>
      <c r="D717" s="339"/>
      <c r="E717" s="339"/>
    </row>
    <row r="718" spans="2:5" ht="12.75">
      <c r="B718" s="339"/>
      <c r="C718" s="420"/>
      <c r="D718" s="339"/>
      <c r="E718" s="339"/>
    </row>
    <row r="719" spans="2:5" ht="12.75">
      <c r="B719" s="339"/>
      <c r="C719" s="420"/>
      <c r="D719" s="339"/>
      <c r="E719" s="339"/>
    </row>
    <row r="720" spans="2:5" ht="12.75">
      <c r="B720" s="339"/>
      <c r="C720" s="420"/>
      <c r="D720" s="339"/>
      <c r="E720" s="339"/>
    </row>
    <row r="721" spans="2:5" ht="12.75">
      <c r="B721" s="339"/>
      <c r="C721" s="420"/>
      <c r="D721" s="339"/>
      <c r="E721" s="339"/>
    </row>
    <row r="722" spans="2:5" ht="12.75">
      <c r="B722" s="339"/>
      <c r="C722" s="420"/>
      <c r="D722" s="339"/>
      <c r="E722" s="339"/>
    </row>
    <row r="723" spans="2:5" ht="12.75">
      <c r="B723" s="339"/>
      <c r="C723" s="420"/>
      <c r="D723" s="339"/>
      <c r="E723" s="339"/>
    </row>
    <row r="724" spans="2:5" ht="12.75">
      <c r="B724" s="339"/>
      <c r="C724" s="420"/>
      <c r="D724" s="339"/>
      <c r="E724" s="339"/>
    </row>
    <row r="725" spans="2:5" ht="12.75">
      <c r="B725" s="339"/>
      <c r="C725" s="420"/>
      <c r="D725" s="339"/>
      <c r="E725" s="339"/>
    </row>
    <row r="726" spans="2:5" ht="12.75">
      <c r="B726" s="339"/>
      <c r="C726" s="420"/>
      <c r="D726" s="339"/>
      <c r="E726" s="339"/>
    </row>
    <row r="727" spans="2:5" ht="12.75">
      <c r="B727" s="339"/>
      <c r="C727" s="420"/>
      <c r="D727" s="339"/>
      <c r="E727" s="339"/>
    </row>
    <row r="728" spans="2:5" ht="12.75">
      <c r="B728" s="339"/>
      <c r="C728" s="420"/>
      <c r="D728" s="339"/>
      <c r="E728" s="339"/>
    </row>
    <row r="729" spans="2:5" ht="12.75">
      <c r="B729" s="339"/>
      <c r="C729" s="420"/>
      <c r="D729" s="339"/>
      <c r="E729" s="339"/>
    </row>
    <row r="730" spans="2:5" ht="12.75">
      <c r="B730" s="339"/>
      <c r="C730" s="420"/>
      <c r="D730" s="339"/>
      <c r="E730" s="339"/>
    </row>
    <row r="731" spans="2:5" ht="12.75">
      <c r="B731" s="339"/>
      <c r="C731" s="420"/>
      <c r="D731" s="339"/>
      <c r="E731" s="339"/>
    </row>
    <row r="732" spans="2:5" ht="12.75">
      <c r="B732" s="339"/>
      <c r="C732" s="420"/>
      <c r="D732" s="339"/>
      <c r="E732" s="339"/>
    </row>
    <row r="733" spans="2:5" ht="12.75">
      <c r="B733" s="339"/>
      <c r="C733" s="420"/>
      <c r="D733" s="339"/>
      <c r="E733" s="339"/>
    </row>
    <row r="734" spans="2:5" ht="12.75">
      <c r="B734" s="339"/>
      <c r="C734" s="420"/>
      <c r="D734" s="339"/>
      <c r="E734" s="339"/>
    </row>
    <row r="735" spans="2:5" ht="12.75">
      <c r="B735" s="339"/>
      <c r="C735" s="420"/>
      <c r="D735" s="339"/>
      <c r="E735" s="339"/>
    </row>
    <row r="736" spans="2:5" ht="12.75">
      <c r="B736" s="339"/>
      <c r="C736" s="420"/>
      <c r="D736" s="339"/>
      <c r="E736" s="339"/>
    </row>
    <row r="737" spans="2:5" ht="12.75">
      <c r="B737" s="339"/>
      <c r="C737" s="420"/>
      <c r="D737" s="339"/>
      <c r="E737" s="339"/>
    </row>
    <row r="738" spans="2:5" ht="12.75">
      <c r="B738" s="339"/>
      <c r="C738" s="420"/>
      <c r="D738" s="339"/>
      <c r="E738" s="339"/>
    </row>
    <row r="739" spans="2:5" ht="12.75">
      <c r="B739" s="339"/>
      <c r="C739" s="420"/>
      <c r="D739" s="339"/>
      <c r="E739" s="339"/>
    </row>
    <row r="740" spans="2:5" ht="12.75">
      <c r="B740" s="339"/>
      <c r="C740" s="420"/>
      <c r="D740" s="339"/>
      <c r="E740" s="339"/>
    </row>
    <row r="741" spans="2:5" ht="12.75">
      <c r="B741" s="339"/>
      <c r="C741" s="420"/>
      <c r="D741" s="339"/>
      <c r="E741" s="339"/>
    </row>
    <row r="742" spans="2:5" ht="12.75">
      <c r="B742" s="339"/>
      <c r="C742" s="420"/>
      <c r="D742" s="339"/>
      <c r="E742" s="339"/>
    </row>
    <row r="743" spans="2:5" ht="12.75">
      <c r="B743" s="339"/>
      <c r="C743" s="420"/>
      <c r="D743" s="339"/>
      <c r="E743" s="339"/>
    </row>
    <row r="744" spans="2:5" ht="12.75">
      <c r="B744" s="339"/>
      <c r="C744" s="420"/>
      <c r="D744" s="339"/>
      <c r="E744" s="339"/>
    </row>
    <row r="745" spans="2:5" ht="12.75">
      <c r="B745" s="339"/>
      <c r="C745" s="420"/>
      <c r="D745" s="339"/>
      <c r="E745" s="339"/>
    </row>
    <row r="746" spans="2:5" ht="12.75">
      <c r="B746" s="339"/>
      <c r="C746" s="420"/>
      <c r="D746" s="339"/>
      <c r="E746" s="339"/>
    </row>
    <row r="747" spans="2:5" ht="12.75">
      <c r="B747" s="339"/>
      <c r="C747" s="420"/>
      <c r="D747" s="339"/>
      <c r="E747" s="339"/>
    </row>
    <row r="748" spans="2:5" ht="12.75">
      <c r="B748" s="339"/>
      <c r="C748" s="420"/>
      <c r="D748" s="339"/>
      <c r="E748" s="339"/>
    </row>
    <row r="749" spans="2:5" ht="12.75">
      <c r="B749" s="339"/>
      <c r="C749" s="420"/>
      <c r="D749" s="339"/>
      <c r="E749" s="339"/>
    </row>
    <row r="750" spans="2:5" ht="12.75">
      <c r="B750" s="339"/>
      <c r="C750" s="420"/>
      <c r="D750" s="339"/>
      <c r="E750" s="339"/>
    </row>
    <row r="751" spans="2:5" ht="12.75">
      <c r="B751" s="339"/>
      <c r="C751" s="420"/>
      <c r="D751" s="339"/>
      <c r="E751" s="339"/>
    </row>
    <row r="752" spans="2:5" ht="12.75">
      <c r="B752" s="339"/>
      <c r="C752" s="420"/>
      <c r="D752" s="339"/>
      <c r="E752" s="339"/>
    </row>
    <row r="753" spans="2:5" ht="12.75">
      <c r="B753" s="339"/>
      <c r="C753" s="420"/>
      <c r="D753" s="339"/>
      <c r="E753" s="339"/>
    </row>
    <row r="754" spans="2:5" ht="12.75">
      <c r="B754" s="339"/>
      <c r="C754" s="420"/>
      <c r="D754" s="339"/>
      <c r="E754" s="339"/>
    </row>
    <row r="755" spans="2:5" ht="12.75">
      <c r="B755" s="339"/>
      <c r="C755" s="420"/>
      <c r="D755" s="339"/>
      <c r="E755" s="339"/>
    </row>
    <row r="756" spans="2:5" ht="12.75">
      <c r="B756" s="339"/>
      <c r="C756" s="420"/>
      <c r="D756" s="339"/>
      <c r="E756" s="339"/>
    </row>
    <row r="757" spans="2:5" ht="12.75">
      <c r="B757" s="339"/>
      <c r="C757" s="420"/>
      <c r="D757" s="339"/>
      <c r="E757" s="339"/>
    </row>
    <row r="758" spans="2:5" ht="12.75">
      <c r="B758" s="339"/>
      <c r="C758" s="420"/>
      <c r="D758" s="339"/>
      <c r="E758" s="339"/>
    </row>
    <row r="759" spans="2:5" ht="12.75">
      <c r="B759" s="339"/>
      <c r="C759" s="420"/>
      <c r="D759" s="339"/>
      <c r="E759" s="339"/>
    </row>
    <row r="760" spans="2:5" ht="12.75">
      <c r="B760" s="339"/>
      <c r="C760" s="420"/>
      <c r="D760" s="339"/>
      <c r="E760" s="339"/>
    </row>
    <row r="761" spans="2:5" ht="12.75">
      <c r="B761" s="339"/>
      <c r="C761" s="420"/>
      <c r="D761" s="339"/>
      <c r="E761" s="339"/>
    </row>
    <row r="762" spans="2:5" ht="12.75">
      <c r="B762" s="339"/>
      <c r="C762" s="420"/>
      <c r="D762" s="339"/>
      <c r="E762" s="339"/>
    </row>
    <row r="763" spans="2:5" ht="12.75">
      <c r="B763" s="339"/>
      <c r="C763" s="420"/>
      <c r="D763" s="339"/>
      <c r="E763" s="339"/>
    </row>
    <row r="764" spans="2:5" ht="12.75">
      <c r="B764" s="339"/>
      <c r="C764" s="420"/>
      <c r="D764" s="339"/>
      <c r="E764" s="339"/>
    </row>
    <row r="765" spans="2:5" ht="12.75">
      <c r="B765" s="339"/>
      <c r="C765" s="420"/>
      <c r="D765" s="339"/>
      <c r="E765" s="339"/>
    </row>
    <row r="766" spans="2:5" ht="12.75">
      <c r="B766" s="339"/>
      <c r="C766" s="420"/>
      <c r="D766" s="339"/>
      <c r="E766" s="339"/>
    </row>
    <row r="767" spans="2:5" ht="12.75">
      <c r="B767" s="339"/>
      <c r="C767" s="420"/>
      <c r="D767" s="339"/>
      <c r="E767" s="339"/>
    </row>
    <row r="768" spans="2:5" ht="12.75">
      <c r="B768" s="339"/>
      <c r="C768" s="420"/>
      <c r="D768" s="339"/>
      <c r="E768" s="339"/>
    </row>
    <row r="769" spans="2:5" ht="12.75">
      <c r="B769" s="339"/>
      <c r="C769" s="420"/>
      <c r="D769" s="339"/>
      <c r="E769" s="339"/>
    </row>
    <row r="770" spans="2:5" ht="12.75">
      <c r="B770" s="339"/>
      <c r="C770" s="420"/>
      <c r="D770" s="339"/>
      <c r="E770" s="339"/>
    </row>
    <row r="771" spans="2:5" ht="12.75">
      <c r="B771" s="339"/>
      <c r="C771" s="420"/>
      <c r="D771" s="339"/>
      <c r="E771" s="339"/>
    </row>
    <row r="772" spans="2:5" ht="12.75">
      <c r="B772" s="339"/>
      <c r="C772" s="420"/>
      <c r="D772" s="339"/>
      <c r="E772" s="339"/>
    </row>
    <row r="773" spans="2:5" ht="12.75">
      <c r="B773" s="339"/>
      <c r="C773" s="420"/>
      <c r="D773" s="339"/>
      <c r="E773" s="339"/>
    </row>
    <row r="774" spans="2:5" ht="12.75">
      <c r="B774" s="339"/>
      <c r="C774" s="420"/>
      <c r="D774" s="339"/>
      <c r="E774" s="339"/>
    </row>
    <row r="775" spans="2:5" ht="12.75">
      <c r="B775" s="339"/>
      <c r="C775" s="420"/>
      <c r="D775" s="339"/>
      <c r="E775" s="339"/>
    </row>
    <row r="776" spans="2:5" ht="12.75">
      <c r="B776" s="339"/>
      <c r="C776" s="420"/>
      <c r="D776" s="339"/>
      <c r="E776" s="339"/>
    </row>
    <row r="777" spans="2:5" ht="12.75">
      <c r="B777" s="339"/>
      <c r="C777" s="420"/>
      <c r="D777" s="339"/>
      <c r="E777" s="339"/>
    </row>
    <row r="778" spans="2:5" ht="12.75">
      <c r="B778" s="339"/>
      <c r="C778" s="420"/>
      <c r="D778" s="339"/>
      <c r="E778" s="339"/>
    </row>
    <row r="779" spans="2:5" ht="12.75">
      <c r="B779" s="339"/>
      <c r="C779" s="420"/>
      <c r="D779" s="339"/>
      <c r="E779" s="339"/>
    </row>
    <row r="780" spans="2:5" ht="12.75">
      <c r="B780" s="339"/>
      <c r="C780" s="420"/>
      <c r="D780" s="339"/>
      <c r="E780" s="339"/>
    </row>
    <row r="781" spans="2:5" ht="12.75">
      <c r="B781" s="339"/>
      <c r="C781" s="420"/>
      <c r="D781" s="339"/>
      <c r="E781" s="339"/>
    </row>
    <row r="782" spans="2:5" ht="12.75">
      <c r="B782" s="339"/>
      <c r="C782" s="420"/>
      <c r="D782" s="339"/>
      <c r="E782" s="339"/>
    </row>
    <row r="783" spans="2:5" ht="12.75">
      <c r="B783" s="339"/>
      <c r="C783" s="420"/>
      <c r="D783" s="339"/>
      <c r="E783" s="339"/>
    </row>
    <row r="784" spans="2:5" ht="12.75">
      <c r="B784" s="339"/>
      <c r="C784" s="420"/>
      <c r="D784" s="339"/>
      <c r="E784" s="339"/>
    </row>
    <row r="785" spans="2:5" ht="12.75">
      <c r="B785" s="339"/>
      <c r="C785" s="420"/>
      <c r="D785" s="339"/>
      <c r="E785" s="339"/>
    </row>
    <row r="786" spans="2:5" ht="12.75">
      <c r="B786" s="339"/>
      <c r="C786" s="420"/>
      <c r="D786" s="339"/>
      <c r="E786" s="339"/>
    </row>
    <row r="787" spans="2:5" ht="12.75">
      <c r="B787" s="339"/>
      <c r="C787" s="420"/>
      <c r="D787" s="339"/>
      <c r="E787" s="339"/>
    </row>
    <row r="788" spans="2:5" ht="12.75">
      <c r="B788" s="339"/>
      <c r="C788" s="420"/>
      <c r="D788" s="339"/>
      <c r="E788" s="339"/>
    </row>
    <row r="789" spans="2:5" ht="12.75">
      <c r="B789" s="339"/>
      <c r="C789" s="420"/>
      <c r="D789" s="339"/>
      <c r="E789" s="339"/>
    </row>
    <row r="790" spans="2:5" ht="12.75">
      <c r="B790" s="339"/>
      <c r="C790" s="420"/>
      <c r="D790" s="339"/>
      <c r="E790" s="339"/>
    </row>
    <row r="791" spans="2:5" ht="12.75">
      <c r="B791" s="339"/>
      <c r="C791" s="420"/>
      <c r="D791" s="339"/>
      <c r="E791" s="339"/>
    </row>
    <row r="792" spans="2:5" ht="12.75">
      <c r="B792" s="339"/>
      <c r="C792" s="420"/>
      <c r="D792" s="339"/>
      <c r="E792" s="339"/>
    </row>
    <row r="793" spans="2:5" ht="12.75">
      <c r="B793" s="339"/>
      <c r="C793" s="420"/>
      <c r="D793" s="339"/>
      <c r="E793" s="339"/>
    </row>
    <row r="794" spans="2:5" ht="12.75">
      <c r="B794" s="339"/>
      <c r="C794" s="420"/>
      <c r="D794" s="339"/>
      <c r="E794" s="339"/>
    </row>
    <row r="795" spans="2:5" ht="12.75">
      <c r="B795" s="339"/>
      <c r="C795" s="420"/>
      <c r="D795" s="339"/>
      <c r="E795" s="339"/>
    </row>
    <row r="796" spans="2:5" ht="12.75">
      <c r="B796" s="339"/>
      <c r="C796" s="420"/>
      <c r="D796" s="339"/>
      <c r="E796" s="339"/>
    </row>
    <row r="797" spans="2:5" ht="12.75">
      <c r="B797" s="339"/>
      <c r="C797" s="420"/>
      <c r="D797" s="339"/>
      <c r="E797" s="339"/>
    </row>
    <row r="798" spans="2:5" ht="12.75">
      <c r="B798" s="339"/>
      <c r="C798" s="420"/>
      <c r="D798" s="339"/>
      <c r="E798" s="339"/>
    </row>
    <row r="799" spans="2:5" ht="12.75">
      <c r="B799" s="339"/>
      <c r="C799" s="420"/>
      <c r="D799" s="339"/>
      <c r="E799" s="339"/>
    </row>
    <row r="800" spans="2:5" ht="12.75">
      <c r="B800" s="339"/>
      <c r="C800" s="420"/>
      <c r="D800" s="339"/>
      <c r="E800" s="339"/>
    </row>
    <row r="801" spans="2:5" ht="12.75">
      <c r="B801" s="339"/>
      <c r="C801" s="420"/>
      <c r="D801" s="339"/>
      <c r="E801" s="339"/>
    </row>
    <row r="802" spans="2:5" ht="12.75">
      <c r="B802" s="339"/>
      <c r="C802" s="420"/>
      <c r="D802" s="339"/>
      <c r="E802" s="339"/>
    </row>
    <row r="803" spans="2:5" ht="12.75">
      <c r="B803" s="339"/>
      <c r="C803" s="420"/>
      <c r="D803" s="339"/>
      <c r="E803" s="339"/>
    </row>
    <row r="804" spans="2:5" ht="12.75">
      <c r="B804" s="339"/>
      <c r="C804" s="420"/>
      <c r="D804" s="339"/>
      <c r="E804" s="339"/>
    </row>
    <row r="805" spans="2:5" ht="12.75">
      <c r="B805" s="339"/>
      <c r="C805" s="420"/>
      <c r="D805" s="339"/>
      <c r="E805" s="339"/>
    </row>
    <row r="806" spans="2:5" ht="12.75">
      <c r="B806" s="339"/>
      <c r="C806" s="420"/>
      <c r="D806" s="339"/>
      <c r="E806" s="339"/>
    </row>
    <row r="807" spans="2:5" ht="12.75">
      <c r="B807" s="339"/>
      <c r="C807" s="420"/>
      <c r="D807" s="339"/>
      <c r="E807" s="339"/>
    </row>
    <row r="808" spans="2:5" ht="12.75">
      <c r="B808" s="339"/>
      <c r="C808" s="420"/>
      <c r="D808" s="339"/>
      <c r="E808" s="339"/>
    </row>
    <row r="809" spans="2:5" ht="12.75">
      <c r="B809" s="339"/>
      <c r="C809" s="420"/>
      <c r="D809" s="339"/>
      <c r="E809" s="339"/>
    </row>
    <row r="810" spans="2:5" ht="12.75">
      <c r="B810" s="339"/>
      <c r="C810" s="420"/>
      <c r="D810" s="339"/>
      <c r="E810" s="339"/>
    </row>
    <row r="811" spans="2:5" ht="12.75">
      <c r="B811" s="339"/>
      <c r="C811" s="420"/>
      <c r="D811" s="339"/>
      <c r="E811" s="339"/>
    </row>
    <row r="812" spans="2:5" ht="12.75">
      <c r="B812" s="339"/>
      <c r="C812" s="420"/>
      <c r="D812" s="339"/>
      <c r="E812" s="339"/>
    </row>
    <row r="813" spans="2:5" ht="12.75">
      <c r="B813" s="339"/>
      <c r="C813" s="420"/>
      <c r="D813" s="339"/>
      <c r="E813" s="339"/>
    </row>
    <row r="814" spans="2:5" ht="12.75">
      <c r="B814" s="339"/>
      <c r="C814" s="420"/>
      <c r="D814" s="339"/>
      <c r="E814" s="339"/>
    </row>
    <row r="815" spans="2:5" ht="12.75">
      <c r="B815" s="339"/>
      <c r="C815" s="420"/>
      <c r="D815" s="339"/>
      <c r="E815" s="339"/>
    </row>
    <row r="816" spans="2:5" ht="12.75">
      <c r="B816" s="339"/>
      <c r="C816" s="420"/>
      <c r="D816" s="339"/>
      <c r="E816" s="339"/>
    </row>
    <row r="817" spans="2:5" ht="12.75">
      <c r="B817" s="339"/>
      <c r="C817" s="420"/>
      <c r="D817" s="339"/>
      <c r="E817" s="339"/>
    </row>
    <row r="818" spans="2:5" ht="12.75">
      <c r="B818" s="339"/>
      <c r="C818" s="420"/>
      <c r="D818" s="339"/>
      <c r="E818" s="339"/>
    </row>
    <row r="819" spans="2:5" ht="12.75">
      <c r="B819" s="339"/>
      <c r="C819" s="420"/>
      <c r="D819" s="339"/>
      <c r="E819" s="339"/>
    </row>
    <row r="820" spans="2:5" ht="12.75">
      <c r="B820" s="339"/>
      <c r="C820" s="420"/>
      <c r="D820" s="339"/>
      <c r="E820" s="339"/>
    </row>
    <row r="821" spans="2:5" ht="12.75">
      <c r="B821" s="339"/>
      <c r="C821" s="420"/>
      <c r="D821" s="339"/>
      <c r="E821" s="339"/>
    </row>
    <row r="822" spans="2:5" ht="12.75">
      <c r="B822" s="339"/>
      <c r="C822" s="420"/>
      <c r="D822" s="339"/>
      <c r="E822" s="339"/>
    </row>
    <row r="823" spans="2:5" ht="12.75">
      <c r="B823" s="339"/>
      <c r="C823" s="420"/>
      <c r="D823" s="339"/>
      <c r="E823" s="339"/>
    </row>
    <row r="824" spans="2:5" ht="12.75">
      <c r="B824" s="339"/>
      <c r="C824" s="420"/>
      <c r="D824" s="339"/>
      <c r="E824" s="339"/>
    </row>
    <row r="825" spans="2:5" ht="12.75">
      <c r="B825" s="339"/>
      <c r="C825" s="420"/>
      <c r="D825" s="339"/>
      <c r="E825" s="339"/>
    </row>
    <row r="826" spans="2:5" ht="12.75">
      <c r="B826" s="339"/>
      <c r="C826" s="420"/>
      <c r="D826" s="339"/>
      <c r="E826" s="339"/>
    </row>
    <row r="827" spans="2:5" ht="12.75">
      <c r="B827" s="339"/>
      <c r="C827" s="420"/>
      <c r="D827" s="339"/>
      <c r="E827" s="339"/>
    </row>
    <row r="828" spans="2:5" ht="12.75">
      <c r="B828" s="339"/>
      <c r="C828" s="420"/>
      <c r="D828" s="339"/>
      <c r="E828" s="339"/>
    </row>
    <row r="829" spans="2:5" ht="12.75">
      <c r="B829" s="339"/>
      <c r="C829" s="420"/>
      <c r="D829" s="339"/>
      <c r="E829" s="339"/>
    </row>
    <row r="830" spans="2:5" ht="12.75">
      <c r="B830" s="339"/>
      <c r="C830" s="420"/>
      <c r="D830" s="339"/>
      <c r="E830" s="339"/>
    </row>
    <row r="831" spans="2:5" ht="12.75">
      <c r="B831" s="339"/>
      <c r="C831" s="420"/>
      <c r="D831" s="339"/>
      <c r="E831" s="339"/>
    </row>
    <row r="832" spans="2:5" ht="12.75">
      <c r="B832" s="339"/>
      <c r="C832" s="420"/>
      <c r="D832" s="339"/>
      <c r="E832" s="339"/>
    </row>
    <row r="833" spans="2:5" ht="12.75">
      <c r="B833" s="339"/>
      <c r="C833" s="420"/>
      <c r="D833" s="339"/>
      <c r="E833" s="339"/>
    </row>
    <row r="834" spans="2:5" ht="12.75">
      <c r="B834" s="339"/>
      <c r="C834" s="420"/>
      <c r="D834" s="339"/>
      <c r="E834" s="339"/>
    </row>
    <row r="835" spans="2:5" ht="12.75">
      <c r="B835" s="339"/>
      <c r="C835" s="420"/>
      <c r="D835" s="339"/>
      <c r="E835" s="339"/>
    </row>
    <row r="836" spans="2:5" ht="12.75">
      <c r="B836" s="339"/>
      <c r="C836" s="420"/>
      <c r="D836" s="339"/>
      <c r="E836" s="339"/>
    </row>
    <row r="837" spans="2:5" ht="12.75">
      <c r="B837" s="339"/>
      <c r="C837" s="420"/>
      <c r="D837" s="339"/>
      <c r="E837" s="339"/>
    </row>
    <row r="838" spans="2:5" ht="12.75">
      <c r="B838" s="339"/>
      <c r="C838" s="420"/>
      <c r="D838" s="339"/>
      <c r="E838" s="339"/>
    </row>
    <row r="839" spans="2:5" ht="12.75">
      <c r="B839" s="339"/>
      <c r="C839" s="420"/>
      <c r="D839" s="339"/>
      <c r="E839" s="339"/>
    </row>
    <row r="840" spans="2:5" ht="12.75">
      <c r="B840" s="339"/>
      <c r="C840" s="420"/>
      <c r="D840" s="339"/>
      <c r="E840" s="339"/>
    </row>
    <row r="841" spans="2:5" ht="12.75">
      <c r="B841" s="339"/>
      <c r="C841" s="420"/>
      <c r="D841" s="339"/>
      <c r="E841" s="339"/>
    </row>
    <row r="842" spans="2:5" ht="12.75">
      <c r="B842" s="339"/>
      <c r="C842" s="420"/>
      <c r="D842" s="339"/>
      <c r="E842" s="339"/>
    </row>
    <row r="843" spans="2:5" ht="12.75">
      <c r="B843" s="339"/>
      <c r="C843" s="420"/>
      <c r="D843" s="339"/>
      <c r="E843" s="339"/>
    </row>
    <row r="844" spans="2:5" ht="12.75">
      <c r="B844" s="339"/>
      <c r="C844" s="420"/>
      <c r="D844" s="339"/>
      <c r="E844" s="339"/>
    </row>
    <row r="845" spans="2:5" ht="12.75">
      <c r="B845" s="339"/>
      <c r="C845" s="420"/>
      <c r="D845" s="339"/>
      <c r="E845" s="339"/>
    </row>
    <row r="846" spans="2:5" ht="12.75">
      <c r="B846" s="339"/>
      <c r="C846" s="420"/>
      <c r="D846" s="339"/>
      <c r="E846" s="339"/>
    </row>
    <row r="847" spans="2:5" ht="12.75">
      <c r="B847" s="339"/>
      <c r="C847" s="420"/>
      <c r="D847" s="339"/>
      <c r="E847" s="339"/>
    </row>
    <row r="848" spans="2:5" ht="12.75">
      <c r="B848" s="339"/>
      <c r="C848" s="420"/>
      <c r="D848" s="339"/>
      <c r="E848" s="339"/>
    </row>
    <row r="849" spans="2:5" ht="12.75">
      <c r="B849" s="339"/>
      <c r="C849" s="420"/>
      <c r="D849" s="339"/>
      <c r="E849" s="339"/>
    </row>
    <row r="850" spans="2:5" ht="12.75">
      <c r="B850" s="339"/>
      <c r="C850" s="420"/>
      <c r="D850" s="339"/>
      <c r="E850" s="339"/>
    </row>
    <row r="851" spans="2:5" ht="12.75">
      <c r="B851" s="339"/>
      <c r="C851" s="420"/>
      <c r="D851" s="339"/>
      <c r="E851" s="339"/>
    </row>
    <row r="852" spans="2:5" ht="12.75">
      <c r="B852" s="339"/>
      <c r="C852" s="420"/>
      <c r="D852" s="339"/>
      <c r="E852" s="339"/>
    </row>
    <row r="853" spans="2:5" ht="12.75">
      <c r="B853" s="339"/>
      <c r="C853" s="420"/>
      <c r="D853" s="339"/>
      <c r="E853" s="339"/>
    </row>
    <row r="854" spans="2:5" ht="12.75">
      <c r="B854" s="339"/>
      <c r="C854" s="420"/>
      <c r="D854" s="339"/>
      <c r="E854" s="339"/>
    </row>
    <row r="855" spans="2:5" ht="12.75">
      <c r="B855" s="339"/>
      <c r="C855" s="420"/>
      <c r="D855" s="339"/>
      <c r="E855" s="339"/>
    </row>
    <row r="856" spans="2:5" ht="12.75">
      <c r="B856" s="339"/>
      <c r="C856" s="420"/>
      <c r="D856" s="339"/>
      <c r="E856" s="339"/>
    </row>
    <row r="857" spans="2:5" ht="12.75">
      <c r="B857" s="339"/>
      <c r="C857" s="420"/>
      <c r="D857" s="339"/>
      <c r="E857" s="339"/>
    </row>
    <row r="858" spans="2:5" ht="12.75">
      <c r="B858" s="339"/>
      <c r="C858" s="420"/>
      <c r="D858" s="339"/>
      <c r="E858" s="339"/>
    </row>
    <row r="859" spans="2:5" ht="12.75">
      <c r="B859" s="339"/>
      <c r="C859" s="420"/>
      <c r="D859" s="339"/>
      <c r="E859" s="339"/>
    </row>
    <row r="860" spans="2:5" ht="12.75">
      <c r="B860" s="339"/>
      <c r="C860" s="420"/>
      <c r="D860" s="339"/>
      <c r="E860" s="339"/>
    </row>
    <row r="861" spans="2:5" ht="12.75">
      <c r="B861" s="339"/>
      <c r="C861" s="420"/>
      <c r="D861" s="339"/>
      <c r="E861" s="339"/>
    </row>
    <row r="862" spans="2:5" ht="12.75">
      <c r="B862" s="339"/>
      <c r="C862" s="420"/>
      <c r="D862" s="339"/>
      <c r="E862" s="339"/>
    </row>
    <row r="863" spans="2:5" ht="12.75">
      <c r="B863" s="339"/>
      <c r="C863" s="420"/>
      <c r="D863" s="339"/>
      <c r="E863" s="339"/>
    </row>
    <row r="864" spans="2:5" ht="12.75">
      <c r="B864" s="339"/>
      <c r="C864" s="420"/>
      <c r="D864" s="339"/>
      <c r="E864" s="339"/>
    </row>
    <row r="865" spans="2:5" ht="12.75">
      <c r="B865" s="339"/>
      <c r="C865" s="420"/>
      <c r="D865" s="339"/>
      <c r="E865" s="339"/>
    </row>
    <row r="866" spans="2:5" ht="12.75">
      <c r="B866" s="339"/>
      <c r="C866" s="420"/>
      <c r="D866" s="339"/>
      <c r="E866" s="339"/>
    </row>
    <row r="867" spans="2:5" ht="12.75">
      <c r="B867" s="339"/>
      <c r="C867" s="420"/>
      <c r="D867" s="339"/>
      <c r="E867" s="339"/>
    </row>
    <row r="868" spans="2:5" ht="12.75">
      <c r="B868" s="339"/>
      <c r="C868" s="420"/>
      <c r="D868" s="339"/>
      <c r="E868" s="339"/>
    </row>
    <row r="869" spans="2:5" ht="12.75">
      <c r="B869" s="339"/>
      <c r="C869" s="420"/>
      <c r="D869" s="339"/>
      <c r="E869" s="339"/>
    </row>
    <row r="870" spans="2:5" ht="12.75">
      <c r="B870" s="339"/>
      <c r="C870" s="420"/>
      <c r="D870" s="339"/>
      <c r="E870" s="339"/>
    </row>
    <row r="871" spans="2:5" ht="12.75">
      <c r="B871" s="339"/>
      <c r="C871" s="420"/>
      <c r="D871" s="339"/>
      <c r="E871" s="339"/>
    </row>
    <row r="872" spans="2:5" ht="12.75">
      <c r="B872" s="339"/>
      <c r="C872" s="420"/>
      <c r="D872" s="339"/>
      <c r="E872" s="339"/>
    </row>
    <row r="873" spans="2:5" ht="12.75">
      <c r="B873" s="339"/>
      <c r="C873" s="420"/>
      <c r="D873" s="339"/>
      <c r="E873" s="339"/>
    </row>
    <row r="874" spans="2:5" ht="12.75">
      <c r="B874" s="339"/>
      <c r="C874" s="420"/>
      <c r="D874" s="339"/>
      <c r="E874" s="339"/>
    </row>
    <row r="875" spans="2:5" ht="12.75">
      <c r="B875" s="339"/>
      <c r="C875" s="420"/>
      <c r="D875" s="339"/>
      <c r="E875" s="339"/>
    </row>
    <row r="876" spans="2:5" ht="12.75">
      <c r="B876" s="339"/>
      <c r="C876" s="420"/>
      <c r="D876" s="339"/>
      <c r="E876" s="339"/>
    </row>
    <row r="877" spans="2:5" ht="12.75">
      <c r="B877" s="339"/>
      <c r="C877" s="420"/>
      <c r="D877" s="339"/>
      <c r="E877" s="339"/>
    </row>
    <row r="878" spans="2:5" ht="12.75">
      <c r="B878" s="339"/>
      <c r="C878" s="420"/>
      <c r="D878" s="339"/>
      <c r="E878" s="339"/>
    </row>
    <row r="879" spans="2:5" ht="12.75">
      <c r="B879" s="339"/>
      <c r="C879" s="420"/>
      <c r="D879" s="339"/>
      <c r="E879" s="339"/>
    </row>
    <row r="880" spans="2:5" ht="12.75">
      <c r="B880" s="339"/>
      <c r="C880" s="420"/>
      <c r="D880" s="339"/>
      <c r="E880" s="339"/>
    </row>
    <row r="881" spans="2:5" ht="12.75">
      <c r="B881" s="339"/>
      <c r="C881" s="420"/>
      <c r="D881" s="339"/>
      <c r="E881" s="339"/>
    </row>
    <row r="882" spans="2:5" ht="12.75">
      <c r="B882" s="339"/>
      <c r="C882" s="420"/>
      <c r="D882" s="339"/>
      <c r="E882" s="339"/>
    </row>
    <row r="883" spans="2:5" ht="12.75">
      <c r="B883" s="339"/>
      <c r="C883" s="420"/>
      <c r="D883" s="339"/>
      <c r="E883" s="339"/>
    </row>
    <row r="884" spans="2:5" ht="12.75">
      <c r="B884" s="339"/>
      <c r="C884" s="420"/>
      <c r="D884" s="339"/>
      <c r="E884" s="339"/>
    </row>
    <row r="885" spans="2:5" ht="12.75">
      <c r="B885" s="339"/>
      <c r="C885" s="420"/>
      <c r="D885" s="339"/>
      <c r="E885" s="339"/>
    </row>
    <row r="886" spans="2:5" ht="12.75">
      <c r="B886" s="339"/>
      <c r="C886" s="420"/>
      <c r="D886" s="339"/>
      <c r="E886" s="339"/>
    </row>
    <row r="887" spans="2:5" ht="12.75">
      <c r="B887" s="339"/>
      <c r="C887" s="420"/>
      <c r="D887" s="339"/>
      <c r="E887" s="339"/>
    </row>
    <row r="888" spans="2:5" ht="12.75">
      <c r="B888" s="339"/>
      <c r="C888" s="420"/>
      <c r="D888" s="339"/>
      <c r="E888" s="339"/>
    </row>
    <row r="889" spans="2:5" ht="12.75">
      <c r="B889" s="339"/>
      <c r="C889" s="420"/>
      <c r="D889" s="339"/>
      <c r="E889" s="339"/>
    </row>
    <row r="890" spans="2:5" ht="12.75">
      <c r="B890" s="339"/>
      <c r="C890" s="420"/>
      <c r="D890" s="339"/>
      <c r="E890" s="339"/>
    </row>
    <row r="891" spans="2:5" ht="12.75">
      <c r="B891" s="339"/>
      <c r="C891" s="420"/>
      <c r="D891" s="339"/>
      <c r="E891" s="339"/>
    </row>
    <row r="892" spans="2:5" ht="12.75">
      <c r="B892" s="339"/>
      <c r="C892" s="420"/>
      <c r="D892" s="339"/>
      <c r="E892" s="339"/>
    </row>
    <row r="893" spans="2:5" ht="12.75">
      <c r="B893" s="339"/>
      <c r="C893" s="420"/>
      <c r="D893" s="339"/>
      <c r="E893" s="339"/>
    </row>
    <row r="894" spans="2:5" ht="12.75">
      <c r="B894" s="339"/>
      <c r="C894" s="420"/>
      <c r="D894" s="339"/>
      <c r="E894" s="339"/>
    </row>
    <row r="895" spans="2:5" ht="12.75">
      <c r="B895" s="339"/>
      <c r="C895" s="420"/>
      <c r="D895" s="339"/>
      <c r="E895" s="339"/>
    </row>
    <row r="896" spans="2:5" ht="12.75">
      <c r="B896" s="339"/>
      <c r="C896" s="420"/>
      <c r="D896" s="339"/>
      <c r="E896" s="339"/>
    </row>
    <row r="897" spans="2:5" ht="12.75">
      <c r="B897" s="339"/>
      <c r="C897" s="420"/>
      <c r="D897" s="339"/>
      <c r="E897" s="339"/>
    </row>
    <row r="898" spans="2:5" ht="12.75">
      <c r="B898" s="339"/>
      <c r="C898" s="420"/>
      <c r="D898" s="339"/>
      <c r="E898" s="339"/>
    </row>
    <row r="899" spans="2:5" ht="12.75">
      <c r="B899" s="339"/>
      <c r="C899" s="420"/>
      <c r="D899" s="339"/>
      <c r="E899" s="339"/>
    </row>
    <row r="900" spans="2:5" ht="12.75">
      <c r="B900" s="339"/>
      <c r="C900" s="420"/>
      <c r="D900" s="339"/>
      <c r="E900" s="339"/>
    </row>
    <row r="901" spans="2:5" ht="12.75">
      <c r="B901" s="339"/>
      <c r="C901" s="420"/>
      <c r="D901" s="339"/>
      <c r="E901" s="339"/>
    </row>
    <row r="902" spans="2:5" ht="12.75">
      <c r="B902" s="339"/>
      <c r="C902" s="420"/>
      <c r="D902" s="339"/>
      <c r="E902" s="339"/>
    </row>
    <row r="903" spans="2:5" ht="12.75">
      <c r="B903" s="339"/>
      <c r="C903" s="420"/>
      <c r="D903" s="339"/>
      <c r="E903" s="339"/>
    </row>
    <row r="904" spans="2:5" ht="12.75">
      <c r="B904" s="339"/>
      <c r="C904" s="420"/>
      <c r="D904" s="339"/>
      <c r="E904" s="339"/>
    </row>
    <row r="905" spans="2:5" ht="12.75">
      <c r="B905" s="339"/>
      <c r="C905" s="420"/>
      <c r="D905" s="339"/>
      <c r="E905" s="339"/>
    </row>
    <row r="906" spans="2:5" ht="12.75">
      <c r="B906" s="339"/>
      <c r="C906" s="420"/>
      <c r="D906" s="339"/>
      <c r="E906" s="339"/>
    </row>
    <row r="907" spans="2:5" ht="12.75">
      <c r="B907" s="339"/>
      <c r="C907" s="420"/>
      <c r="D907" s="339"/>
      <c r="E907" s="339"/>
    </row>
    <row r="908" spans="2:5" ht="12.75">
      <c r="B908" s="339"/>
      <c r="C908" s="420"/>
      <c r="D908" s="339"/>
      <c r="E908" s="339"/>
    </row>
    <row r="909" spans="2:5" ht="12.75">
      <c r="B909" s="339"/>
      <c r="C909" s="420"/>
      <c r="D909" s="339"/>
      <c r="E909" s="339"/>
    </row>
    <row r="910" spans="2:5" ht="12.75">
      <c r="B910" s="339"/>
      <c r="C910" s="420"/>
      <c r="D910" s="339"/>
      <c r="E910" s="339"/>
    </row>
    <row r="911" spans="2:5" ht="12.75">
      <c r="B911" s="339"/>
      <c r="C911" s="420"/>
      <c r="D911" s="339"/>
      <c r="E911" s="339"/>
    </row>
    <row r="912" spans="2:5" ht="12.75">
      <c r="B912" s="339"/>
      <c r="C912" s="420"/>
      <c r="D912" s="339"/>
      <c r="E912" s="339"/>
    </row>
    <row r="913" spans="2:5" ht="12.75">
      <c r="B913" s="339"/>
      <c r="C913" s="420"/>
      <c r="D913" s="339"/>
      <c r="E913" s="339"/>
    </row>
    <row r="914" spans="2:5" ht="12.75">
      <c r="B914" s="339"/>
      <c r="C914" s="420"/>
      <c r="D914" s="339"/>
      <c r="E914" s="339"/>
    </row>
    <row r="915" spans="2:5" ht="12.75">
      <c r="B915" s="339"/>
      <c r="C915" s="420"/>
      <c r="D915" s="339"/>
      <c r="E915" s="339"/>
    </row>
    <row r="916" spans="2:5" ht="12.75">
      <c r="B916" s="339"/>
      <c r="C916" s="420"/>
      <c r="D916" s="339"/>
      <c r="E916" s="339"/>
    </row>
    <row r="917" spans="2:5" ht="12.75">
      <c r="B917" s="339"/>
      <c r="C917" s="420"/>
      <c r="D917" s="339"/>
      <c r="E917" s="339"/>
    </row>
    <row r="918" spans="2:5" ht="12.75">
      <c r="B918" s="339"/>
      <c r="C918" s="420"/>
      <c r="D918" s="339"/>
      <c r="E918" s="339"/>
    </row>
    <row r="919" spans="2:5" ht="12.75">
      <c r="B919" s="339"/>
      <c r="C919" s="420"/>
      <c r="D919" s="339"/>
      <c r="E919" s="339"/>
    </row>
    <row r="920" spans="2:5" ht="12.75">
      <c r="B920" s="339"/>
      <c r="C920" s="420"/>
      <c r="D920" s="339"/>
      <c r="E920" s="339"/>
    </row>
    <row r="921" spans="2:5" ht="12.75">
      <c r="B921" s="339"/>
      <c r="C921" s="420"/>
      <c r="D921" s="339"/>
      <c r="E921" s="339"/>
    </row>
    <row r="922" spans="2:5" ht="12.75">
      <c r="B922" s="339"/>
      <c r="C922" s="420"/>
      <c r="D922" s="339"/>
      <c r="E922" s="339"/>
    </row>
    <row r="923" spans="2:5" ht="12.75">
      <c r="B923" s="339"/>
      <c r="C923" s="420"/>
      <c r="D923" s="339"/>
      <c r="E923" s="339"/>
    </row>
    <row r="924" spans="2:5" ht="12.75">
      <c r="B924" s="339"/>
      <c r="C924" s="420"/>
      <c r="D924" s="339"/>
      <c r="E924" s="339"/>
    </row>
    <row r="925" spans="2:5" ht="12.75">
      <c r="B925" s="339"/>
      <c r="C925" s="420"/>
      <c r="D925" s="339"/>
      <c r="E925" s="339"/>
    </row>
    <row r="926" spans="2:5" ht="12.75">
      <c r="B926" s="339"/>
      <c r="C926" s="420"/>
      <c r="D926" s="339"/>
      <c r="E926" s="339"/>
    </row>
    <row r="927" spans="2:5" ht="12.75">
      <c r="B927" s="339"/>
      <c r="C927" s="420"/>
      <c r="D927" s="339"/>
      <c r="E927" s="339"/>
    </row>
    <row r="928" spans="2:5" ht="12.75">
      <c r="B928" s="339"/>
      <c r="C928" s="420"/>
      <c r="D928" s="339"/>
      <c r="E928" s="339"/>
    </row>
    <row r="929" spans="2:5" ht="12.75">
      <c r="B929" s="339"/>
      <c r="C929" s="420"/>
      <c r="D929" s="339"/>
      <c r="E929" s="339"/>
    </row>
    <row r="930" spans="2:5" ht="12.75">
      <c r="B930" s="339"/>
      <c r="C930" s="420"/>
      <c r="D930" s="339"/>
      <c r="E930" s="339"/>
    </row>
    <row r="931" spans="2:5" ht="12.75">
      <c r="B931" s="339"/>
      <c r="C931" s="420"/>
      <c r="D931" s="339"/>
      <c r="E931" s="339"/>
    </row>
    <row r="932" spans="2:5" ht="12.75">
      <c r="B932" s="339"/>
      <c r="C932" s="420"/>
      <c r="D932" s="339"/>
      <c r="E932" s="339"/>
    </row>
    <row r="933" spans="2:5" ht="12.75">
      <c r="B933" s="339"/>
      <c r="C933" s="420"/>
      <c r="D933" s="339"/>
      <c r="E933" s="339"/>
    </row>
    <row r="934" spans="2:5" ht="12.75">
      <c r="B934" s="339"/>
      <c r="C934" s="420"/>
      <c r="D934" s="339"/>
      <c r="E934" s="339"/>
    </row>
    <row r="935" spans="2:5" ht="12.75">
      <c r="B935" s="339"/>
      <c r="C935" s="420"/>
      <c r="D935" s="339"/>
      <c r="E935" s="339"/>
    </row>
    <row r="936" spans="2:5" ht="12.75">
      <c r="B936" s="339"/>
      <c r="C936" s="420"/>
      <c r="D936" s="339"/>
      <c r="E936" s="339"/>
    </row>
    <row r="937" spans="2:5" ht="12.75">
      <c r="B937" s="339"/>
      <c r="C937" s="420"/>
      <c r="D937" s="339"/>
      <c r="E937" s="339"/>
    </row>
    <row r="938" spans="2:5" ht="12.75">
      <c r="B938" s="339"/>
      <c r="C938" s="420"/>
      <c r="D938" s="339"/>
      <c r="E938" s="339"/>
    </row>
    <row r="939" spans="2:5" ht="12.75">
      <c r="B939" s="339"/>
      <c r="C939" s="420"/>
      <c r="D939" s="339"/>
      <c r="E939" s="339"/>
    </row>
    <row r="940" spans="2:5" ht="12.75">
      <c r="B940" s="339"/>
      <c r="C940" s="420"/>
      <c r="D940" s="339"/>
      <c r="E940" s="339"/>
    </row>
    <row r="941" spans="2:5" ht="12.75">
      <c r="B941" s="339"/>
      <c r="C941" s="420"/>
      <c r="D941" s="339"/>
      <c r="E941" s="339"/>
    </row>
    <row r="942" spans="2:5" ht="12.75">
      <c r="B942" s="339"/>
      <c r="C942" s="420"/>
      <c r="D942" s="339"/>
      <c r="E942" s="339"/>
    </row>
    <row r="943" spans="2:5" ht="12.75">
      <c r="B943" s="339"/>
      <c r="C943" s="420"/>
      <c r="D943" s="339"/>
      <c r="E943" s="339"/>
    </row>
    <row r="944" spans="2:5" ht="12.75">
      <c r="B944" s="339"/>
      <c r="C944" s="420"/>
      <c r="D944" s="339"/>
      <c r="E944" s="339"/>
    </row>
    <row r="945" spans="2:5" ht="12.75">
      <c r="B945" s="339"/>
      <c r="C945" s="420"/>
      <c r="D945" s="339"/>
      <c r="E945" s="339"/>
    </row>
    <row r="946" spans="2:5" ht="12.75">
      <c r="B946" s="339"/>
      <c r="C946" s="420"/>
      <c r="D946" s="339"/>
      <c r="E946" s="339"/>
    </row>
    <row r="947" spans="2:5" ht="12.75">
      <c r="B947" s="339"/>
      <c r="C947" s="420"/>
      <c r="D947" s="339"/>
      <c r="E947" s="339"/>
    </row>
    <row r="948" spans="2:5" ht="12.75">
      <c r="B948" s="339"/>
      <c r="C948" s="420"/>
      <c r="D948" s="339"/>
      <c r="E948" s="339"/>
    </row>
    <row r="949" spans="2:5" ht="12.75">
      <c r="B949" s="339"/>
      <c r="C949" s="420"/>
      <c r="D949" s="339"/>
      <c r="E949" s="339"/>
    </row>
    <row r="950" spans="2:5" ht="12.75">
      <c r="B950" s="339"/>
      <c r="C950" s="420"/>
      <c r="D950" s="339"/>
      <c r="E950" s="339"/>
    </row>
    <row r="951" spans="2:5" ht="12.75">
      <c r="B951" s="339"/>
      <c r="C951" s="420"/>
      <c r="D951" s="339"/>
      <c r="E951" s="339"/>
    </row>
    <row r="952" spans="2:5" ht="12.75">
      <c r="B952" s="339"/>
      <c r="C952" s="420"/>
      <c r="D952" s="339"/>
      <c r="E952" s="339"/>
    </row>
    <row r="953" spans="2:5" ht="12.75">
      <c r="B953" s="339"/>
      <c r="C953" s="420"/>
      <c r="D953" s="339"/>
      <c r="E953" s="339"/>
    </row>
    <row r="954" spans="2:5" ht="12.75">
      <c r="B954" s="339"/>
      <c r="C954" s="420"/>
      <c r="D954" s="339"/>
      <c r="E954" s="339"/>
    </row>
    <row r="955" spans="2:5" ht="12.75">
      <c r="B955" s="339"/>
      <c r="C955" s="420"/>
      <c r="D955" s="339"/>
      <c r="E955" s="339"/>
    </row>
    <row r="956" spans="2:5" ht="12.75">
      <c r="B956" s="339"/>
      <c r="C956" s="420"/>
      <c r="D956" s="339"/>
      <c r="E956" s="339"/>
    </row>
    <row r="957" spans="2:5" ht="12.75">
      <c r="B957" s="339"/>
      <c r="C957" s="420"/>
      <c r="D957" s="339"/>
      <c r="E957" s="339"/>
    </row>
    <row r="958" spans="2:5" ht="12.75">
      <c r="B958" s="339"/>
      <c r="C958" s="420"/>
      <c r="D958" s="339"/>
      <c r="E958" s="339"/>
    </row>
    <row r="959" spans="2:5" ht="12.75">
      <c r="B959" s="339"/>
      <c r="C959" s="420"/>
      <c r="D959" s="339"/>
      <c r="E959" s="339"/>
    </row>
    <row r="960" spans="2:5" ht="12.75">
      <c r="B960" s="339"/>
      <c r="C960" s="420"/>
      <c r="D960" s="339"/>
      <c r="E960" s="339"/>
    </row>
    <row r="961" spans="2:5" ht="12.75">
      <c r="B961" s="339"/>
      <c r="C961" s="420"/>
      <c r="D961" s="339"/>
      <c r="E961" s="339"/>
    </row>
    <row r="962" spans="2:5" ht="12.75">
      <c r="B962" s="339"/>
      <c r="C962" s="420"/>
      <c r="D962" s="339"/>
      <c r="E962" s="339"/>
    </row>
    <row r="963" spans="2:5" ht="12.75">
      <c r="B963" s="339"/>
      <c r="C963" s="420"/>
      <c r="D963" s="339"/>
      <c r="E963" s="339"/>
    </row>
    <row r="964" spans="2:5" ht="12.75">
      <c r="B964" s="339"/>
      <c r="C964" s="420"/>
      <c r="D964" s="339"/>
      <c r="E964" s="339"/>
    </row>
    <row r="965" spans="2:5" ht="12.75">
      <c r="B965" s="339"/>
      <c r="C965" s="420"/>
      <c r="D965" s="339"/>
      <c r="E965" s="339"/>
    </row>
    <row r="966" spans="2:5" ht="12.75">
      <c r="B966" s="339"/>
      <c r="C966" s="420"/>
      <c r="D966" s="339"/>
      <c r="E966" s="339"/>
    </row>
    <row r="967" spans="2:5" ht="12.75">
      <c r="B967" s="339"/>
      <c r="C967" s="420"/>
      <c r="D967" s="339"/>
      <c r="E967" s="339"/>
    </row>
    <row r="968" spans="2:5" ht="12.75">
      <c r="B968" s="339"/>
      <c r="C968" s="420"/>
      <c r="D968" s="339"/>
      <c r="E968" s="339"/>
    </row>
    <row r="969" spans="2:5" ht="12.75">
      <c r="B969" s="339"/>
      <c r="C969" s="420"/>
      <c r="D969" s="339"/>
      <c r="E969" s="339"/>
    </row>
    <row r="970" spans="2:5" ht="12.75">
      <c r="B970" s="339"/>
      <c r="C970" s="420"/>
      <c r="D970" s="339"/>
      <c r="E970" s="339"/>
    </row>
    <row r="971" spans="2:5" ht="12.75">
      <c r="B971" s="339"/>
      <c r="C971" s="420"/>
      <c r="D971" s="339"/>
      <c r="E971" s="339"/>
    </row>
    <row r="972" spans="2:5" ht="12.75">
      <c r="B972" s="339"/>
      <c r="C972" s="420"/>
      <c r="D972" s="339"/>
      <c r="E972" s="339"/>
    </row>
    <row r="973" spans="2:5" ht="12.75">
      <c r="B973" s="339"/>
      <c r="C973" s="420"/>
      <c r="D973" s="339"/>
      <c r="E973" s="339"/>
    </row>
    <row r="974" spans="2:5" ht="12.75">
      <c r="B974" s="339"/>
      <c r="C974" s="420"/>
      <c r="D974" s="339"/>
      <c r="E974" s="339"/>
    </row>
    <row r="975" spans="2:5" ht="12.75">
      <c r="B975" s="339"/>
      <c r="C975" s="420"/>
      <c r="D975" s="339"/>
      <c r="E975" s="339"/>
    </row>
    <row r="976" spans="2:5" ht="12.75">
      <c r="B976" s="339"/>
      <c r="C976" s="420"/>
      <c r="D976" s="339"/>
      <c r="E976" s="339"/>
    </row>
    <row r="977" spans="2:5" ht="12.75">
      <c r="B977" s="339"/>
      <c r="C977" s="420"/>
      <c r="D977" s="339"/>
      <c r="E977" s="339"/>
    </row>
    <row r="978" spans="2:5" ht="12.75">
      <c r="B978" s="339"/>
      <c r="C978" s="420"/>
      <c r="D978" s="339"/>
      <c r="E978" s="339"/>
    </row>
    <row r="979" spans="2:5" ht="12.75">
      <c r="B979" s="339"/>
      <c r="C979" s="420"/>
      <c r="D979" s="339"/>
      <c r="E979" s="339"/>
    </row>
    <row r="980" spans="2:5" ht="12.75">
      <c r="B980" s="339"/>
      <c r="C980" s="420"/>
      <c r="D980" s="339"/>
      <c r="E980" s="339"/>
    </row>
    <row r="981" spans="2:5" ht="12.75">
      <c r="B981" s="339"/>
      <c r="C981" s="420"/>
      <c r="D981" s="339"/>
      <c r="E981" s="339"/>
    </row>
    <row r="982" spans="2:5" ht="12.75">
      <c r="B982" s="339"/>
      <c r="C982" s="420"/>
      <c r="D982" s="339"/>
      <c r="E982" s="339"/>
    </row>
    <row r="983" spans="2:5" ht="12.75">
      <c r="B983" s="339"/>
      <c r="C983" s="420"/>
      <c r="D983" s="339"/>
      <c r="E983" s="339"/>
    </row>
    <row r="984" spans="2:5" ht="12.75">
      <c r="B984" s="339"/>
      <c r="C984" s="420"/>
      <c r="D984" s="339"/>
      <c r="E984" s="339"/>
    </row>
    <row r="985" spans="2:5" ht="12.75">
      <c r="B985" s="339"/>
      <c r="C985" s="420"/>
      <c r="D985" s="339"/>
      <c r="E985" s="339"/>
    </row>
    <row r="986" spans="2:5" ht="12.75">
      <c r="B986" s="339"/>
      <c r="C986" s="420"/>
      <c r="D986" s="339"/>
      <c r="E986" s="339"/>
    </row>
    <row r="987" spans="2:5" ht="12.75">
      <c r="B987" s="339"/>
      <c r="C987" s="420"/>
      <c r="D987" s="339"/>
      <c r="E987" s="339"/>
    </row>
    <row r="988" spans="2:5" ht="12.75">
      <c r="B988" s="339"/>
      <c r="C988" s="420"/>
      <c r="D988" s="339"/>
      <c r="E988" s="339"/>
    </row>
    <row r="989" spans="2:5" ht="12.75">
      <c r="B989" s="339"/>
      <c r="C989" s="420"/>
      <c r="D989" s="339"/>
      <c r="E989" s="339"/>
    </row>
    <row r="990" spans="2:5" ht="12.75">
      <c r="B990" s="339"/>
      <c r="C990" s="420"/>
      <c r="D990" s="339"/>
      <c r="E990" s="339"/>
    </row>
    <row r="991" spans="2:5" ht="12.75">
      <c r="B991" s="339"/>
      <c r="C991" s="420"/>
      <c r="D991" s="339"/>
      <c r="E991" s="339"/>
    </row>
    <row r="992" spans="2:5" ht="12.75">
      <c r="B992" s="339"/>
      <c r="C992" s="420"/>
      <c r="D992" s="339"/>
      <c r="E992" s="339"/>
    </row>
    <row r="993" spans="2:5" ht="12.75">
      <c r="B993" s="339"/>
      <c r="C993" s="420"/>
      <c r="D993" s="339"/>
      <c r="E993" s="339"/>
    </row>
    <row r="994" spans="2:5" ht="12.75">
      <c r="B994" s="339"/>
      <c r="C994" s="420"/>
      <c r="D994" s="339"/>
      <c r="E994" s="339"/>
    </row>
    <row r="995" spans="2:5" ht="12.75">
      <c r="B995" s="339"/>
      <c r="C995" s="420"/>
      <c r="D995" s="339"/>
      <c r="E995" s="339"/>
    </row>
    <row r="996" spans="2:5" ht="12.75">
      <c r="B996" s="339"/>
      <c r="C996" s="420"/>
      <c r="D996" s="339"/>
      <c r="E996" s="339"/>
    </row>
    <row r="997" spans="2:5" ht="12.75">
      <c r="B997" s="339"/>
      <c r="C997" s="420"/>
      <c r="D997" s="339"/>
      <c r="E997" s="339"/>
    </row>
    <row r="998" spans="2:5" ht="12.75">
      <c r="B998" s="339"/>
      <c r="C998" s="420"/>
      <c r="D998" s="339"/>
      <c r="E998" s="339"/>
    </row>
    <row r="999" spans="2:5" ht="12.75">
      <c r="B999" s="339"/>
      <c r="C999" s="420"/>
      <c r="D999" s="339"/>
      <c r="E999" s="339"/>
    </row>
    <row r="1000" spans="2:5" ht="12.75">
      <c r="B1000" s="339"/>
      <c r="C1000" s="420"/>
      <c r="D1000" s="339"/>
      <c r="E1000" s="339"/>
    </row>
    <row r="1001" spans="2:5" ht="12.75">
      <c r="B1001" s="339"/>
      <c r="C1001" s="420"/>
      <c r="D1001" s="339"/>
      <c r="E1001" s="339"/>
    </row>
    <row r="1002" spans="2:5" ht="12.75">
      <c r="B1002" s="339"/>
      <c r="C1002" s="420"/>
      <c r="D1002" s="339"/>
      <c r="E1002" s="339"/>
    </row>
    <row r="1003" spans="2:5" ht="12.75">
      <c r="B1003" s="339"/>
      <c r="C1003" s="420"/>
      <c r="D1003" s="339"/>
      <c r="E1003" s="339"/>
    </row>
    <row r="1004" spans="2:5" ht="12.75">
      <c r="B1004" s="339"/>
      <c r="C1004" s="420"/>
      <c r="D1004" s="339"/>
      <c r="E1004" s="339"/>
    </row>
    <row r="1005" spans="2:5" ht="12.75">
      <c r="B1005" s="339"/>
      <c r="C1005" s="420"/>
      <c r="D1005" s="339"/>
      <c r="E1005" s="339"/>
    </row>
    <row r="1006" spans="2:5" ht="12.75">
      <c r="B1006" s="339"/>
      <c r="C1006" s="420"/>
      <c r="D1006" s="339"/>
      <c r="E1006" s="339"/>
    </row>
    <row r="1007" spans="2:5" ht="12.75">
      <c r="B1007" s="339"/>
      <c r="C1007" s="420"/>
      <c r="D1007" s="339"/>
      <c r="E1007" s="339"/>
    </row>
    <row r="1008" spans="2:5" ht="12.75">
      <c r="B1008" s="339"/>
      <c r="C1008" s="420"/>
      <c r="D1008" s="339"/>
      <c r="E1008" s="339"/>
    </row>
    <row r="1009" spans="2:5" ht="12.75">
      <c r="B1009" s="339"/>
      <c r="C1009" s="420"/>
      <c r="D1009" s="339"/>
      <c r="E1009" s="339"/>
    </row>
    <row r="1010" spans="2:5" ht="12.75">
      <c r="B1010" s="339"/>
      <c r="C1010" s="420"/>
      <c r="D1010" s="339"/>
      <c r="E1010" s="339"/>
    </row>
    <row r="1011" spans="2:5" ht="12.75">
      <c r="B1011" s="339"/>
      <c r="C1011" s="420"/>
      <c r="D1011" s="339"/>
      <c r="E1011" s="339"/>
    </row>
    <row r="1012" spans="2:5" ht="12.75">
      <c r="B1012" s="339"/>
      <c r="C1012" s="420"/>
      <c r="D1012" s="339"/>
      <c r="E1012" s="339"/>
    </row>
    <row r="1013" spans="2:5" ht="12.75">
      <c r="B1013" s="339"/>
      <c r="C1013" s="420"/>
      <c r="D1013" s="339"/>
      <c r="E1013" s="339"/>
    </row>
    <row r="1014" spans="2:5" ht="12.75">
      <c r="B1014" s="339"/>
      <c r="C1014" s="420"/>
      <c r="D1014" s="339"/>
      <c r="E1014" s="339"/>
    </row>
    <row r="1015" spans="2:5" ht="12.75">
      <c r="B1015" s="339"/>
      <c r="C1015" s="420"/>
      <c r="D1015" s="339"/>
      <c r="E1015" s="339"/>
    </row>
    <row r="1016" spans="2:5" ht="12.75">
      <c r="B1016" s="339"/>
      <c r="C1016" s="420"/>
      <c r="D1016" s="339"/>
      <c r="E1016" s="339"/>
    </row>
    <row r="1017" spans="2:5" ht="12.75">
      <c r="B1017" s="339"/>
      <c r="C1017" s="420"/>
      <c r="D1017" s="339"/>
      <c r="E1017" s="339"/>
    </row>
    <row r="1018" spans="2:5" ht="12.75">
      <c r="B1018" s="339"/>
      <c r="C1018" s="420"/>
      <c r="D1018" s="339"/>
      <c r="E1018" s="339"/>
    </row>
    <row r="1019" spans="2:5" ht="12.75">
      <c r="B1019" s="339"/>
      <c r="C1019" s="420"/>
      <c r="D1019" s="339"/>
      <c r="E1019" s="339"/>
    </row>
    <row r="1020" spans="2:5" ht="12.75">
      <c r="B1020" s="339"/>
      <c r="C1020" s="420"/>
      <c r="D1020" s="339"/>
      <c r="E1020" s="339"/>
    </row>
    <row r="1021" spans="2:5" ht="12.75">
      <c r="B1021" s="339"/>
      <c r="C1021" s="420"/>
      <c r="D1021" s="339"/>
      <c r="E1021" s="339"/>
    </row>
    <row r="1022" spans="2:5" ht="12.75">
      <c r="B1022" s="339"/>
      <c r="C1022" s="420"/>
      <c r="D1022" s="339"/>
      <c r="E1022" s="339"/>
    </row>
    <row r="1023" spans="2:5" ht="12.75">
      <c r="B1023" s="339"/>
      <c r="C1023" s="420"/>
      <c r="D1023" s="339"/>
      <c r="E1023" s="339"/>
    </row>
    <row r="1024" spans="2:5" ht="12.75">
      <c r="B1024" s="339"/>
      <c r="C1024" s="420"/>
      <c r="D1024" s="339"/>
      <c r="E1024" s="339"/>
    </row>
    <row r="1025" spans="2:5" ht="12.75">
      <c r="B1025" s="339"/>
      <c r="C1025" s="420"/>
      <c r="D1025" s="339"/>
      <c r="E1025" s="339"/>
    </row>
    <row r="1026" spans="2:5" ht="12.75">
      <c r="B1026" s="339"/>
      <c r="C1026" s="420"/>
      <c r="D1026" s="339"/>
      <c r="E1026" s="339"/>
    </row>
    <row r="1027" spans="2:5" ht="12.75">
      <c r="B1027" s="339"/>
      <c r="C1027" s="420"/>
      <c r="D1027" s="339"/>
      <c r="E1027" s="339"/>
    </row>
    <row r="1028" spans="2:5" ht="12.75">
      <c r="B1028" s="339"/>
      <c r="C1028" s="420"/>
      <c r="D1028" s="339"/>
      <c r="E1028" s="339"/>
    </row>
    <row r="1029" spans="2:5" ht="12.75">
      <c r="B1029" s="339"/>
      <c r="C1029" s="420"/>
      <c r="D1029" s="339"/>
      <c r="E1029" s="339"/>
    </row>
    <row r="1030" spans="2:5" ht="12.75">
      <c r="B1030" s="339"/>
      <c r="C1030" s="420"/>
      <c r="D1030" s="339"/>
      <c r="E1030" s="339"/>
    </row>
    <row r="1031" spans="2:5" ht="12.75">
      <c r="B1031" s="339"/>
      <c r="C1031" s="420"/>
      <c r="D1031" s="339"/>
      <c r="E1031" s="339"/>
    </row>
    <row r="1032" spans="2:5" ht="12.75">
      <c r="B1032" s="339"/>
      <c r="C1032" s="420"/>
      <c r="D1032" s="339"/>
      <c r="E1032" s="339"/>
    </row>
    <row r="1033" spans="2:5" ht="12.75">
      <c r="B1033" s="339"/>
      <c r="C1033" s="420"/>
      <c r="D1033" s="339"/>
      <c r="E1033" s="339"/>
    </row>
    <row r="1034" spans="2:5" ht="12.75">
      <c r="B1034" s="339"/>
      <c r="C1034" s="420"/>
      <c r="D1034" s="339"/>
      <c r="E1034" s="339"/>
    </row>
    <row r="1035" spans="2:5" ht="12.75">
      <c r="B1035" s="339"/>
      <c r="C1035" s="420"/>
      <c r="D1035" s="339"/>
      <c r="E1035" s="339"/>
    </row>
    <row r="1036" spans="2:5" ht="12.75">
      <c r="B1036" s="339"/>
      <c r="C1036" s="420"/>
      <c r="D1036" s="339"/>
      <c r="E1036" s="339"/>
    </row>
    <row r="1037" spans="2:5" ht="12.75">
      <c r="B1037" s="339"/>
      <c r="C1037" s="420"/>
      <c r="D1037" s="339"/>
      <c r="E1037" s="339"/>
    </row>
    <row r="1038" spans="2:5" ht="12.75">
      <c r="B1038" s="339"/>
      <c r="C1038" s="420"/>
      <c r="D1038" s="339"/>
      <c r="E1038" s="339"/>
    </row>
    <row r="1039" spans="2:5" ht="12.75">
      <c r="B1039" s="339"/>
      <c r="C1039" s="420"/>
      <c r="D1039" s="339"/>
      <c r="E1039" s="339"/>
    </row>
    <row r="1040" spans="2:5" ht="12.75">
      <c r="B1040" s="339"/>
      <c r="C1040" s="420"/>
      <c r="D1040" s="339"/>
      <c r="E1040" s="339"/>
    </row>
    <row r="1041" spans="2:5" ht="12.75">
      <c r="B1041" s="339"/>
      <c r="C1041" s="420"/>
      <c r="D1041" s="339"/>
      <c r="E1041" s="339"/>
    </row>
    <row r="1042" spans="2:5" ht="12.75">
      <c r="B1042" s="339"/>
      <c r="C1042" s="420"/>
      <c r="D1042" s="339"/>
      <c r="E1042" s="339"/>
    </row>
    <row r="1043" spans="2:5" ht="12.75">
      <c r="B1043" s="339"/>
      <c r="C1043" s="420"/>
      <c r="D1043" s="339"/>
      <c r="E1043" s="339"/>
    </row>
    <row r="1044" spans="2:5" ht="12.75">
      <c r="B1044" s="339"/>
      <c r="C1044" s="420"/>
      <c r="D1044" s="339"/>
      <c r="E1044" s="339"/>
    </row>
    <row r="1045" spans="2:5" ht="12.75">
      <c r="B1045" s="339"/>
      <c r="C1045" s="420"/>
      <c r="D1045" s="339"/>
      <c r="E1045" s="339"/>
    </row>
    <row r="1046" spans="2:5" ht="12.75">
      <c r="B1046" s="339"/>
      <c r="C1046" s="420"/>
      <c r="D1046" s="339"/>
      <c r="E1046" s="339"/>
    </row>
    <row r="1047" spans="2:5" ht="12.75">
      <c r="B1047" s="339"/>
      <c r="C1047" s="420"/>
      <c r="D1047" s="339"/>
      <c r="E1047" s="339"/>
    </row>
    <row r="1048" spans="2:5" ht="12.75">
      <c r="B1048" s="339"/>
      <c r="C1048" s="420"/>
      <c r="D1048" s="339"/>
      <c r="E1048" s="339"/>
    </row>
    <row r="1049" spans="2:5" ht="12.75">
      <c r="B1049" s="339"/>
      <c r="C1049" s="420"/>
      <c r="D1049" s="339"/>
      <c r="E1049" s="339"/>
    </row>
    <row r="1050" spans="2:5" ht="12.75">
      <c r="B1050" s="339"/>
      <c r="C1050" s="420"/>
      <c r="D1050" s="339"/>
      <c r="E1050" s="339"/>
    </row>
    <row r="1051" spans="2:5" ht="12.75">
      <c r="B1051" s="339"/>
      <c r="C1051" s="420"/>
      <c r="D1051" s="339"/>
      <c r="E1051" s="339"/>
    </row>
    <row r="1052" spans="2:5" ht="12.75">
      <c r="B1052" s="339"/>
      <c r="C1052" s="420"/>
      <c r="D1052" s="339"/>
      <c r="E1052" s="339"/>
    </row>
    <row r="1053" spans="2:5" ht="12.75">
      <c r="B1053" s="339"/>
      <c r="C1053" s="420"/>
      <c r="D1053" s="339"/>
      <c r="E1053" s="339"/>
    </row>
    <row r="1054" spans="2:5" ht="12.75">
      <c r="B1054" s="339"/>
      <c r="C1054" s="420"/>
      <c r="D1054" s="339"/>
      <c r="E1054" s="339"/>
    </row>
    <row r="1055" spans="2:5" ht="12.75">
      <c r="B1055" s="339"/>
      <c r="C1055" s="420"/>
      <c r="D1055" s="339"/>
      <c r="E1055" s="339"/>
    </row>
    <row r="1056" spans="2:5" ht="12.75">
      <c r="B1056" s="339"/>
      <c r="C1056" s="420"/>
      <c r="D1056" s="339"/>
      <c r="E1056" s="339"/>
    </row>
    <row r="1057" spans="2:5" ht="12.75">
      <c r="B1057" s="339"/>
      <c r="C1057" s="420"/>
      <c r="D1057" s="339"/>
      <c r="E1057" s="339"/>
    </row>
    <row r="1058" spans="2:5" ht="12.75">
      <c r="B1058" s="339"/>
      <c r="C1058" s="420"/>
      <c r="D1058" s="339"/>
      <c r="E1058" s="339"/>
    </row>
    <row r="1059" spans="2:5" ht="12.75">
      <c r="B1059" s="339"/>
      <c r="C1059" s="420"/>
      <c r="D1059" s="339"/>
      <c r="E1059" s="339"/>
    </row>
    <row r="1060" spans="2:5" ht="12.75">
      <c r="B1060" s="339"/>
      <c r="C1060" s="420"/>
      <c r="D1060" s="339"/>
      <c r="E1060" s="339"/>
    </row>
    <row r="1061" spans="2:5" ht="12.75">
      <c r="B1061" s="339"/>
      <c r="C1061" s="420"/>
      <c r="D1061" s="339"/>
      <c r="E1061" s="339"/>
    </row>
    <row r="1062" spans="2:5" ht="12.75">
      <c r="B1062" s="339"/>
      <c r="C1062" s="420"/>
      <c r="D1062" s="339"/>
      <c r="E1062" s="339"/>
    </row>
    <row r="1063" spans="2:5" ht="12.75">
      <c r="B1063" s="339"/>
      <c r="C1063" s="420"/>
      <c r="D1063" s="339"/>
      <c r="E1063" s="339"/>
    </row>
    <row r="1064" spans="2:5" ht="12.75">
      <c r="B1064" s="339"/>
      <c r="C1064" s="420"/>
      <c r="D1064" s="339"/>
      <c r="E1064" s="339"/>
    </row>
    <row r="1065" spans="2:5" ht="12.75">
      <c r="B1065" s="339"/>
      <c r="C1065" s="420"/>
      <c r="D1065" s="339"/>
      <c r="E1065" s="339"/>
    </row>
    <row r="1066" spans="2:5" ht="12.75">
      <c r="B1066" s="339"/>
      <c r="C1066" s="420"/>
      <c r="D1066" s="339"/>
      <c r="E1066" s="339"/>
    </row>
    <row r="1067" spans="2:5" ht="12.75">
      <c r="B1067" s="339"/>
      <c r="C1067" s="420"/>
      <c r="D1067" s="339"/>
      <c r="E1067" s="339"/>
    </row>
    <row r="1068" spans="2:5" ht="12.75">
      <c r="B1068" s="339"/>
      <c r="C1068" s="420"/>
      <c r="D1068" s="339"/>
      <c r="E1068" s="339"/>
    </row>
    <row r="1069" spans="2:5" ht="12.75">
      <c r="B1069" s="339"/>
      <c r="C1069" s="420"/>
      <c r="D1069" s="339"/>
      <c r="E1069" s="339"/>
    </row>
    <row r="1070" spans="2:5" ht="12.75">
      <c r="B1070" s="339"/>
      <c r="C1070" s="420"/>
      <c r="D1070" s="339"/>
      <c r="E1070" s="339"/>
    </row>
    <row r="1071" spans="2:5" ht="12.75">
      <c r="B1071" s="339"/>
      <c r="C1071" s="420"/>
      <c r="D1071" s="339"/>
      <c r="E1071" s="339"/>
    </row>
    <row r="1072" spans="2:5" ht="12.75">
      <c r="B1072" s="339"/>
      <c r="C1072" s="420"/>
      <c r="D1072" s="339"/>
      <c r="E1072" s="339"/>
    </row>
    <row r="1073" spans="2:5" ht="12.75">
      <c r="B1073" s="339"/>
      <c r="C1073" s="420"/>
      <c r="D1073" s="339"/>
      <c r="E1073" s="339"/>
    </row>
    <row r="1074" spans="2:5" ht="12.75">
      <c r="B1074" s="339"/>
      <c r="C1074" s="420"/>
      <c r="D1074" s="339"/>
      <c r="E1074" s="339"/>
    </row>
    <row r="1075" spans="2:5" ht="12.75">
      <c r="B1075" s="339"/>
      <c r="C1075" s="420"/>
      <c r="D1075" s="339"/>
      <c r="E1075" s="339"/>
    </row>
    <row r="1076" spans="2:5" ht="12.75">
      <c r="B1076" s="339"/>
      <c r="C1076" s="420"/>
      <c r="D1076" s="339"/>
      <c r="E1076" s="339"/>
    </row>
    <row r="1077" spans="2:5" ht="12.75">
      <c r="B1077" s="339"/>
      <c r="C1077" s="420"/>
      <c r="D1077" s="339"/>
      <c r="E1077" s="339"/>
    </row>
    <row r="1078" spans="2:5" ht="12.75">
      <c r="B1078" s="339"/>
      <c r="C1078" s="420"/>
      <c r="D1078" s="339"/>
      <c r="E1078" s="339"/>
    </row>
    <row r="1079" spans="2:5" ht="12.75">
      <c r="B1079" s="339"/>
      <c r="C1079" s="420"/>
      <c r="D1079" s="339"/>
      <c r="E1079" s="339"/>
    </row>
    <row r="1080" spans="2:5" ht="12.75">
      <c r="B1080" s="339"/>
      <c r="C1080" s="420"/>
      <c r="D1080" s="339"/>
      <c r="E1080" s="339"/>
    </row>
    <row r="1081" spans="2:5" ht="12.75">
      <c r="B1081" s="339"/>
      <c r="C1081" s="420"/>
      <c r="D1081" s="339"/>
      <c r="E1081" s="339"/>
    </row>
    <row r="1082" spans="2:5" ht="12.75">
      <c r="B1082" s="339"/>
      <c r="C1082" s="420"/>
      <c r="D1082" s="339"/>
      <c r="E1082" s="339"/>
    </row>
    <row r="1083" spans="2:5" ht="12.75">
      <c r="B1083" s="339"/>
      <c r="C1083" s="420"/>
      <c r="D1083" s="339"/>
      <c r="E1083" s="339"/>
    </row>
    <row r="1084" spans="2:5" ht="12.75">
      <c r="B1084" s="339"/>
      <c r="C1084" s="420"/>
      <c r="D1084" s="339"/>
      <c r="E1084" s="339"/>
    </row>
    <row r="1085" spans="2:5" ht="12.75">
      <c r="B1085" s="339"/>
      <c r="C1085" s="420"/>
      <c r="D1085" s="339"/>
      <c r="E1085" s="339"/>
    </row>
    <row r="1086" spans="2:5" ht="12.75">
      <c r="B1086" s="339"/>
      <c r="C1086" s="420"/>
      <c r="D1086" s="339"/>
      <c r="E1086" s="339"/>
    </row>
    <row r="1087" spans="2:5" ht="12.75">
      <c r="B1087" s="339"/>
      <c r="C1087" s="420"/>
      <c r="D1087" s="339"/>
      <c r="E1087" s="339"/>
    </row>
    <row r="1088" spans="2:5" ht="12.75">
      <c r="B1088" s="339"/>
      <c r="C1088" s="420"/>
      <c r="D1088" s="339"/>
      <c r="E1088" s="339"/>
    </row>
    <row r="1089" spans="2:5" ht="12.75">
      <c r="B1089" s="339"/>
      <c r="C1089" s="420"/>
      <c r="D1089" s="339"/>
      <c r="E1089" s="339"/>
    </row>
    <row r="1090" spans="2:5" ht="12.75">
      <c r="B1090" s="339"/>
      <c r="C1090" s="420"/>
      <c r="D1090" s="339"/>
      <c r="E1090" s="339"/>
    </row>
    <row r="1091" spans="2:5" ht="12.75">
      <c r="B1091" s="339"/>
      <c r="C1091" s="420"/>
      <c r="D1091" s="339"/>
      <c r="E1091" s="339"/>
    </row>
    <row r="1092" spans="2:5" ht="12.75">
      <c r="B1092" s="339"/>
      <c r="C1092" s="420"/>
      <c r="D1092" s="339"/>
      <c r="E1092" s="339"/>
    </row>
    <row r="1093" spans="2:5" ht="12.75">
      <c r="B1093" s="339"/>
      <c r="C1093" s="420"/>
      <c r="D1093" s="339"/>
      <c r="E1093" s="339"/>
    </row>
    <row r="1094" spans="2:5" ht="12.75">
      <c r="B1094" s="339"/>
      <c r="C1094" s="420"/>
      <c r="D1094" s="339"/>
      <c r="E1094" s="339"/>
    </row>
    <row r="1095" spans="2:5" ht="12.75">
      <c r="B1095" s="339"/>
      <c r="C1095" s="420"/>
      <c r="D1095" s="339"/>
      <c r="E1095" s="339"/>
    </row>
    <row r="1096" spans="2:5" ht="12.75">
      <c r="B1096" s="339"/>
      <c r="C1096" s="420"/>
      <c r="D1096" s="339"/>
      <c r="E1096" s="339"/>
    </row>
    <row r="1097" spans="2:5" ht="12.75">
      <c r="B1097" s="339"/>
      <c r="C1097" s="420"/>
      <c r="D1097" s="339"/>
      <c r="E1097" s="339"/>
    </row>
    <row r="1098" spans="2:5" ht="12.75">
      <c r="B1098" s="339"/>
      <c r="C1098" s="420"/>
      <c r="D1098" s="339"/>
      <c r="E1098" s="339"/>
    </row>
    <row r="1099" spans="2:5" ht="12.75">
      <c r="B1099" s="339"/>
      <c r="C1099" s="420"/>
      <c r="D1099" s="339"/>
      <c r="E1099" s="339"/>
    </row>
    <row r="1100" spans="2:5" ht="12.75">
      <c r="B1100" s="339"/>
      <c r="C1100" s="420"/>
      <c r="D1100" s="339"/>
      <c r="E1100" s="339"/>
    </row>
    <row r="1101" spans="2:5" ht="12.75">
      <c r="B1101" s="339"/>
      <c r="C1101" s="420"/>
      <c r="D1101" s="339"/>
      <c r="E1101" s="339"/>
    </row>
    <row r="1102" spans="2:5" ht="12.75">
      <c r="B1102" s="339"/>
      <c r="C1102" s="420"/>
      <c r="D1102" s="339"/>
      <c r="E1102" s="339"/>
    </row>
    <row r="1103" spans="2:5" ht="12.75">
      <c r="B1103" s="339"/>
      <c r="C1103" s="420"/>
      <c r="D1103" s="339"/>
      <c r="E1103" s="339"/>
    </row>
    <row r="1104" spans="2:5" ht="12.75">
      <c r="B1104" s="339"/>
      <c r="C1104" s="420"/>
      <c r="D1104" s="339"/>
      <c r="E1104" s="339"/>
    </row>
    <row r="1105" spans="2:5" ht="12.75">
      <c r="B1105" s="339"/>
      <c r="C1105" s="420"/>
      <c r="D1105" s="339"/>
      <c r="E1105" s="339"/>
    </row>
    <row r="1106" spans="2:5" ht="12.75">
      <c r="B1106" s="339"/>
      <c r="C1106" s="420"/>
      <c r="D1106" s="339"/>
      <c r="E1106" s="339"/>
    </row>
    <row r="1107" spans="2:5" ht="12.75">
      <c r="B1107" s="339"/>
      <c r="C1107" s="420"/>
      <c r="D1107" s="339"/>
      <c r="E1107" s="339"/>
    </row>
    <row r="1108" spans="2:5" ht="12.75">
      <c r="B1108" s="339"/>
      <c r="C1108" s="420"/>
      <c r="D1108" s="339"/>
      <c r="E1108" s="339"/>
    </row>
    <row r="1109" spans="2:5" ht="12.75">
      <c r="B1109" s="339"/>
      <c r="C1109" s="420"/>
      <c r="D1109" s="339"/>
      <c r="E1109" s="339"/>
    </row>
    <row r="1110" spans="2:5" ht="12.75">
      <c r="B1110" s="339"/>
      <c r="C1110" s="420"/>
      <c r="D1110" s="339"/>
      <c r="E1110" s="339"/>
    </row>
    <row r="1111" spans="2:5" ht="12.75">
      <c r="B1111" s="339"/>
      <c r="C1111" s="420"/>
      <c r="D1111" s="339"/>
      <c r="E1111" s="339"/>
    </row>
    <row r="1112" spans="2:5" ht="12.75">
      <c r="B1112" s="339"/>
      <c r="C1112" s="420"/>
      <c r="D1112" s="339"/>
      <c r="E1112" s="339"/>
    </row>
    <row r="1113" spans="2:5" ht="12.75">
      <c r="B1113" s="339"/>
      <c r="C1113" s="420"/>
      <c r="D1113" s="339"/>
      <c r="E1113" s="339"/>
    </row>
    <row r="1114" spans="2:5" ht="12.75">
      <c r="B1114" s="339"/>
      <c r="C1114" s="420"/>
      <c r="D1114" s="339"/>
      <c r="E1114" s="339"/>
    </row>
    <row r="1115" spans="2:5" ht="12.75">
      <c r="B1115" s="339"/>
      <c r="C1115" s="420"/>
      <c r="D1115" s="339"/>
      <c r="E1115" s="339"/>
    </row>
    <row r="1116" spans="2:5" ht="12.75">
      <c r="B1116" s="339"/>
      <c r="C1116" s="420"/>
      <c r="D1116" s="339"/>
      <c r="E1116" s="339"/>
    </row>
    <row r="1117" spans="2:5" ht="12.75">
      <c r="B1117" s="339"/>
      <c r="C1117" s="420"/>
      <c r="D1117" s="339"/>
      <c r="E1117" s="339"/>
    </row>
    <row r="1118" spans="2:5" ht="12.75">
      <c r="B1118" s="339"/>
      <c r="C1118" s="420"/>
      <c r="D1118" s="339"/>
      <c r="E1118" s="339"/>
    </row>
    <row r="1119" spans="2:5" ht="12.75">
      <c r="B1119" s="339"/>
      <c r="C1119" s="420"/>
      <c r="D1119" s="339"/>
      <c r="E1119" s="339"/>
    </row>
    <row r="1120" spans="2:5" ht="12.75">
      <c r="B1120" s="339"/>
      <c r="C1120" s="420"/>
      <c r="D1120" s="339"/>
      <c r="E1120" s="339"/>
    </row>
    <row r="1121" spans="2:5" ht="12.75">
      <c r="B1121" s="339"/>
      <c r="C1121" s="420"/>
      <c r="D1121" s="339"/>
      <c r="E1121" s="339"/>
    </row>
    <row r="1122" spans="2:5" ht="12.75">
      <c r="B1122" s="339"/>
      <c r="C1122" s="420"/>
      <c r="D1122" s="339"/>
      <c r="E1122" s="339"/>
    </row>
    <row r="1123" spans="2:5" ht="12.75">
      <c r="B1123" s="339"/>
      <c r="C1123" s="420"/>
      <c r="D1123" s="339"/>
      <c r="E1123" s="339"/>
    </row>
    <row r="1124" spans="2:5" ht="12.75">
      <c r="B1124" s="339"/>
      <c r="C1124" s="420"/>
      <c r="D1124" s="339"/>
      <c r="E1124" s="339"/>
    </row>
    <row r="1125" spans="2:5" ht="12.75">
      <c r="B1125" s="339"/>
      <c r="C1125" s="420"/>
      <c r="D1125" s="339"/>
      <c r="E1125" s="339"/>
    </row>
    <row r="1126" spans="2:5" ht="12.75">
      <c r="B1126" s="339"/>
      <c r="C1126" s="420"/>
      <c r="D1126" s="339"/>
      <c r="E1126" s="339"/>
    </row>
    <row r="1127" spans="2:5" ht="12.75">
      <c r="B1127" s="339"/>
      <c r="C1127" s="420"/>
      <c r="D1127" s="339"/>
      <c r="E1127" s="339"/>
    </row>
    <row r="1128" spans="2:5" ht="12.75">
      <c r="B1128" s="339"/>
      <c r="C1128" s="420"/>
      <c r="D1128" s="339"/>
      <c r="E1128" s="339"/>
    </row>
    <row r="1129" spans="2:5" ht="12.75">
      <c r="B1129" s="339"/>
      <c r="C1129" s="420"/>
      <c r="D1129" s="339"/>
      <c r="E1129" s="339"/>
    </row>
    <row r="1130" spans="2:5" ht="12.75">
      <c r="B1130" s="339"/>
      <c r="C1130" s="420"/>
      <c r="D1130" s="339"/>
      <c r="E1130" s="339"/>
    </row>
    <row r="1131" spans="2:5" ht="12.75">
      <c r="B1131" s="339"/>
      <c r="C1131" s="420"/>
      <c r="D1131" s="339"/>
      <c r="E1131" s="339"/>
    </row>
    <row r="1132" spans="2:5" ht="12.75">
      <c r="B1132" s="339"/>
      <c r="C1132" s="420"/>
      <c r="D1132" s="339"/>
      <c r="E1132" s="339"/>
    </row>
    <row r="1133" spans="2:5" ht="12.75">
      <c r="B1133" s="339"/>
      <c r="C1133" s="420"/>
      <c r="D1133" s="339"/>
      <c r="E1133" s="339"/>
    </row>
    <row r="1134" spans="2:5" ht="12.75">
      <c r="B1134" s="339"/>
      <c r="C1134" s="420"/>
      <c r="D1134" s="339"/>
      <c r="E1134" s="339"/>
    </row>
    <row r="1135" spans="2:5" ht="12.75">
      <c r="B1135" s="339"/>
      <c r="C1135" s="420"/>
      <c r="D1135" s="339"/>
      <c r="E1135" s="339"/>
    </row>
    <row r="1136" spans="2:5" ht="12.75">
      <c r="B1136" s="339"/>
      <c r="C1136" s="420"/>
      <c r="D1136" s="339"/>
      <c r="E1136" s="339"/>
    </row>
    <row r="1137" spans="2:5" ht="12.75">
      <c r="B1137" s="339"/>
      <c r="C1137" s="420"/>
      <c r="D1137" s="339"/>
      <c r="E1137" s="339"/>
    </row>
    <row r="1138" spans="2:5" ht="12.75">
      <c r="B1138" s="339"/>
      <c r="C1138" s="420"/>
      <c r="D1138" s="339"/>
      <c r="E1138" s="339"/>
    </row>
    <row r="1139" spans="2:5" ht="12.75">
      <c r="B1139" s="339"/>
      <c r="C1139" s="420"/>
      <c r="D1139" s="339"/>
      <c r="E1139" s="339"/>
    </row>
    <row r="1140" spans="2:5" ht="12.75">
      <c r="B1140" s="339"/>
      <c r="C1140" s="420"/>
      <c r="D1140" s="339"/>
      <c r="E1140" s="339"/>
    </row>
    <row r="1141" spans="2:5" ht="12.75">
      <c r="B1141" s="339"/>
      <c r="C1141" s="420"/>
      <c r="D1141" s="339"/>
      <c r="E1141" s="339"/>
    </row>
    <row r="1142" spans="2:5" ht="12.75">
      <c r="B1142" s="339"/>
      <c r="C1142" s="420"/>
      <c r="D1142" s="339"/>
      <c r="E1142" s="339"/>
    </row>
    <row r="1143" spans="2:5" ht="12.75">
      <c r="B1143" s="339"/>
      <c r="C1143" s="420"/>
      <c r="D1143" s="339"/>
      <c r="E1143" s="339"/>
    </row>
    <row r="1144" spans="2:5" ht="12.75">
      <c r="B1144" s="339"/>
      <c r="C1144" s="420"/>
      <c r="D1144" s="339"/>
      <c r="E1144" s="339"/>
    </row>
    <row r="1145" spans="2:5" ht="12.75">
      <c r="B1145" s="339"/>
      <c r="C1145" s="420"/>
      <c r="D1145" s="339"/>
      <c r="E1145" s="339"/>
    </row>
    <row r="1146" spans="2:5" ht="12.75">
      <c r="B1146" s="339"/>
      <c r="C1146" s="420"/>
      <c r="D1146" s="339"/>
      <c r="E1146" s="339"/>
    </row>
    <row r="1147" spans="2:5" ht="12.75">
      <c r="B1147" s="339"/>
      <c r="C1147" s="420"/>
      <c r="D1147" s="339"/>
      <c r="E1147" s="339"/>
    </row>
    <row r="1148" spans="2:5" ht="12.75">
      <c r="B1148" s="339"/>
      <c r="C1148" s="420"/>
      <c r="D1148" s="339"/>
      <c r="E1148" s="339"/>
    </row>
    <row r="1149" spans="2:5" ht="12.75">
      <c r="B1149" s="339"/>
      <c r="C1149" s="420"/>
      <c r="D1149" s="339"/>
      <c r="E1149" s="339"/>
    </row>
    <row r="1150" spans="2:5" ht="12.75">
      <c r="B1150" s="339"/>
      <c r="C1150" s="420"/>
      <c r="D1150" s="339"/>
      <c r="E1150" s="339"/>
    </row>
    <row r="1151" spans="2:5" ht="12.75">
      <c r="B1151" s="339"/>
      <c r="C1151" s="420"/>
      <c r="D1151" s="339"/>
      <c r="E1151" s="339"/>
    </row>
    <row r="1152" spans="2:5" ht="12.75">
      <c r="B1152" s="339"/>
      <c r="C1152" s="420"/>
      <c r="D1152" s="339"/>
      <c r="E1152" s="339"/>
    </row>
    <row r="1153" spans="2:5" ht="12.75">
      <c r="B1153" s="339"/>
      <c r="C1153" s="420"/>
      <c r="D1153" s="339"/>
      <c r="E1153" s="339"/>
    </row>
    <row r="1154" spans="2:5" ht="12.75">
      <c r="B1154" s="339"/>
      <c r="C1154" s="420"/>
      <c r="D1154" s="339"/>
      <c r="E1154" s="339"/>
    </row>
    <row r="1155" spans="2:5" ht="12.75">
      <c r="B1155" s="339"/>
      <c r="C1155" s="420"/>
      <c r="D1155" s="339"/>
      <c r="E1155" s="339"/>
    </row>
    <row r="1156" spans="2:5" ht="12.75">
      <c r="B1156" s="339"/>
      <c r="C1156" s="420"/>
      <c r="D1156" s="339"/>
      <c r="E1156" s="339"/>
    </row>
    <row r="1157" spans="2:5" ht="12.75">
      <c r="B1157" s="339"/>
      <c r="C1157" s="420"/>
      <c r="D1157" s="339"/>
      <c r="E1157" s="339"/>
    </row>
    <row r="1158" spans="2:5" ht="12.75">
      <c r="B1158" s="339"/>
      <c r="C1158" s="420"/>
      <c r="D1158" s="339"/>
      <c r="E1158" s="339"/>
    </row>
    <row r="1159" spans="2:5" ht="12.75">
      <c r="B1159" s="339"/>
      <c r="C1159" s="420"/>
      <c r="D1159" s="339"/>
      <c r="E1159" s="339"/>
    </row>
    <row r="1160" spans="2:5" ht="12.75">
      <c r="B1160" s="339"/>
      <c r="C1160" s="420"/>
      <c r="D1160" s="339"/>
      <c r="E1160" s="339"/>
    </row>
    <row r="1161" spans="2:5" ht="12.75">
      <c r="B1161" s="339"/>
      <c r="C1161" s="420"/>
      <c r="D1161" s="339"/>
      <c r="E1161" s="339"/>
    </row>
    <row r="1162" spans="2:5" ht="12.75">
      <c r="B1162" s="339"/>
      <c r="C1162" s="420"/>
      <c r="D1162" s="339"/>
      <c r="E1162" s="339"/>
    </row>
    <row r="1163" spans="2:5" ht="12.75">
      <c r="B1163" s="339"/>
      <c r="C1163" s="420"/>
      <c r="D1163" s="339"/>
      <c r="E1163" s="339"/>
    </row>
    <row r="1164" spans="2:5" ht="12.75">
      <c r="B1164" s="339"/>
      <c r="C1164" s="420"/>
      <c r="D1164" s="339"/>
      <c r="E1164" s="339"/>
    </row>
    <row r="1165" spans="2:5" ht="12.75">
      <c r="B1165" s="339"/>
      <c r="C1165" s="420"/>
      <c r="D1165" s="339"/>
      <c r="E1165" s="339"/>
    </row>
    <row r="1166" spans="2:5" ht="12.75">
      <c r="B1166" s="339"/>
      <c r="C1166" s="420"/>
      <c r="D1166" s="339"/>
      <c r="E1166" s="339"/>
    </row>
    <row r="1167" spans="2:5" ht="12.75">
      <c r="B1167" s="339"/>
      <c r="C1167" s="420"/>
      <c r="D1167" s="339"/>
      <c r="E1167" s="339"/>
    </row>
    <row r="1168" spans="2:5" ht="12.75">
      <c r="B1168" s="339"/>
      <c r="C1168" s="420"/>
      <c r="D1168" s="339"/>
      <c r="E1168" s="339"/>
    </row>
    <row r="1169" spans="2:5" ht="12.75">
      <c r="B1169" s="339"/>
      <c r="C1169" s="420"/>
      <c r="D1169" s="339"/>
      <c r="E1169" s="339"/>
    </row>
    <row r="1170" spans="2:5" ht="12.75">
      <c r="B1170" s="339"/>
      <c r="C1170" s="420"/>
      <c r="D1170" s="339"/>
      <c r="E1170" s="339"/>
    </row>
    <row r="1171" spans="2:5" ht="12.75">
      <c r="B1171" s="339"/>
      <c r="C1171" s="420"/>
      <c r="D1171" s="339"/>
      <c r="E1171" s="339"/>
    </row>
    <row r="1172" spans="2:5" ht="12.75">
      <c r="B1172" s="339"/>
      <c r="C1172" s="420"/>
      <c r="D1172" s="339"/>
      <c r="E1172" s="339"/>
    </row>
    <row r="1173" spans="2:5" ht="12.75">
      <c r="B1173" s="339"/>
      <c r="C1173" s="420"/>
      <c r="D1173" s="339"/>
      <c r="E1173" s="339"/>
    </row>
    <row r="1174" spans="2:5" ht="12.75">
      <c r="B1174" s="339"/>
      <c r="C1174" s="420"/>
      <c r="D1174" s="339"/>
      <c r="E1174" s="339"/>
    </row>
    <row r="1175" spans="2:5" ht="12.75">
      <c r="B1175" s="339"/>
      <c r="C1175" s="420"/>
      <c r="D1175" s="339"/>
      <c r="E1175" s="339"/>
    </row>
    <row r="1176" spans="2:5" ht="12.75">
      <c r="B1176" s="339"/>
      <c r="C1176" s="420"/>
      <c r="D1176" s="339"/>
      <c r="E1176" s="339"/>
    </row>
    <row r="1177" spans="2:5" ht="12.75">
      <c r="B1177" s="339"/>
      <c r="C1177" s="420"/>
      <c r="D1177" s="339"/>
      <c r="E1177" s="339"/>
    </row>
    <row r="1178" spans="2:5" ht="12.75">
      <c r="B1178" s="339"/>
      <c r="C1178" s="420"/>
      <c r="D1178" s="339"/>
      <c r="E1178" s="339"/>
    </row>
    <row r="1179" spans="2:5" ht="12.75">
      <c r="B1179" s="339"/>
      <c r="C1179" s="420"/>
      <c r="D1179" s="339"/>
      <c r="E1179" s="339"/>
    </row>
    <row r="1180" spans="2:5" ht="12.75">
      <c r="B1180" s="339"/>
      <c r="C1180" s="420"/>
      <c r="D1180" s="339"/>
      <c r="E1180" s="339"/>
    </row>
    <row r="1181" spans="2:5" ht="12.75">
      <c r="B1181" s="339"/>
      <c r="C1181" s="420"/>
      <c r="D1181" s="339"/>
      <c r="E1181" s="339"/>
    </row>
    <row r="1182" spans="2:5" ht="12.75">
      <c r="B1182" s="339"/>
      <c r="C1182" s="420"/>
      <c r="D1182" s="339"/>
      <c r="E1182" s="339"/>
    </row>
    <row r="1183" spans="2:5" ht="12.75">
      <c r="B1183" s="339"/>
      <c r="C1183" s="420"/>
      <c r="D1183" s="339"/>
      <c r="E1183" s="339"/>
    </row>
    <row r="1184" spans="2:5" ht="12.75">
      <c r="B1184" s="339"/>
      <c r="C1184" s="420"/>
      <c r="D1184" s="339"/>
      <c r="E1184" s="339"/>
    </row>
    <row r="1185" spans="2:5" ht="12.75">
      <c r="B1185" s="339"/>
      <c r="C1185" s="420"/>
      <c r="D1185" s="339"/>
      <c r="E1185" s="339"/>
    </row>
    <row r="1186" spans="2:5" ht="12.75">
      <c r="B1186" s="339"/>
      <c r="C1186" s="420"/>
      <c r="D1186" s="339"/>
      <c r="E1186" s="339"/>
    </row>
    <row r="1187" spans="2:5" ht="12.75">
      <c r="B1187" s="339"/>
      <c r="C1187" s="420"/>
      <c r="D1187" s="339"/>
      <c r="E1187" s="339"/>
    </row>
    <row r="1188" spans="2:5" ht="12.75">
      <c r="B1188" s="339"/>
      <c r="C1188" s="420"/>
      <c r="D1188" s="339"/>
      <c r="E1188" s="339"/>
    </row>
    <row r="1189" spans="2:5" ht="12.75">
      <c r="B1189" s="339"/>
      <c r="C1189" s="420"/>
      <c r="D1189" s="339"/>
      <c r="E1189" s="339"/>
    </row>
    <row r="1190" spans="2:5" ht="12.75">
      <c r="B1190" s="339"/>
      <c r="C1190" s="420"/>
      <c r="D1190" s="339"/>
      <c r="E1190" s="339"/>
    </row>
    <row r="1191" spans="2:5" ht="12.75">
      <c r="B1191" s="339"/>
      <c r="C1191" s="420"/>
      <c r="D1191" s="339"/>
      <c r="E1191" s="339"/>
    </row>
    <row r="1192" spans="2:5" ht="12.75">
      <c r="B1192" s="339"/>
      <c r="C1192" s="420"/>
      <c r="D1192" s="339"/>
      <c r="E1192" s="339"/>
    </row>
    <row r="1193" spans="2:5" ht="12.75">
      <c r="B1193" s="339"/>
      <c r="C1193" s="420"/>
      <c r="D1193" s="339"/>
      <c r="E1193" s="339"/>
    </row>
    <row r="1194" spans="2:5" ht="12.75">
      <c r="B1194" s="339"/>
      <c r="C1194" s="420"/>
      <c r="D1194" s="339"/>
      <c r="E1194" s="339"/>
    </row>
    <row r="1195" spans="2:5" ht="12.75">
      <c r="B1195" s="339"/>
      <c r="C1195" s="420"/>
      <c r="D1195" s="339"/>
      <c r="E1195" s="339"/>
    </row>
    <row r="1196" spans="2:5" ht="12.75">
      <c r="B1196" s="339"/>
      <c r="C1196" s="420"/>
      <c r="D1196" s="339"/>
      <c r="E1196" s="339"/>
    </row>
    <row r="1197" spans="2:5" ht="12.75">
      <c r="B1197" s="339"/>
      <c r="C1197" s="420"/>
      <c r="D1197" s="339"/>
      <c r="E1197" s="339"/>
    </row>
    <row r="1198" spans="2:5" ht="12.75">
      <c r="B1198" s="339"/>
      <c r="C1198" s="420"/>
      <c r="D1198" s="339"/>
      <c r="E1198" s="339"/>
    </row>
    <row r="1199" spans="2:5" ht="12.75">
      <c r="B1199" s="339"/>
      <c r="C1199" s="420"/>
      <c r="D1199" s="339"/>
      <c r="E1199" s="339"/>
    </row>
    <row r="1200" spans="2:5" ht="12.75">
      <c r="B1200" s="339"/>
      <c r="C1200" s="420"/>
      <c r="D1200" s="339"/>
      <c r="E1200" s="339"/>
    </row>
    <row r="1201" spans="2:5" ht="12.75">
      <c r="B1201" s="339"/>
      <c r="C1201" s="420"/>
      <c r="D1201" s="339"/>
      <c r="E1201" s="339"/>
    </row>
    <row r="1202" spans="2:5" ht="12.75">
      <c r="B1202" s="339"/>
      <c r="C1202" s="420"/>
      <c r="D1202" s="339"/>
      <c r="E1202" s="339"/>
    </row>
    <row r="1203" spans="2:5" ht="12.75">
      <c r="B1203" s="339"/>
      <c r="C1203" s="420"/>
      <c r="D1203" s="339"/>
      <c r="E1203" s="339"/>
    </row>
    <row r="1204" spans="2:5" ht="12.75">
      <c r="B1204" s="339"/>
      <c r="C1204" s="420"/>
      <c r="D1204" s="339"/>
      <c r="E1204" s="339"/>
    </row>
    <row r="1205" spans="2:5" ht="12.75">
      <c r="B1205" s="339"/>
      <c r="C1205" s="420"/>
      <c r="D1205" s="339"/>
      <c r="E1205" s="339"/>
    </row>
    <row r="1206" spans="2:5" ht="12.75">
      <c r="B1206" s="339"/>
      <c r="C1206" s="420"/>
      <c r="D1206" s="339"/>
      <c r="E1206" s="339"/>
    </row>
    <row r="1207" spans="2:5" ht="12.75">
      <c r="B1207" s="339"/>
      <c r="C1207" s="420"/>
      <c r="D1207" s="339"/>
      <c r="E1207" s="339"/>
    </row>
    <row r="1208" spans="2:5" ht="12.75">
      <c r="B1208" s="339"/>
      <c r="C1208" s="420"/>
      <c r="D1208" s="339"/>
      <c r="E1208" s="339"/>
    </row>
    <row r="1209" spans="2:5" ht="12.75">
      <c r="B1209" s="339"/>
      <c r="C1209" s="420"/>
      <c r="D1209" s="339"/>
      <c r="E1209" s="339"/>
    </row>
    <row r="1210" spans="2:5" ht="12.75">
      <c r="B1210" s="339"/>
      <c r="C1210" s="420"/>
      <c r="D1210" s="339"/>
      <c r="E1210" s="339"/>
    </row>
    <row r="1211" spans="2:5" ht="12.75">
      <c r="B1211" s="339"/>
      <c r="C1211" s="420"/>
      <c r="D1211" s="339"/>
      <c r="E1211" s="339"/>
    </row>
    <row r="1212" spans="2:5" ht="12.75">
      <c r="B1212" s="339"/>
      <c r="C1212" s="420"/>
      <c r="D1212" s="339"/>
      <c r="E1212" s="339"/>
    </row>
    <row r="1213" spans="2:5" ht="12.75">
      <c r="B1213" s="339"/>
      <c r="C1213" s="420"/>
      <c r="D1213" s="339"/>
      <c r="E1213" s="339"/>
    </row>
    <row r="1214" spans="2:5" ht="12.75">
      <c r="B1214" s="339"/>
      <c r="C1214" s="420"/>
      <c r="D1214" s="339"/>
      <c r="E1214" s="339"/>
    </row>
    <row r="1215" spans="2:5" ht="12.75">
      <c r="B1215" s="339"/>
      <c r="C1215" s="420"/>
      <c r="D1215" s="339"/>
      <c r="E1215" s="339"/>
    </row>
    <row r="1216" spans="2:5" ht="12.75">
      <c r="B1216" s="339"/>
      <c r="C1216" s="420"/>
      <c r="D1216" s="339"/>
      <c r="E1216" s="339"/>
    </row>
    <row r="1217" spans="2:5" ht="12.75">
      <c r="B1217" s="339"/>
      <c r="C1217" s="420"/>
      <c r="D1217" s="339"/>
      <c r="E1217" s="339"/>
    </row>
    <row r="1218" spans="2:5" ht="12.75">
      <c r="B1218" s="339"/>
      <c r="C1218" s="420"/>
      <c r="D1218" s="339"/>
      <c r="E1218" s="339"/>
    </row>
    <row r="1219" spans="2:5" ht="12.75">
      <c r="B1219" s="339"/>
      <c r="C1219" s="420"/>
      <c r="D1219" s="339"/>
      <c r="E1219" s="339"/>
    </row>
    <row r="1220" spans="2:5" ht="12.75">
      <c r="B1220" s="339"/>
      <c r="C1220" s="420"/>
      <c r="D1220" s="339"/>
      <c r="E1220" s="339"/>
    </row>
    <row r="1221" spans="2:5" ht="12.75">
      <c r="B1221" s="339"/>
      <c r="C1221" s="420"/>
      <c r="D1221" s="339"/>
      <c r="E1221" s="339"/>
    </row>
    <row r="1222" spans="2:5" ht="12.75">
      <c r="B1222" s="339"/>
      <c r="C1222" s="420"/>
      <c r="D1222" s="339"/>
      <c r="E1222" s="339"/>
    </row>
    <row r="1223" spans="2:5" ht="12.75">
      <c r="B1223" s="339"/>
      <c r="C1223" s="420"/>
      <c r="D1223" s="339"/>
      <c r="E1223" s="339"/>
    </row>
    <row r="1224" spans="2:5" ht="12.75">
      <c r="B1224" s="339"/>
      <c r="C1224" s="420"/>
      <c r="D1224" s="339"/>
      <c r="E1224" s="339"/>
    </row>
    <row r="1225" spans="2:5" ht="12.75">
      <c r="B1225" s="339"/>
      <c r="C1225" s="420"/>
      <c r="D1225" s="339"/>
      <c r="E1225" s="339"/>
    </row>
    <row r="1226" spans="2:5" ht="12.75">
      <c r="B1226" s="339"/>
      <c r="C1226" s="420"/>
      <c r="D1226" s="339"/>
      <c r="E1226" s="339"/>
    </row>
    <row r="1227" spans="2:5" ht="12.75">
      <c r="B1227" s="339"/>
      <c r="C1227" s="420"/>
      <c r="D1227" s="339"/>
      <c r="E1227" s="339"/>
    </row>
    <row r="1228" spans="2:5" ht="12.75">
      <c r="B1228" s="339"/>
      <c r="C1228" s="420"/>
      <c r="D1228" s="339"/>
      <c r="E1228" s="339"/>
    </row>
    <row r="1229" spans="2:5" ht="12.75">
      <c r="B1229" s="339"/>
      <c r="C1229" s="420"/>
      <c r="D1229" s="339"/>
      <c r="E1229" s="339"/>
    </row>
    <row r="1230" spans="2:5" ht="12.75">
      <c r="B1230" s="339"/>
      <c r="C1230" s="420"/>
      <c r="D1230" s="339"/>
      <c r="E1230" s="339"/>
    </row>
    <row r="1231" spans="2:5" ht="12.75">
      <c r="B1231" s="339"/>
      <c r="C1231" s="420"/>
      <c r="D1231" s="339"/>
      <c r="E1231" s="339"/>
    </row>
    <row r="1232" spans="2:5" ht="12.75">
      <c r="B1232" s="339"/>
      <c r="C1232" s="420"/>
      <c r="D1232" s="339"/>
      <c r="E1232" s="339"/>
    </row>
    <row r="1233" spans="2:5" ht="12.75">
      <c r="B1233" s="339"/>
      <c r="C1233" s="420"/>
      <c r="D1233" s="339"/>
      <c r="E1233" s="339"/>
    </row>
    <row r="1234" spans="2:5" ht="12.75">
      <c r="B1234" s="339"/>
      <c r="C1234" s="420"/>
      <c r="D1234" s="339"/>
      <c r="E1234" s="339"/>
    </row>
    <row r="1235" spans="2:5" ht="12.75">
      <c r="B1235" s="339"/>
      <c r="C1235" s="420"/>
      <c r="D1235" s="339"/>
      <c r="E1235" s="339"/>
    </row>
    <row r="1236" spans="2:5" ht="12.75">
      <c r="B1236" s="339"/>
      <c r="C1236" s="420"/>
      <c r="D1236" s="339"/>
      <c r="E1236" s="339"/>
    </row>
    <row r="1237" spans="2:5" ht="12.75">
      <c r="B1237" s="339"/>
      <c r="C1237" s="420"/>
      <c r="D1237" s="339"/>
      <c r="E1237" s="339"/>
    </row>
    <row r="1238" spans="2:5" ht="12.75">
      <c r="B1238" s="339"/>
      <c r="C1238" s="420"/>
      <c r="D1238" s="339"/>
      <c r="E1238" s="339"/>
    </row>
    <row r="1239" spans="2:5" ht="12.75">
      <c r="B1239" s="339"/>
      <c r="C1239" s="420"/>
      <c r="D1239" s="339"/>
      <c r="E1239" s="339"/>
    </row>
    <row r="1240" spans="2:5" ht="12.75">
      <c r="B1240" s="339"/>
      <c r="C1240" s="420"/>
      <c r="D1240" s="339"/>
      <c r="E1240" s="339"/>
    </row>
    <row r="1241" spans="2:5" ht="12.75">
      <c r="B1241" s="339"/>
      <c r="C1241" s="420"/>
      <c r="D1241" s="339"/>
      <c r="E1241" s="339"/>
    </row>
    <row r="1242" spans="2:5" ht="12.75">
      <c r="B1242" s="339"/>
      <c r="C1242" s="420"/>
      <c r="D1242" s="339"/>
      <c r="E1242" s="339"/>
    </row>
    <row r="1243" spans="2:5" ht="12.75">
      <c r="B1243" s="339"/>
      <c r="C1243" s="420"/>
      <c r="D1243" s="339"/>
      <c r="E1243" s="339"/>
    </row>
    <row r="1244" spans="2:5" ht="12.75">
      <c r="B1244" s="339"/>
      <c r="C1244" s="420"/>
      <c r="D1244" s="339"/>
      <c r="E1244" s="339"/>
    </row>
    <row r="1245" spans="2:5" ht="12.75">
      <c r="B1245" s="339"/>
      <c r="C1245" s="420"/>
      <c r="D1245" s="339"/>
      <c r="E1245" s="339"/>
    </row>
    <row r="1246" spans="2:5" ht="12.75">
      <c r="B1246" s="339"/>
      <c r="C1246" s="420"/>
      <c r="D1246" s="339"/>
      <c r="E1246" s="339"/>
    </row>
    <row r="1247" spans="2:5" ht="12.75">
      <c r="B1247" s="339"/>
      <c r="C1247" s="420"/>
      <c r="D1247" s="339"/>
      <c r="E1247" s="339"/>
    </row>
    <row r="1248" spans="2:5" ht="12.75">
      <c r="B1248" s="339"/>
      <c r="C1248" s="420"/>
      <c r="D1248" s="339"/>
      <c r="E1248" s="339"/>
    </row>
    <row r="1249" spans="2:5" ht="12.75">
      <c r="B1249" s="339"/>
      <c r="C1249" s="420"/>
      <c r="D1249" s="339"/>
      <c r="E1249" s="339"/>
    </row>
    <row r="1250" spans="2:5" ht="12.75">
      <c r="B1250" s="339"/>
      <c r="C1250" s="420"/>
      <c r="D1250" s="339"/>
      <c r="E1250" s="339"/>
    </row>
    <row r="1251" spans="2:5" ht="12.75">
      <c r="B1251" s="339"/>
      <c r="C1251" s="420"/>
      <c r="D1251" s="339"/>
      <c r="E1251" s="339"/>
    </row>
    <row r="1252" spans="2:5" ht="12.75">
      <c r="B1252" s="339"/>
      <c r="C1252" s="420"/>
      <c r="D1252" s="339"/>
      <c r="E1252" s="339"/>
    </row>
    <row r="1253" spans="2:5" ht="12.75">
      <c r="B1253" s="339"/>
      <c r="C1253" s="420"/>
      <c r="D1253" s="339"/>
      <c r="E1253" s="339"/>
    </row>
    <row r="1254" spans="2:5" ht="12.75">
      <c r="B1254" s="339"/>
      <c r="C1254" s="420"/>
      <c r="D1254" s="339"/>
      <c r="E1254" s="339"/>
    </row>
    <row r="1255" spans="2:5" ht="12.75">
      <c r="B1255" s="339"/>
      <c r="C1255" s="420"/>
      <c r="D1255" s="339"/>
      <c r="E1255" s="339"/>
    </row>
    <row r="1256" spans="2:5" ht="12.75">
      <c r="B1256" s="339"/>
      <c r="C1256" s="420"/>
      <c r="D1256" s="339"/>
      <c r="E1256" s="339"/>
    </row>
    <row r="1257" spans="2:5" ht="12.75">
      <c r="B1257" s="339"/>
      <c r="C1257" s="420"/>
      <c r="D1257" s="339"/>
      <c r="E1257" s="339"/>
    </row>
    <row r="1258" spans="2:5" ht="12.75">
      <c r="B1258" s="339"/>
      <c r="C1258" s="420"/>
      <c r="D1258" s="339"/>
      <c r="E1258" s="339"/>
    </row>
    <row r="1259" spans="2:5" ht="12.75">
      <c r="B1259" s="339"/>
      <c r="C1259" s="420"/>
      <c r="D1259" s="339"/>
      <c r="E1259" s="339"/>
    </row>
    <row r="1260" spans="2:5" ht="12.75">
      <c r="B1260" s="339"/>
      <c r="C1260" s="420"/>
      <c r="D1260" s="339"/>
      <c r="E1260" s="339"/>
    </row>
    <row r="1261" spans="2:5" ht="12.75">
      <c r="B1261" s="339"/>
      <c r="C1261" s="420"/>
      <c r="D1261" s="339"/>
      <c r="E1261" s="339"/>
    </row>
    <row r="1262" spans="2:5" ht="12.75">
      <c r="B1262" s="339"/>
      <c r="C1262" s="420"/>
      <c r="D1262" s="339"/>
      <c r="E1262" s="339"/>
    </row>
    <row r="1263" spans="2:5" ht="12.75">
      <c r="B1263" s="339"/>
      <c r="C1263" s="420"/>
      <c r="D1263" s="339"/>
      <c r="E1263" s="339"/>
    </row>
    <row r="1264" spans="2:5" ht="12.75">
      <c r="B1264" s="339"/>
      <c r="C1264" s="420"/>
      <c r="D1264" s="339"/>
      <c r="E1264" s="339"/>
    </row>
    <row r="1265" spans="2:5" ht="12.75">
      <c r="B1265" s="339"/>
      <c r="C1265" s="420"/>
      <c r="D1265" s="339"/>
      <c r="E1265" s="339"/>
    </row>
    <row r="1266" spans="2:5" ht="12.75">
      <c r="B1266" s="339"/>
      <c r="C1266" s="420"/>
      <c r="D1266" s="339"/>
      <c r="E1266" s="339"/>
    </row>
    <row r="1267" spans="2:5" ht="12.75">
      <c r="B1267" s="339"/>
      <c r="C1267" s="420"/>
      <c r="D1267" s="339"/>
      <c r="E1267" s="339"/>
    </row>
    <row r="1268" spans="2:5" ht="12.75">
      <c r="B1268" s="339"/>
      <c r="C1268" s="420"/>
      <c r="D1268" s="339"/>
      <c r="E1268" s="339"/>
    </row>
    <row r="1269" spans="2:5" ht="12.75">
      <c r="B1269" s="339"/>
      <c r="C1269" s="420"/>
      <c r="D1269" s="339"/>
      <c r="E1269" s="339"/>
    </row>
    <row r="1270" spans="2:5" ht="12.75">
      <c r="B1270" s="339"/>
      <c r="C1270" s="420"/>
      <c r="D1270" s="339"/>
      <c r="E1270" s="339"/>
    </row>
    <row r="1271" spans="2:5" ht="12.75">
      <c r="B1271" s="339"/>
      <c r="C1271" s="420"/>
      <c r="D1271" s="339"/>
      <c r="E1271" s="339"/>
    </row>
    <row r="1272" spans="2:5" ht="12.75">
      <c r="B1272" s="339"/>
      <c r="C1272" s="420"/>
      <c r="D1272" s="339"/>
      <c r="E1272" s="339"/>
    </row>
    <row r="1273" spans="2:5" ht="12.75">
      <c r="B1273" s="339"/>
      <c r="C1273" s="420"/>
      <c r="D1273" s="339"/>
      <c r="E1273" s="339"/>
    </row>
    <row r="1274" spans="2:5" ht="12.75">
      <c r="B1274" s="339"/>
      <c r="C1274" s="420"/>
      <c r="D1274" s="339"/>
      <c r="E1274" s="339"/>
    </row>
    <row r="1275" spans="2:5" ht="12.75">
      <c r="B1275" s="339"/>
      <c r="C1275" s="420"/>
      <c r="D1275" s="339"/>
      <c r="E1275" s="339"/>
    </row>
    <row r="1276" spans="2:5" ht="12.75">
      <c r="B1276" s="339"/>
      <c r="C1276" s="420"/>
      <c r="D1276" s="339"/>
      <c r="E1276" s="339"/>
    </row>
    <row r="1277" spans="2:5" ht="12.75">
      <c r="B1277" s="339"/>
      <c r="C1277" s="420"/>
      <c r="D1277" s="339"/>
      <c r="E1277" s="339"/>
    </row>
    <row r="1278" spans="2:5" ht="12.75">
      <c r="B1278" s="339"/>
      <c r="C1278" s="420"/>
      <c r="D1278" s="339"/>
      <c r="E1278" s="339"/>
    </row>
    <row r="1279" spans="2:5" ht="12.75">
      <c r="B1279" s="339"/>
      <c r="C1279" s="420"/>
      <c r="D1279" s="339"/>
      <c r="E1279" s="339"/>
    </row>
    <row r="1280" spans="2:5" ht="12.75">
      <c r="B1280" s="339"/>
      <c r="C1280" s="420"/>
      <c r="D1280" s="339"/>
      <c r="E1280" s="339"/>
    </row>
    <row r="1281" spans="2:5" ht="12.75">
      <c r="B1281" s="339"/>
      <c r="C1281" s="420"/>
      <c r="D1281" s="339"/>
      <c r="E1281" s="339"/>
    </row>
    <row r="1282" spans="2:5" ht="12.75">
      <c r="B1282" s="339"/>
      <c r="C1282" s="420"/>
      <c r="D1282" s="339"/>
      <c r="E1282" s="339"/>
    </row>
    <row r="1283" spans="2:5" ht="12.75">
      <c r="B1283" s="339"/>
      <c r="C1283" s="420"/>
      <c r="D1283" s="339"/>
      <c r="E1283" s="339"/>
    </row>
    <row r="1284" spans="2:5" ht="12.75">
      <c r="B1284" s="339"/>
      <c r="C1284" s="420"/>
      <c r="D1284" s="339"/>
      <c r="E1284" s="339"/>
    </row>
    <row r="1285" spans="2:5" ht="12.75">
      <c r="B1285" s="339"/>
      <c r="C1285" s="420"/>
      <c r="D1285" s="339"/>
      <c r="E1285" s="339"/>
    </row>
    <row r="1286" spans="2:5" ht="12.75">
      <c r="B1286" s="339"/>
      <c r="C1286" s="420"/>
      <c r="D1286" s="339"/>
      <c r="E1286" s="339"/>
    </row>
    <row r="1287" spans="2:5" ht="12.75">
      <c r="B1287" s="339"/>
      <c r="C1287" s="420"/>
      <c r="D1287" s="339"/>
      <c r="E1287" s="339"/>
    </row>
    <row r="1288" spans="2:5" ht="12.75">
      <c r="B1288" s="339"/>
      <c r="C1288" s="420"/>
      <c r="D1288" s="339"/>
      <c r="E1288" s="339"/>
    </row>
    <row r="1289" spans="2:5" ht="12.75">
      <c r="B1289" s="339"/>
      <c r="C1289" s="420"/>
      <c r="D1289" s="339"/>
      <c r="E1289" s="339"/>
    </row>
    <row r="1290" spans="2:5" ht="12.75">
      <c r="B1290" s="339"/>
      <c r="C1290" s="420"/>
      <c r="D1290" s="339"/>
      <c r="E1290" s="339"/>
    </row>
    <row r="1291" spans="2:5" ht="12.75">
      <c r="B1291" s="339"/>
      <c r="C1291" s="420"/>
      <c r="D1291" s="339"/>
      <c r="E1291" s="339"/>
    </row>
    <row r="1292" spans="2:5" ht="12.75">
      <c r="B1292" s="339"/>
      <c r="C1292" s="420"/>
      <c r="D1292" s="339"/>
      <c r="E1292" s="339"/>
    </row>
    <row r="1293" spans="2:5" ht="12.75">
      <c r="B1293" s="339"/>
      <c r="C1293" s="420"/>
      <c r="D1293" s="339"/>
      <c r="E1293" s="339"/>
    </row>
    <row r="1294" spans="2:5" ht="12.75">
      <c r="B1294" s="339"/>
      <c r="C1294" s="420"/>
      <c r="D1294" s="339"/>
      <c r="E1294" s="339"/>
    </row>
    <row r="1295" spans="2:5" ht="12.75">
      <c r="B1295" s="339"/>
      <c r="C1295" s="420"/>
      <c r="D1295" s="339"/>
      <c r="E1295" s="339"/>
    </row>
    <row r="1296" spans="2:5" ht="12.75">
      <c r="B1296" s="339"/>
      <c r="C1296" s="420"/>
      <c r="D1296" s="339"/>
      <c r="E1296" s="339"/>
    </row>
    <row r="1297" spans="2:5" ht="12.75">
      <c r="B1297" s="339"/>
      <c r="C1297" s="420"/>
      <c r="D1297" s="339"/>
      <c r="E1297" s="339"/>
    </row>
    <row r="1298" spans="2:5" ht="12.75">
      <c r="B1298" s="339"/>
      <c r="C1298" s="420"/>
      <c r="D1298" s="339"/>
      <c r="E1298" s="339"/>
    </row>
    <row r="1299" spans="2:5" ht="12.75">
      <c r="B1299" s="339"/>
      <c r="C1299" s="420"/>
      <c r="D1299" s="339"/>
      <c r="E1299" s="339"/>
    </row>
    <row r="1300" spans="2:5" ht="12.75">
      <c r="B1300" s="339"/>
      <c r="C1300" s="420"/>
      <c r="D1300" s="339"/>
      <c r="E1300" s="339"/>
    </row>
    <row r="1301" spans="2:5" ht="12.75">
      <c r="B1301" s="339"/>
      <c r="C1301" s="420"/>
      <c r="D1301" s="339"/>
      <c r="E1301" s="339"/>
    </row>
    <row r="1302" spans="2:5" ht="12.75">
      <c r="B1302" s="339"/>
      <c r="C1302" s="420"/>
      <c r="D1302" s="339"/>
      <c r="E1302" s="339"/>
    </row>
    <row r="1303" spans="2:5" ht="12.75">
      <c r="B1303" s="339"/>
      <c r="C1303" s="420"/>
      <c r="D1303" s="339"/>
      <c r="E1303" s="339"/>
    </row>
    <row r="1304" spans="2:5" ht="12.75">
      <c r="B1304" s="339"/>
      <c r="C1304" s="420"/>
      <c r="D1304" s="339"/>
      <c r="E1304" s="339"/>
    </row>
    <row r="1305" spans="2:5" ht="12.75">
      <c r="B1305" s="339"/>
      <c r="C1305" s="420"/>
      <c r="D1305" s="339"/>
      <c r="E1305" s="339"/>
    </row>
    <row r="1306" spans="2:5" ht="12.75">
      <c r="B1306" s="339"/>
      <c r="C1306" s="420"/>
      <c r="D1306" s="339"/>
      <c r="E1306" s="339"/>
    </row>
    <row r="1307" spans="2:5" ht="12.75">
      <c r="B1307" s="339"/>
      <c r="C1307" s="420"/>
      <c r="D1307" s="339"/>
      <c r="E1307" s="339"/>
    </row>
    <row r="1308" spans="2:5" ht="12.75">
      <c r="B1308" s="339"/>
      <c r="C1308" s="420"/>
      <c r="D1308" s="339"/>
      <c r="E1308" s="339"/>
    </row>
    <row r="1309" spans="2:5" ht="12.75">
      <c r="B1309" s="339"/>
      <c r="C1309" s="420"/>
      <c r="D1309" s="339"/>
      <c r="E1309" s="339"/>
    </row>
    <row r="1310" spans="2:5" ht="12.75">
      <c r="B1310" s="339"/>
      <c r="C1310" s="420"/>
      <c r="D1310" s="339"/>
      <c r="E1310" s="339"/>
    </row>
    <row r="1311" spans="2:5" ht="12.75">
      <c r="B1311" s="339"/>
      <c r="C1311" s="420"/>
      <c r="D1311" s="339"/>
      <c r="E1311" s="339"/>
    </row>
    <row r="1312" spans="2:5" ht="12.75">
      <c r="B1312" s="339"/>
      <c r="C1312" s="420"/>
      <c r="D1312" s="339"/>
      <c r="E1312" s="339"/>
    </row>
    <row r="1313" spans="2:5" ht="12.75">
      <c r="B1313" s="339"/>
      <c r="C1313" s="420"/>
      <c r="D1313" s="339"/>
      <c r="E1313" s="339"/>
    </row>
    <row r="1314" spans="2:5" ht="12.75">
      <c r="B1314" s="339"/>
      <c r="C1314" s="420"/>
      <c r="D1314" s="339"/>
      <c r="E1314" s="339"/>
    </row>
    <row r="1315" spans="2:5" ht="12.75">
      <c r="B1315" s="339"/>
      <c r="C1315" s="420"/>
      <c r="D1315" s="339"/>
      <c r="E1315" s="339"/>
    </row>
    <row r="1316" spans="2:5" ht="12.75">
      <c r="B1316" s="339"/>
      <c r="C1316" s="420"/>
      <c r="D1316" s="339"/>
      <c r="E1316" s="339"/>
    </row>
    <row r="1317" spans="2:5" ht="12.75">
      <c r="B1317" s="339"/>
      <c r="C1317" s="420"/>
      <c r="D1317" s="339"/>
      <c r="E1317" s="339"/>
    </row>
    <row r="1318" spans="2:5" ht="12.75">
      <c r="B1318" s="339"/>
      <c r="C1318" s="420"/>
      <c r="D1318" s="339"/>
      <c r="E1318" s="339"/>
    </row>
    <row r="1319" spans="2:5" ht="12.75">
      <c r="B1319" s="339"/>
      <c r="C1319" s="420"/>
      <c r="D1319" s="339"/>
      <c r="E1319" s="339"/>
    </row>
    <row r="1320" spans="2:5" ht="12.75">
      <c r="B1320" s="339"/>
      <c r="C1320" s="420"/>
      <c r="D1320" s="339"/>
      <c r="E1320" s="339"/>
    </row>
    <row r="1321" spans="2:5" ht="12.75">
      <c r="B1321" s="339"/>
      <c r="C1321" s="420"/>
      <c r="D1321" s="339"/>
      <c r="E1321" s="339"/>
    </row>
    <row r="1322" spans="2:5" ht="12.75">
      <c r="B1322" s="339"/>
      <c r="C1322" s="420"/>
      <c r="D1322" s="339"/>
      <c r="E1322" s="339"/>
    </row>
    <row r="1323" spans="2:5" ht="12.75">
      <c r="B1323" s="339"/>
      <c r="C1323" s="420"/>
      <c r="D1323" s="339"/>
      <c r="E1323" s="339"/>
    </row>
    <row r="1324" spans="2:5" ht="12.75">
      <c r="B1324" s="339"/>
      <c r="C1324" s="420"/>
      <c r="D1324" s="339"/>
      <c r="E1324" s="339"/>
    </row>
    <row r="1325" spans="2:5" ht="12.75">
      <c r="B1325" s="339"/>
      <c r="C1325" s="420"/>
      <c r="D1325" s="339"/>
      <c r="E1325" s="339"/>
    </row>
    <row r="1326" spans="2:5" ht="12.75">
      <c r="B1326" s="339"/>
      <c r="C1326" s="420"/>
      <c r="D1326" s="339"/>
      <c r="E1326" s="339"/>
    </row>
    <row r="1327" spans="2:5" ht="12.75">
      <c r="B1327" s="339"/>
      <c r="C1327" s="420"/>
      <c r="D1327" s="339"/>
      <c r="E1327" s="339"/>
    </row>
    <row r="1328" spans="2:5" ht="12.75">
      <c r="B1328" s="339"/>
      <c r="C1328" s="420"/>
      <c r="D1328" s="339"/>
      <c r="E1328" s="339"/>
    </row>
    <row r="1329" spans="2:5" ht="12.75">
      <c r="B1329" s="339"/>
      <c r="C1329" s="420"/>
      <c r="D1329" s="339"/>
      <c r="E1329" s="339"/>
    </row>
    <row r="1330" spans="2:5" ht="12.75">
      <c r="B1330" s="339"/>
      <c r="C1330" s="420"/>
      <c r="D1330" s="339"/>
      <c r="E1330" s="339"/>
    </row>
    <row r="1331" spans="2:5" ht="12.75">
      <c r="B1331" s="339"/>
      <c r="C1331" s="420"/>
      <c r="D1331" s="339"/>
      <c r="E1331" s="339"/>
    </row>
    <row r="1332" spans="2:5" ht="12.75">
      <c r="B1332" s="339"/>
      <c r="C1332" s="420"/>
      <c r="D1332" s="339"/>
      <c r="E1332" s="339"/>
    </row>
    <row r="1333" spans="2:5" ht="12.75">
      <c r="B1333" s="339"/>
      <c r="C1333" s="420"/>
      <c r="D1333" s="339"/>
      <c r="E1333" s="339"/>
    </row>
    <row r="1334" spans="2:5" ht="12.75">
      <c r="B1334" s="339"/>
      <c r="C1334" s="420"/>
      <c r="D1334" s="339"/>
      <c r="E1334" s="339"/>
    </row>
    <row r="1335" spans="2:5" ht="12.75">
      <c r="B1335" s="339"/>
      <c r="C1335" s="420"/>
      <c r="D1335" s="339"/>
      <c r="E1335" s="339"/>
    </row>
    <row r="1336" spans="2:5" ht="12.75">
      <c r="B1336" s="339"/>
      <c r="C1336" s="420"/>
      <c r="D1336" s="339"/>
      <c r="E1336" s="339"/>
    </row>
    <row r="1337" spans="2:5" ht="12.75">
      <c r="B1337" s="339"/>
      <c r="C1337" s="420"/>
      <c r="D1337" s="339"/>
      <c r="E1337" s="339"/>
    </row>
    <row r="1338" spans="2:5" ht="12.75">
      <c r="B1338" s="339"/>
      <c r="C1338" s="420"/>
      <c r="D1338" s="339"/>
      <c r="E1338" s="339"/>
    </row>
    <row r="1339" spans="2:5" ht="12.75">
      <c r="B1339" s="339"/>
      <c r="C1339" s="420"/>
      <c r="D1339" s="339"/>
      <c r="E1339" s="339"/>
    </row>
    <row r="1340" spans="2:5" ht="12.75">
      <c r="B1340" s="339"/>
      <c r="C1340" s="420"/>
      <c r="D1340" s="339"/>
      <c r="E1340" s="339"/>
    </row>
    <row r="1341" spans="2:5" ht="12.75">
      <c r="B1341" s="339"/>
      <c r="C1341" s="420"/>
      <c r="D1341" s="339"/>
      <c r="E1341" s="339"/>
    </row>
    <row r="1342" spans="2:5" ht="12.75">
      <c r="B1342" s="339"/>
      <c r="C1342" s="420"/>
      <c r="D1342" s="339"/>
      <c r="E1342" s="339"/>
    </row>
    <row r="1343" spans="2:5" ht="12.75">
      <c r="B1343" s="339"/>
      <c r="C1343" s="420"/>
      <c r="D1343" s="339"/>
      <c r="E1343" s="339"/>
    </row>
    <row r="1344" spans="2:5" ht="12.75">
      <c r="B1344" s="339"/>
      <c r="C1344" s="420"/>
      <c r="D1344" s="339"/>
      <c r="E1344" s="339"/>
    </row>
    <row r="1345" spans="2:5" ht="12.75">
      <c r="B1345" s="339"/>
      <c r="C1345" s="420"/>
      <c r="D1345" s="339"/>
      <c r="E1345" s="339"/>
    </row>
    <row r="1346" spans="2:5" ht="12.75">
      <c r="B1346" s="339"/>
      <c r="C1346" s="420"/>
      <c r="D1346" s="339"/>
      <c r="E1346" s="339"/>
    </row>
    <row r="1347" spans="2:5" ht="12.75">
      <c r="B1347" s="339"/>
      <c r="C1347" s="420"/>
      <c r="D1347" s="339"/>
      <c r="E1347" s="339"/>
    </row>
    <row r="1348" spans="2:5" ht="12.75">
      <c r="B1348" s="339"/>
      <c r="C1348" s="420"/>
      <c r="D1348" s="339"/>
      <c r="E1348" s="339"/>
    </row>
    <row r="1349" spans="2:5" ht="12.75">
      <c r="B1349" s="339"/>
      <c r="C1349" s="420"/>
      <c r="D1349" s="339"/>
      <c r="E1349" s="339"/>
    </row>
    <row r="1350" spans="2:5" ht="12.75">
      <c r="B1350" s="339"/>
      <c r="C1350" s="420"/>
      <c r="D1350" s="339"/>
      <c r="E1350" s="339"/>
    </row>
    <row r="1351" spans="2:5" ht="12.75">
      <c r="B1351" s="339"/>
      <c r="C1351" s="420"/>
      <c r="D1351" s="339"/>
      <c r="E1351" s="339"/>
    </row>
    <row r="1352" spans="2:5" ht="12.75">
      <c r="B1352" s="339"/>
      <c r="C1352" s="420"/>
      <c r="D1352" s="339"/>
      <c r="E1352" s="339"/>
    </row>
    <row r="1353" spans="2:5" ht="12.75">
      <c r="B1353" s="339"/>
      <c r="C1353" s="420"/>
      <c r="D1353" s="339"/>
      <c r="E1353" s="339"/>
    </row>
    <row r="1354" spans="2:5" ht="12.75">
      <c r="B1354" s="339"/>
      <c r="C1354" s="420"/>
      <c r="D1354" s="339"/>
      <c r="E1354" s="339"/>
    </row>
    <row r="1355" spans="2:5" ht="12.75">
      <c r="B1355" s="339"/>
      <c r="C1355" s="420"/>
      <c r="D1355" s="339"/>
      <c r="E1355" s="339"/>
    </row>
    <row r="1356" spans="2:5" ht="12.75">
      <c r="B1356" s="339"/>
      <c r="C1356" s="420"/>
      <c r="D1356" s="339"/>
      <c r="E1356" s="339"/>
    </row>
    <row r="1357" spans="2:5" ht="12.75">
      <c r="B1357" s="339"/>
      <c r="C1357" s="420"/>
      <c r="D1357" s="339"/>
      <c r="E1357" s="339"/>
    </row>
    <row r="1358" spans="2:5" ht="12.75">
      <c r="B1358" s="339"/>
      <c r="C1358" s="420"/>
      <c r="D1358" s="339"/>
      <c r="E1358" s="339"/>
    </row>
    <row r="1359" spans="2:5" ht="12.75">
      <c r="B1359" s="339"/>
      <c r="C1359" s="420"/>
      <c r="D1359" s="339"/>
      <c r="E1359" s="339"/>
    </row>
    <row r="1360" spans="2:5" ht="12.75">
      <c r="B1360" s="339"/>
      <c r="C1360" s="420"/>
      <c r="D1360" s="339"/>
      <c r="E1360" s="339"/>
    </row>
    <row r="1361" spans="2:5" ht="12.75">
      <c r="B1361" s="339"/>
      <c r="C1361" s="420"/>
      <c r="D1361" s="339"/>
      <c r="E1361" s="339"/>
    </row>
    <row r="1362" spans="2:5" ht="12.75">
      <c r="B1362" s="339"/>
      <c r="C1362" s="420"/>
      <c r="D1362" s="339"/>
      <c r="E1362" s="339"/>
    </row>
    <row r="1363" spans="2:5" ht="12.75">
      <c r="B1363" s="339"/>
      <c r="C1363" s="420"/>
      <c r="D1363" s="339"/>
      <c r="E1363" s="339"/>
    </row>
    <row r="1364" spans="2:5" ht="12.75">
      <c r="B1364" s="339"/>
      <c r="C1364" s="420"/>
      <c r="D1364" s="339"/>
      <c r="E1364" s="339"/>
    </row>
    <row r="1365" spans="2:5" ht="12.75">
      <c r="B1365" s="339"/>
      <c r="C1365" s="420"/>
      <c r="D1365" s="339"/>
      <c r="E1365" s="339"/>
    </row>
    <row r="1366" spans="2:5" ht="12.75">
      <c r="B1366" s="339"/>
      <c r="C1366" s="420"/>
      <c r="D1366" s="339"/>
      <c r="E1366" s="339"/>
    </row>
    <row r="1367" spans="2:5" ht="12.75">
      <c r="B1367" s="339"/>
      <c r="C1367" s="420"/>
      <c r="D1367" s="339"/>
      <c r="E1367" s="339"/>
    </row>
    <row r="1368" spans="2:5" ht="12.75">
      <c r="B1368" s="339"/>
      <c r="C1368" s="420"/>
      <c r="D1368" s="339"/>
      <c r="E1368" s="339"/>
    </row>
    <row r="1369" spans="2:5" ht="12.75">
      <c r="B1369" s="339"/>
      <c r="C1369" s="420"/>
      <c r="D1369" s="339"/>
      <c r="E1369" s="339"/>
    </row>
    <row r="1370" spans="2:5" ht="12.75">
      <c r="B1370" s="339"/>
      <c r="C1370" s="420"/>
      <c r="D1370" s="339"/>
      <c r="E1370" s="339"/>
    </row>
    <row r="1371" spans="2:5" ht="12.75">
      <c r="B1371" s="339"/>
      <c r="C1371" s="420"/>
      <c r="D1371" s="339"/>
      <c r="E1371" s="339"/>
    </row>
    <row r="1372" spans="2:5" ht="12.75">
      <c r="B1372" s="339"/>
      <c r="C1372" s="420"/>
      <c r="D1372" s="339"/>
      <c r="E1372" s="339"/>
    </row>
    <row r="1373" spans="2:5" ht="12.75">
      <c r="B1373" s="339"/>
      <c r="C1373" s="420"/>
      <c r="D1373" s="339"/>
      <c r="E1373" s="339"/>
    </row>
    <row r="1374" spans="2:5" ht="12.75">
      <c r="B1374" s="339"/>
      <c r="C1374" s="420"/>
      <c r="D1374" s="339"/>
      <c r="E1374" s="339"/>
    </row>
    <row r="1375" spans="2:5" ht="12.75">
      <c r="B1375" s="339"/>
      <c r="C1375" s="420"/>
      <c r="D1375" s="339"/>
      <c r="E1375" s="339"/>
    </row>
    <row r="1376" spans="2:5" ht="12.75">
      <c r="B1376" s="339"/>
      <c r="C1376" s="420"/>
      <c r="D1376" s="339"/>
      <c r="E1376" s="339"/>
    </row>
    <row r="1377" spans="2:5" ht="12.75">
      <c r="B1377" s="339"/>
      <c r="C1377" s="420"/>
      <c r="D1377" s="339"/>
      <c r="E1377" s="339"/>
    </row>
    <row r="1378" spans="2:5" ht="12.75">
      <c r="B1378" s="339"/>
      <c r="C1378" s="420"/>
      <c r="D1378" s="339"/>
      <c r="E1378" s="339"/>
    </row>
    <row r="1379" spans="2:5" ht="12.75">
      <c r="B1379" s="339"/>
      <c r="C1379" s="420"/>
      <c r="D1379" s="339"/>
      <c r="E1379" s="339"/>
    </row>
    <row r="1380" spans="2:5" ht="12.75">
      <c r="B1380" s="339"/>
      <c r="C1380" s="420"/>
      <c r="D1380" s="339"/>
      <c r="E1380" s="339"/>
    </row>
    <row r="1381" spans="2:5" ht="12.75">
      <c r="B1381" s="339"/>
      <c r="C1381" s="420"/>
      <c r="D1381" s="339"/>
      <c r="E1381" s="339"/>
    </row>
    <row r="1382" spans="2:5" ht="12.75">
      <c r="B1382" s="339"/>
      <c r="C1382" s="420"/>
      <c r="D1382" s="339"/>
      <c r="E1382" s="339"/>
    </row>
    <row r="1383" spans="2:5" ht="12.75">
      <c r="B1383" s="339"/>
      <c r="C1383" s="420"/>
      <c r="D1383" s="339"/>
      <c r="E1383" s="339"/>
    </row>
    <row r="1384" spans="2:5" ht="12.75">
      <c r="B1384" s="339"/>
      <c r="C1384" s="420"/>
      <c r="D1384" s="339"/>
      <c r="E1384" s="339"/>
    </row>
    <row r="1385" spans="2:5" ht="12.75">
      <c r="B1385" s="339"/>
      <c r="C1385" s="420"/>
      <c r="D1385" s="339"/>
      <c r="E1385" s="339"/>
    </row>
    <row r="1386" spans="2:5" ht="12.75">
      <c r="B1386" s="339"/>
      <c r="C1386" s="420"/>
      <c r="D1386" s="339"/>
      <c r="E1386" s="339"/>
    </row>
    <row r="1387" spans="2:5" ht="12.75">
      <c r="B1387" s="339"/>
      <c r="C1387" s="420"/>
      <c r="D1387" s="339"/>
      <c r="E1387" s="339"/>
    </row>
    <row r="1388" spans="2:5" ht="12.75">
      <c r="B1388" s="339"/>
      <c r="C1388" s="420"/>
      <c r="D1388" s="339"/>
      <c r="E1388" s="339"/>
    </row>
    <row r="1389" spans="2:5" ht="12.75">
      <c r="B1389" s="339"/>
      <c r="C1389" s="420"/>
      <c r="D1389" s="339"/>
      <c r="E1389" s="339"/>
    </row>
    <row r="1390" spans="2:5" ht="12.75">
      <c r="B1390" s="339"/>
      <c r="C1390" s="420"/>
      <c r="D1390" s="339"/>
      <c r="E1390" s="339"/>
    </row>
    <row r="1391" spans="2:5" ht="12.75">
      <c r="B1391" s="339"/>
      <c r="C1391" s="420"/>
      <c r="D1391" s="339"/>
      <c r="E1391" s="339"/>
    </row>
    <row r="1392" spans="2:5" ht="12.75">
      <c r="B1392" s="339"/>
      <c r="C1392" s="420"/>
      <c r="D1392" s="339"/>
      <c r="E1392" s="339"/>
    </row>
    <row r="1393" spans="2:5" ht="12.75">
      <c r="B1393" s="339"/>
      <c r="C1393" s="420"/>
      <c r="D1393" s="339"/>
      <c r="E1393" s="339"/>
    </row>
    <row r="1394" spans="2:5" ht="12.75">
      <c r="B1394" s="339"/>
      <c r="C1394" s="420"/>
      <c r="D1394" s="339"/>
      <c r="E1394" s="339"/>
    </row>
    <row r="1395" spans="2:5" ht="12.75">
      <c r="B1395" s="339"/>
      <c r="C1395" s="420"/>
      <c r="D1395" s="339"/>
      <c r="E1395" s="339"/>
    </row>
    <row r="1396" spans="2:5" ht="12.75">
      <c r="B1396" s="339"/>
      <c r="C1396" s="420"/>
      <c r="D1396" s="339"/>
      <c r="E1396" s="339"/>
    </row>
    <row r="1397" spans="2:5" ht="12.75">
      <c r="B1397" s="339"/>
      <c r="C1397" s="420"/>
      <c r="D1397" s="339"/>
      <c r="E1397" s="339"/>
    </row>
    <row r="1398" spans="2:5" ht="12.75">
      <c r="B1398" s="339"/>
      <c r="C1398" s="420"/>
      <c r="D1398" s="339"/>
      <c r="E1398" s="339"/>
    </row>
    <row r="1399" spans="2:5" ht="12.75">
      <c r="B1399" s="339"/>
      <c r="C1399" s="420"/>
      <c r="D1399" s="339"/>
      <c r="E1399" s="339"/>
    </row>
    <row r="1400" spans="2:5" ht="12.75">
      <c r="B1400" s="339"/>
      <c r="C1400" s="420"/>
      <c r="D1400" s="339"/>
      <c r="E1400" s="339"/>
    </row>
    <row r="1401" spans="2:5" ht="12.75">
      <c r="B1401" s="339"/>
      <c r="C1401" s="420"/>
      <c r="D1401" s="339"/>
      <c r="E1401" s="339"/>
    </row>
    <row r="1402" spans="2:5" ht="12.75">
      <c r="B1402" s="339"/>
      <c r="C1402" s="420"/>
      <c r="D1402" s="339"/>
      <c r="E1402" s="339"/>
    </row>
    <row r="1403" spans="2:5" ht="12.75">
      <c r="B1403" s="339"/>
      <c r="C1403" s="420"/>
      <c r="D1403" s="339"/>
      <c r="E1403" s="339"/>
    </row>
    <row r="1404" spans="2:5" ht="12.75">
      <c r="B1404" s="339"/>
      <c r="C1404" s="420"/>
      <c r="D1404" s="339"/>
      <c r="E1404" s="339"/>
    </row>
    <row r="1405" spans="2:5" ht="12.75">
      <c r="B1405" s="339"/>
      <c r="C1405" s="420"/>
      <c r="D1405" s="339"/>
      <c r="E1405" s="339"/>
    </row>
    <row r="1406" spans="2:5" ht="12.75">
      <c r="B1406" s="339"/>
      <c r="C1406" s="420"/>
      <c r="D1406" s="339"/>
      <c r="E1406" s="339"/>
    </row>
    <row r="1407" spans="2:5" ht="12.75">
      <c r="B1407" s="339"/>
      <c r="C1407" s="420"/>
      <c r="D1407" s="339"/>
      <c r="E1407" s="339"/>
    </row>
    <row r="1408" spans="2:5" ht="12.75">
      <c r="B1408" s="339"/>
      <c r="C1408" s="420"/>
      <c r="D1408" s="339"/>
      <c r="E1408" s="339"/>
    </row>
    <row r="1409" spans="2:5" ht="12.75">
      <c r="B1409" s="339"/>
      <c r="C1409" s="420"/>
      <c r="D1409" s="339"/>
      <c r="E1409" s="339"/>
    </row>
    <row r="1410" spans="2:5" ht="12.75">
      <c r="B1410" s="339"/>
      <c r="C1410" s="420"/>
      <c r="D1410" s="339"/>
      <c r="E1410" s="339"/>
    </row>
    <row r="1411" spans="2:5" ht="12.75">
      <c r="B1411" s="339"/>
      <c r="C1411" s="420"/>
      <c r="D1411" s="339"/>
      <c r="E1411" s="339"/>
    </row>
    <row r="1412" spans="2:5" ht="12.75">
      <c r="B1412" s="339"/>
      <c r="C1412" s="420"/>
      <c r="D1412" s="339"/>
      <c r="E1412" s="339"/>
    </row>
    <row r="1413" spans="2:5" ht="12.75">
      <c r="B1413" s="339"/>
      <c r="C1413" s="420"/>
      <c r="D1413" s="339"/>
      <c r="E1413" s="339"/>
    </row>
    <row r="1414" spans="2:5" ht="12.75">
      <c r="B1414" s="339"/>
      <c r="C1414" s="420"/>
      <c r="D1414" s="339"/>
      <c r="E1414" s="339"/>
    </row>
    <row r="1415" spans="2:5" ht="12.75">
      <c r="B1415" s="339"/>
      <c r="C1415" s="420"/>
      <c r="D1415" s="339"/>
      <c r="E1415" s="339"/>
    </row>
    <row r="1416" spans="2:5" ht="12.75">
      <c r="B1416" s="339"/>
      <c r="C1416" s="420"/>
      <c r="D1416" s="339"/>
      <c r="E1416" s="339"/>
    </row>
    <row r="1417" spans="2:5" ht="12.75">
      <c r="B1417" s="339"/>
      <c r="C1417" s="420"/>
      <c r="D1417" s="339"/>
      <c r="E1417" s="339"/>
    </row>
  </sheetData>
  <mergeCells count="13">
    <mergeCell ref="A283:D283"/>
    <mergeCell ref="F8:F10"/>
    <mergeCell ref="G8:G10"/>
    <mergeCell ref="A8:A10"/>
    <mergeCell ref="B8:B10"/>
    <mergeCell ref="C8:C10"/>
    <mergeCell ref="D8:D10"/>
    <mergeCell ref="H9:H10"/>
    <mergeCell ref="I9:I10"/>
    <mergeCell ref="E8:E10"/>
    <mergeCell ref="A6:I6"/>
    <mergeCell ref="A7:I7"/>
    <mergeCell ref="H8:I8"/>
  </mergeCells>
  <printOptions horizontalCentered="1"/>
  <pageMargins left="0.24" right="0.2362204724409449" top="0.2362204724409449" bottom="0.32" header="0.2362204724409449" footer="0.26"/>
  <pageSetup fitToHeight="5" fitToWidth="0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4">
      <selection activeCell="E2" sqref="E2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.875" style="0" customWidth="1"/>
    <col min="4" max="4" width="52.25390625" style="0" customWidth="1"/>
    <col min="5" max="5" width="11.625" style="0" customWidth="1"/>
    <col min="6" max="6" width="12.625" style="0" customWidth="1"/>
  </cols>
  <sheetData>
    <row r="1" ht="12.75">
      <c r="E1" s="121" t="s">
        <v>230</v>
      </c>
    </row>
    <row r="2" ht="12.75">
      <c r="E2" s="121" t="s">
        <v>71</v>
      </c>
    </row>
    <row r="3" ht="12.75">
      <c r="E3" s="121" t="s">
        <v>826</v>
      </c>
    </row>
    <row r="4" ht="12.75">
      <c r="E4" s="121" t="s">
        <v>869</v>
      </c>
    </row>
    <row r="7" spans="2:5" ht="18">
      <c r="B7" s="1150" t="s">
        <v>233</v>
      </c>
      <c r="C7" s="1150"/>
      <c r="D7" s="1150"/>
      <c r="E7" s="1150"/>
    </row>
    <row r="8" spans="2:5" ht="18">
      <c r="B8" s="1150" t="s">
        <v>232</v>
      </c>
      <c r="C8" s="1150"/>
      <c r="D8" s="1150"/>
      <c r="E8" s="1150"/>
    </row>
    <row r="9" spans="2:5" ht="18">
      <c r="B9" s="1150" t="s">
        <v>231</v>
      </c>
      <c r="C9" s="1150"/>
      <c r="D9" s="1150"/>
      <c r="E9" s="1150"/>
    </row>
    <row r="10" ht="13.5" thickBot="1">
      <c r="F10" s="767" t="s">
        <v>434</v>
      </c>
    </row>
    <row r="11" spans="1:6" ht="12.75">
      <c r="A11" s="1151" t="s">
        <v>828</v>
      </c>
      <c r="B11" s="1152"/>
      <c r="C11" s="1153"/>
      <c r="D11" s="1025" t="s">
        <v>77</v>
      </c>
      <c r="E11" s="1025" t="s">
        <v>36</v>
      </c>
      <c r="F11" s="1154" t="s">
        <v>401</v>
      </c>
    </row>
    <row r="12" spans="1:6" ht="12.75">
      <c r="A12" s="1157" t="s">
        <v>635</v>
      </c>
      <c r="B12" s="1158" t="s">
        <v>433</v>
      </c>
      <c r="C12" s="1158" t="s">
        <v>397</v>
      </c>
      <c r="D12" s="1026"/>
      <c r="E12" s="1026"/>
      <c r="F12" s="1155"/>
    </row>
    <row r="13" spans="1:6" ht="13.5" thickBot="1">
      <c r="A13" s="1024"/>
      <c r="B13" s="1027"/>
      <c r="C13" s="1027"/>
      <c r="D13" s="1027"/>
      <c r="E13" s="1027"/>
      <c r="F13" s="1156"/>
    </row>
    <row r="14" spans="1:6" ht="12.75" customHeight="1" thickBot="1">
      <c r="A14" s="517">
        <v>1</v>
      </c>
      <c r="B14" s="518">
        <v>2</v>
      </c>
      <c r="C14" s="519">
        <v>3</v>
      </c>
      <c r="D14" s="519">
        <v>4</v>
      </c>
      <c r="E14" s="519">
        <v>5</v>
      </c>
      <c r="F14" s="520">
        <v>6</v>
      </c>
    </row>
    <row r="15" spans="1:6" ht="13.5" thickBot="1">
      <c r="A15" s="521">
        <v>853</v>
      </c>
      <c r="B15" s="747"/>
      <c r="C15" s="747"/>
      <c r="D15" s="390" t="s">
        <v>773</v>
      </c>
      <c r="E15" s="748">
        <f>E16</f>
        <v>206577</v>
      </c>
      <c r="F15" s="768">
        <f>F16</f>
        <v>206577</v>
      </c>
    </row>
    <row r="16" spans="1:6" ht="12.75">
      <c r="A16" s="564"/>
      <c r="B16" s="585">
        <v>85395</v>
      </c>
      <c r="C16" s="585"/>
      <c r="D16" s="585" t="s">
        <v>621</v>
      </c>
      <c r="E16" s="552">
        <f>E17+E19</f>
        <v>206577</v>
      </c>
      <c r="F16" s="769">
        <f>SUM(F21:F27)</f>
        <v>206577</v>
      </c>
    </row>
    <row r="17" spans="1:6" ht="12.75">
      <c r="A17" s="564"/>
      <c r="B17" s="557"/>
      <c r="C17" s="557">
        <v>2128</v>
      </c>
      <c r="D17" s="347" t="s">
        <v>222</v>
      </c>
      <c r="E17" s="555">
        <f>'Dochody-ukł.wykon.'!F253</f>
        <v>166081</v>
      </c>
      <c r="F17" s="770"/>
    </row>
    <row r="18" spans="1:6" ht="12.75">
      <c r="A18" s="564"/>
      <c r="B18" s="557"/>
      <c r="C18" s="557"/>
      <c r="D18" s="347" t="s">
        <v>223</v>
      </c>
      <c r="E18" s="557"/>
      <c r="F18" s="770"/>
    </row>
    <row r="19" spans="1:6" ht="12.75">
      <c r="A19" s="564"/>
      <c r="B19" s="557"/>
      <c r="C19" s="557">
        <v>2129</v>
      </c>
      <c r="D19" s="347" t="s">
        <v>222</v>
      </c>
      <c r="E19" s="555">
        <f>'Dochody-ukł.wykon.'!F255</f>
        <v>40496</v>
      </c>
      <c r="F19" s="770"/>
    </row>
    <row r="20" spans="1:6" ht="12.75">
      <c r="A20" s="564"/>
      <c r="B20" s="557"/>
      <c r="C20" s="557"/>
      <c r="D20" s="347" t="s">
        <v>223</v>
      </c>
      <c r="E20" s="555"/>
      <c r="F20" s="770"/>
    </row>
    <row r="21" spans="1:6" ht="12.75">
      <c r="A21" s="564"/>
      <c r="B21" s="557"/>
      <c r="C21" s="150">
        <v>3118</v>
      </c>
      <c r="D21" s="152" t="s">
        <v>781</v>
      </c>
      <c r="E21" s="557"/>
      <c r="F21" s="771">
        <f>'WYDATKI ukł.wyk.'!F540</f>
        <v>131031</v>
      </c>
    </row>
    <row r="22" spans="1:6" ht="12.75">
      <c r="A22" s="564"/>
      <c r="B22" s="557"/>
      <c r="C22" s="150">
        <v>3119</v>
      </c>
      <c r="D22" s="152" t="s">
        <v>781</v>
      </c>
      <c r="E22" s="557"/>
      <c r="F22" s="771">
        <f>'WYDATKI ukł.wyk.'!F541</f>
        <v>36054</v>
      </c>
    </row>
    <row r="23" spans="1:6" ht="12.75">
      <c r="A23" s="564"/>
      <c r="B23" s="557"/>
      <c r="C23" s="150">
        <v>4018</v>
      </c>
      <c r="D23" s="152" t="s">
        <v>647</v>
      </c>
      <c r="E23" s="557"/>
      <c r="F23" s="771">
        <f>'WYDATKI ukł.wyk.'!F542</f>
        <v>20048</v>
      </c>
    </row>
    <row r="24" spans="1:6" ht="12.75">
      <c r="A24" s="564"/>
      <c r="B24" s="557"/>
      <c r="C24" s="150">
        <v>4118</v>
      </c>
      <c r="D24" s="152" t="s">
        <v>649</v>
      </c>
      <c r="E24" s="557"/>
      <c r="F24" s="771">
        <f>'WYDATKI ukł.wyk.'!F544</f>
        <v>3752</v>
      </c>
    </row>
    <row r="25" spans="1:6" ht="12.75">
      <c r="A25" s="564"/>
      <c r="B25" s="557"/>
      <c r="C25" s="150">
        <v>4308</v>
      </c>
      <c r="D25" s="152" t="s">
        <v>641</v>
      </c>
      <c r="E25" s="557"/>
      <c r="F25" s="771">
        <f>'WYDATKI ukł.wyk.'!F551</f>
        <v>11250</v>
      </c>
    </row>
    <row r="26" spans="1:6" ht="12.75">
      <c r="A26" s="564"/>
      <c r="B26" s="557"/>
      <c r="C26" s="150">
        <v>4309</v>
      </c>
      <c r="D26" s="152" t="s">
        <v>641</v>
      </c>
      <c r="E26" s="557"/>
      <c r="F26" s="771">
        <f>'WYDATKI ukł.wyk.'!F552</f>
        <v>4442</v>
      </c>
    </row>
    <row r="27" spans="1:6" ht="12.75">
      <c r="A27" s="564"/>
      <c r="B27" s="557"/>
      <c r="C27" s="557"/>
      <c r="D27" s="121"/>
      <c r="E27" s="557"/>
      <c r="F27" s="771"/>
    </row>
    <row r="28" spans="1:6" ht="13.5" thickBot="1">
      <c r="A28" s="772"/>
      <c r="B28" s="773"/>
      <c r="C28" s="773"/>
      <c r="D28" s="773"/>
      <c r="E28" s="773"/>
      <c r="F28" s="774"/>
    </row>
    <row r="29" spans="4:6" ht="13.5" thickBot="1">
      <c r="D29" s="499" t="s">
        <v>65</v>
      </c>
      <c r="E29" s="500">
        <f>E15</f>
        <v>206577</v>
      </c>
      <c r="F29" s="500">
        <f>F15</f>
        <v>206577</v>
      </c>
    </row>
    <row r="30" spans="4:6" ht="12.75">
      <c r="D30" s="502" t="s">
        <v>66</v>
      </c>
      <c r="E30" s="503"/>
      <c r="F30" s="504">
        <f>SUM(F31:F33)</f>
        <v>190885</v>
      </c>
    </row>
    <row r="31" spans="4:6" ht="12.75">
      <c r="D31" s="505" t="s">
        <v>67</v>
      </c>
      <c r="E31" s="506"/>
      <c r="F31" s="507">
        <f>F23</f>
        <v>20048</v>
      </c>
    </row>
    <row r="32" spans="4:6" ht="12.75">
      <c r="D32" s="505" t="s">
        <v>68</v>
      </c>
      <c r="E32" s="506"/>
      <c r="F32" s="507">
        <f>F24</f>
        <v>3752</v>
      </c>
    </row>
    <row r="33" spans="4:6" ht="12.75">
      <c r="D33" s="508" t="s">
        <v>69</v>
      </c>
      <c r="E33" s="509"/>
      <c r="F33" s="595">
        <f>F21+F22</f>
        <v>167085</v>
      </c>
    </row>
    <row r="34" spans="4:6" ht="13.5" thickBot="1">
      <c r="D34" s="511" t="s">
        <v>70</v>
      </c>
      <c r="E34" s="512"/>
      <c r="F34" s="513">
        <v>0</v>
      </c>
    </row>
  </sheetData>
  <mergeCells count="10">
    <mergeCell ref="F11:F13"/>
    <mergeCell ref="A12:A13"/>
    <mergeCell ref="B12:B13"/>
    <mergeCell ref="C12:C13"/>
    <mergeCell ref="B7:E7"/>
    <mergeCell ref="B8:E8"/>
    <mergeCell ref="A11:C11"/>
    <mergeCell ref="D11:D13"/>
    <mergeCell ref="E11:E13"/>
    <mergeCell ref="B9:E9"/>
  </mergeCells>
  <printOptions/>
  <pageMargins left="0.24" right="0.2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8"/>
  <sheetViews>
    <sheetView workbookViewId="0" topLeftCell="A80">
      <selection activeCell="C84" sqref="C84"/>
    </sheetView>
  </sheetViews>
  <sheetFormatPr defaultColWidth="9.00390625" defaultRowHeight="12.75"/>
  <cols>
    <col min="1" max="1" width="6.25390625" style="255" customWidth="1"/>
    <col min="2" max="2" width="7.125" style="255" customWidth="1"/>
    <col min="3" max="3" width="6.00390625" style="255" customWidth="1"/>
    <col min="4" max="4" width="49.00390625" style="255" customWidth="1"/>
    <col min="5" max="5" width="13.625" style="255" customWidth="1"/>
    <col min="6" max="6" width="14.00390625" style="255" customWidth="1"/>
    <col min="7" max="16384" width="9.125" style="255" customWidth="1"/>
  </cols>
  <sheetData>
    <row r="1" spans="5:6" ht="12">
      <c r="E1" s="256" t="s">
        <v>296</v>
      </c>
      <c r="F1" s="516"/>
    </row>
    <row r="2" spans="5:6" ht="12">
      <c r="E2" s="256" t="s">
        <v>71</v>
      </c>
      <c r="F2" s="516"/>
    </row>
    <row r="3" spans="4:6" ht="12">
      <c r="D3" s="257"/>
      <c r="E3" s="256" t="s">
        <v>826</v>
      </c>
      <c r="F3" s="516"/>
    </row>
    <row r="4" spans="4:6" ht="12">
      <c r="D4" s="257"/>
      <c r="E4" s="256" t="s">
        <v>72</v>
      </c>
      <c r="F4" s="516"/>
    </row>
    <row r="5" spans="4:6" ht="8.25" customHeight="1">
      <c r="D5" s="257"/>
      <c r="E5" s="256"/>
      <c r="F5" s="256"/>
    </row>
    <row r="6" spans="1:6" ht="15.75">
      <c r="A6" s="1164" t="s">
        <v>73</v>
      </c>
      <c r="B6" s="1164"/>
      <c r="C6" s="1164"/>
      <c r="D6" s="1164"/>
      <c r="E6" s="1164"/>
      <c r="F6" s="1164"/>
    </row>
    <row r="7" spans="1:6" ht="15.75">
      <c r="A7" s="1164" t="s">
        <v>74</v>
      </c>
      <c r="B7" s="1164"/>
      <c r="C7" s="1164"/>
      <c r="D7" s="1164"/>
      <c r="E7" s="1164"/>
      <c r="F7" s="1164"/>
    </row>
    <row r="8" spans="1:6" ht="12.75" customHeight="1">
      <c r="A8" s="1164" t="s">
        <v>75</v>
      </c>
      <c r="B8" s="1164"/>
      <c r="C8" s="1164"/>
      <c r="D8" s="1164"/>
      <c r="E8" s="1164"/>
      <c r="F8" s="1164"/>
    </row>
    <row r="9" spans="1:6" ht="8.25" customHeight="1" thickBot="1">
      <c r="A9" s="257"/>
      <c r="B9" s="257"/>
      <c r="C9" s="257"/>
      <c r="D9" s="257"/>
      <c r="E9" s="257"/>
      <c r="F9" s="258" t="s">
        <v>76</v>
      </c>
    </row>
    <row r="10" spans="1:6" ht="12.75" customHeight="1">
      <c r="A10" s="1151" t="s">
        <v>828</v>
      </c>
      <c r="B10" s="1152"/>
      <c r="C10" s="1153"/>
      <c r="D10" s="1025" t="s">
        <v>77</v>
      </c>
      <c r="E10" s="1025" t="s">
        <v>36</v>
      </c>
      <c r="F10" s="1154" t="s">
        <v>401</v>
      </c>
    </row>
    <row r="11" spans="1:6" ht="11.25" customHeight="1" thickBot="1">
      <c r="A11" s="1157" t="s">
        <v>635</v>
      </c>
      <c r="B11" s="1158" t="s">
        <v>433</v>
      </c>
      <c r="C11" s="1158" t="s">
        <v>397</v>
      </c>
      <c r="D11" s="1026"/>
      <c r="E11" s="1026"/>
      <c r="F11" s="1155"/>
    </row>
    <row r="12" spans="1:6" ht="0.75" customHeight="1" hidden="1" thickBot="1">
      <c r="A12" s="1024"/>
      <c r="B12" s="1027"/>
      <c r="C12" s="1027"/>
      <c r="D12" s="1027"/>
      <c r="E12" s="1027"/>
      <c r="F12" s="1156"/>
    </row>
    <row r="13" spans="1:6" ht="10.5" thickBot="1">
      <c r="A13" s="517">
        <v>1</v>
      </c>
      <c r="B13" s="518">
        <v>2</v>
      </c>
      <c r="C13" s="519">
        <v>3</v>
      </c>
      <c r="D13" s="519">
        <v>4</v>
      </c>
      <c r="E13" s="519">
        <v>5</v>
      </c>
      <c r="F13" s="520">
        <v>6</v>
      </c>
    </row>
    <row r="14" spans="1:6" ht="12" customHeight="1" thickBot="1">
      <c r="A14" s="1159" t="s">
        <v>78</v>
      </c>
      <c r="B14" s="1162"/>
      <c r="C14" s="1162"/>
      <c r="D14" s="1162"/>
      <c r="E14" s="1162"/>
      <c r="F14" s="1163"/>
    </row>
    <row r="15" spans="1:6" ht="12" customHeight="1" thickBot="1">
      <c r="A15" s="571">
        <v>803</v>
      </c>
      <c r="B15" s="572"/>
      <c r="C15" s="572"/>
      <c r="D15" s="100" t="s">
        <v>734</v>
      </c>
      <c r="E15" s="754">
        <f>E16</f>
        <v>571098</v>
      </c>
      <c r="F15" s="583">
        <f>F16</f>
        <v>571098</v>
      </c>
    </row>
    <row r="16" spans="1:6" ht="12" customHeight="1">
      <c r="A16" s="573"/>
      <c r="B16" s="574">
        <v>80309</v>
      </c>
      <c r="C16" s="574"/>
      <c r="D16" s="92" t="s">
        <v>735</v>
      </c>
      <c r="E16" s="753">
        <f>SUM(E17:E26)</f>
        <v>571098</v>
      </c>
      <c r="F16" s="582">
        <f>SUM(F17:F26)</f>
        <v>571098</v>
      </c>
    </row>
    <row r="17" spans="1:6" ht="12" customHeight="1">
      <c r="A17" s="573"/>
      <c r="B17" s="575"/>
      <c r="C17" s="575">
        <v>2338</v>
      </c>
      <c r="D17" s="178" t="s">
        <v>135</v>
      </c>
      <c r="E17" s="751">
        <f>'Dochody-ukł.wykon.'!F168</f>
        <v>428324</v>
      </c>
      <c r="F17" s="750"/>
    </row>
    <row r="18" spans="1:6" ht="12" customHeight="1">
      <c r="A18" s="573"/>
      <c r="B18" s="575"/>
      <c r="C18" s="575"/>
      <c r="D18" s="178" t="s">
        <v>136</v>
      </c>
      <c r="E18" s="752"/>
      <c r="F18" s="750"/>
    </row>
    <row r="19" spans="1:6" ht="12" customHeight="1">
      <c r="A19" s="573"/>
      <c r="B19" s="575"/>
      <c r="C19" s="575">
        <v>2339</v>
      </c>
      <c r="D19" s="178" t="s">
        <v>135</v>
      </c>
      <c r="E19" s="751">
        <f>'Dochody-ukł.wykon.'!F170</f>
        <v>142774</v>
      </c>
      <c r="F19" s="750"/>
    </row>
    <row r="20" spans="1:6" ht="12" customHeight="1">
      <c r="A20" s="573"/>
      <c r="B20" s="575"/>
      <c r="C20" s="575"/>
      <c r="D20" s="178" t="s">
        <v>136</v>
      </c>
      <c r="E20" s="752"/>
      <c r="F20" s="750"/>
    </row>
    <row r="21" spans="1:6" ht="12" customHeight="1">
      <c r="A21" s="573"/>
      <c r="B21" s="575"/>
      <c r="C21" s="156">
        <v>3218</v>
      </c>
      <c r="D21" s="188" t="s">
        <v>736</v>
      </c>
      <c r="E21" s="752"/>
      <c r="F21" s="581">
        <f>'WYDATKI ukł.wyk.'!F327</f>
        <v>399877</v>
      </c>
    </row>
    <row r="22" spans="1:6" ht="12" customHeight="1">
      <c r="A22" s="573"/>
      <c r="B22" s="575"/>
      <c r="C22" s="156">
        <v>3219</v>
      </c>
      <c r="D22" s="188" t="s">
        <v>736</v>
      </c>
      <c r="E22" s="752"/>
      <c r="F22" s="581">
        <f>'WYDATKI ukł.wyk.'!F328</f>
        <v>133292</v>
      </c>
    </row>
    <row r="23" spans="1:6" ht="12" customHeight="1">
      <c r="A23" s="573"/>
      <c r="B23" s="575"/>
      <c r="C23" s="156">
        <v>4218</v>
      </c>
      <c r="D23" s="188" t="s">
        <v>652</v>
      </c>
      <c r="E23" s="752"/>
      <c r="F23" s="581">
        <f>'WYDATKI ukł.wyk.'!F330</f>
        <v>2619</v>
      </c>
    </row>
    <row r="24" spans="1:6" ht="12" customHeight="1">
      <c r="A24" s="573"/>
      <c r="B24" s="575"/>
      <c r="C24" s="156">
        <v>4219</v>
      </c>
      <c r="D24" s="188" t="s">
        <v>652</v>
      </c>
      <c r="E24" s="752"/>
      <c r="F24" s="581">
        <f>'WYDATKI ukł.wyk.'!F331</f>
        <v>873</v>
      </c>
    </row>
    <row r="25" spans="1:6" ht="12" customHeight="1">
      <c r="A25" s="573"/>
      <c r="B25" s="575"/>
      <c r="C25" s="156">
        <v>4308</v>
      </c>
      <c r="D25" s="188" t="s">
        <v>641</v>
      </c>
      <c r="E25" s="752"/>
      <c r="F25" s="581">
        <f>'WYDATKI ukł.wyk.'!F333</f>
        <v>25828</v>
      </c>
    </row>
    <row r="26" spans="1:6" ht="12" customHeight="1">
      <c r="A26" s="573"/>
      <c r="B26" s="575"/>
      <c r="C26" s="156">
        <v>4308</v>
      </c>
      <c r="D26" s="188" t="s">
        <v>641</v>
      </c>
      <c r="E26" s="575"/>
      <c r="F26" s="581">
        <f>'WYDATKI ukł.wyk.'!F334</f>
        <v>8609</v>
      </c>
    </row>
    <row r="27" spans="1:6" ht="12" customHeight="1" thickBot="1">
      <c r="A27" s="576"/>
      <c r="B27" s="577"/>
      <c r="C27" s="577"/>
      <c r="D27" s="577"/>
      <c r="E27" s="577"/>
      <c r="F27" s="578"/>
    </row>
    <row r="28" spans="1:6" ht="12.75" thickBot="1">
      <c r="A28" s="521">
        <v>851</v>
      </c>
      <c r="B28" s="522"/>
      <c r="C28" s="523"/>
      <c r="D28" s="524" t="s">
        <v>737</v>
      </c>
      <c r="E28" s="525">
        <f>SUM(E29)</f>
        <v>4925</v>
      </c>
      <c r="F28" s="526">
        <f>SUM(F29)</f>
        <v>4925</v>
      </c>
    </row>
    <row r="29" spans="1:6" ht="12">
      <c r="A29" s="527"/>
      <c r="B29" s="528">
        <v>85154</v>
      </c>
      <c r="C29" s="529"/>
      <c r="D29" s="530" t="s">
        <v>960</v>
      </c>
      <c r="E29" s="531">
        <f>E30</f>
        <v>4925</v>
      </c>
      <c r="F29" s="532">
        <f>SUM(F33:F33)</f>
        <v>4925</v>
      </c>
    </row>
    <row r="30" spans="1:6" ht="12">
      <c r="A30" s="527"/>
      <c r="B30" s="533"/>
      <c r="C30" s="534">
        <v>2330</v>
      </c>
      <c r="D30" s="535" t="s">
        <v>79</v>
      </c>
      <c r="E30" s="537">
        <f>'Dochody-ukł.wykon.'!F179</f>
        <v>4925</v>
      </c>
      <c r="F30" s="536"/>
    </row>
    <row r="31" spans="1:6" ht="12">
      <c r="A31" s="527"/>
      <c r="B31" s="533"/>
      <c r="C31" s="534"/>
      <c r="D31" s="535" t="s">
        <v>80</v>
      </c>
      <c r="E31" s="533"/>
      <c r="F31" s="536"/>
    </row>
    <row r="32" spans="1:6" ht="12">
      <c r="A32" s="527"/>
      <c r="B32" s="533"/>
      <c r="C32" s="534"/>
      <c r="D32" s="535" t="s">
        <v>81</v>
      </c>
      <c r="E32" s="537"/>
      <c r="F32" s="536"/>
    </row>
    <row r="33" spans="1:6" ht="12">
      <c r="A33" s="527"/>
      <c r="B33" s="533"/>
      <c r="C33" s="534">
        <v>4300</v>
      </c>
      <c r="D33" s="538" t="s">
        <v>641</v>
      </c>
      <c r="E33" s="533"/>
      <c r="F33" s="539">
        <f>'WYDATKI ukł.wyk.'!F356</f>
        <v>4925</v>
      </c>
    </row>
    <row r="34" spans="1:6" ht="12.75" thickBot="1">
      <c r="A34" s="527"/>
      <c r="B34" s="533"/>
      <c r="C34" s="534"/>
      <c r="D34" s="256"/>
      <c r="E34" s="533"/>
      <c r="F34" s="539"/>
    </row>
    <row r="35" spans="1:6" ht="13.5" thickBot="1">
      <c r="A35" s="974">
        <v>854</v>
      </c>
      <c r="B35" s="975"/>
      <c r="C35" s="588"/>
      <c r="D35" s="592" t="s">
        <v>784</v>
      </c>
      <c r="E35" s="976">
        <f>E36</f>
        <v>153880</v>
      </c>
      <c r="F35" s="977">
        <f>F36</f>
        <v>153880</v>
      </c>
    </row>
    <row r="36" spans="1:6" ht="12.75">
      <c r="A36" s="527"/>
      <c r="B36" s="550">
        <v>85415</v>
      </c>
      <c r="C36" s="586"/>
      <c r="D36" s="92" t="s">
        <v>789</v>
      </c>
      <c r="E36" s="755">
        <f>SUM(E37:E50)</f>
        <v>153880</v>
      </c>
      <c r="F36" s="755">
        <f>SUM(F37:F51)</f>
        <v>153880</v>
      </c>
    </row>
    <row r="37" spans="1:6" ht="12">
      <c r="A37" s="527"/>
      <c r="B37" s="533"/>
      <c r="C37" s="534">
        <v>2338</v>
      </c>
      <c r="D37" s="178" t="s">
        <v>135</v>
      </c>
      <c r="E37" s="537">
        <f>'Dochody-ukł.wykon.'!F272</f>
        <v>104638</v>
      </c>
      <c r="F37" s="539"/>
    </row>
    <row r="38" spans="1:6" ht="12">
      <c r="A38" s="527"/>
      <c r="B38" s="533"/>
      <c r="C38" s="534"/>
      <c r="D38" s="178" t="s">
        <v>136</v>
      </c>
      <c r="E38" s="756"/>
      <c r="F38" s="539"/>
    </row>
    <row r="39" spans="1:6" ht="12">
      <c r="A39" s="527"/>
      <c r="B39" s="533"/>
      <c r="C39" s="534">
        <v>2339</v>
      </c>
      <c r="D39" s="178" t="s">
        <v>135</v>
      </c>
      <c r="E39" s="537">
        <f>'Dochody-ukł.wykon.'!F274</f>
        <v>49242</v>
      </c>
      <c r="F39" s="539"/>
    </row>
    <row r="40" spans="1:6" ht="12">
      <c r="A40" s="527"/>
      <c r="B40" s="533"/>
      <c r="C40" s="534"/>
      <c r="D40" s="178" t="s">
        <v>136</v>
      </c>
      <c r="E40" s="756"/>
      <c r="F40" s="539"/>
    </row>
    <row r="41" spans="1:6" ht="12.75">
      <c r="A41" s="527"/>
      <c r="B41" s="533"/>
      <c r="C41" s="150">
        <v>3248</v>
      </c>
      <c r="D41" s="152" t="s">
        <v>791</v>
      </c>
      <c r="E41" s="756"/>
      <c r="F41" s="539">
        <f>'WYDATKI ukł.wyk.'!F610</f>
        <v>97430</v>
      </c>
    </row>
    <row r="42" spans="1:6" ht="12.75">
      <c r="A42" s="527"/>
      <c r="B42" s="533"/>
      <c r="C42" s="150">
        <v>3249</v>
      </c>
      <c r="D42" s="152" t="s">
        <v>791</v>
      </c>
      <c r="E42" s="756"/>
      <c r="F42" s="539">
        <f>'WYDATKI ukł.wyk.'!F611</f>
        <v>45850</v>
      </c>
    </row>
    <row r="43" spans="1:6" ht="12.75">
      <c r="A43" s="527"/>
      <c r="B43" s="533"/>
      <c r="C43" s="150">
        <v>4118</v>
      </c>
      <c r="D43" s="152" t="s">
        <v>649</v>
      </c>
      <c r="E43" s="756"/>
      <c r="F43" s="539">
        <f>'WYDATKI ukł.wyk.'!F613</f>
        <v>119</v>
      </c>
    </row>
    <row r="44" spans="1:6" ht="12.75">
      <c r="A44" s="527"/>
      <c r="B44" s="533"/>
      <c r="C44" s="150">
        <v>4119</v>
      </c>
      <c r="D44" s="152" t="s">
        <v>649</v>
      </c>
      <c r="E44" s="756"/>
      <c r="F44" s="539">
        <f>'WYDATKI ukł.wyk.'!F614</f>
        <v>56</v>
      </c>
    </row>
    <row r="45" spans="1:6" ht="12.75">
      <c r="A45" s="527"/>
      <c r="B45" s="533"/>
      <c r="C45" s="150">
        <v>4128</v>
      </c>
      <c r="D45" s="152" t="s">
        <v>650</v>
      </c>
      <c r="E45" s="756"/>
      <c r="F45" s="539">
        <f>'WYDATKI ukł.wyk.'!F616</f>
        <v>17</v>
      </c>
    </row>
    <row r="46" spans="1:6" ht="12.75">
      <c r="A46" s="527"/>
      <c r="B46" s="533"/>
      <c r="C46" s="150">
        <v>4129</v>
      </c>
      <c r="D46" s="152" t="s">
        <v>650</v>
      </c>
      <c r="E46" s="756"/>
      <c r="F46" s="539">
        <f>'WYDATKI ukł.wyk.'!F617</f>
        <v>8</v>
      </c>
    </row>
    <row r="47" spans="1:6" ht="12.75">
      <c r="A47" s="527"/>
      <c r="B47" s="533"/>
      <c r="C47" s="150">
        <v>4178</v>
      </c>
      <c r="D47" s="152" t="s">
        <v>651</v>
      </c>
      <c r="E47" s="756"/>
      <c r="F47" s="539">
        <f>'WYDATKI ukł.wyk.'!F619</f>
        <v>2312</v>
      </c>
    </row>
    <row r="48" spans="1:6" ht="12.75">
      <c r="A48" s="527"/>
      <c r="B48" s="533"/>
      <c r="C48" s="150">
        <v>4179</v>
      </c>
      <c r="D48" s="152" t="s">
        <v>651</v>
      </c>
      <c r="E48" s="756"/>
      <c r="F48" s="539">
        <f>'WYDATKI ukł.wyk.'!F620</f>
        <v>1088</v>
      </c>
    </row>
    <row r="49" spans="1:6" ht="12.75">
      <c r="A49" s="527"/>
      <c r="B49" s="533"/>
      <c r="C49" s="150">
        <v>4308</v>
      </c>
      <c r="D49" s="152" t="s">
        <v>641</v>
      </c>
      <c r="E49" s="756"/>
      <c r="F49" s="539">
        <f>'WYDATKI ukł.wyk.'!F623</f>
        <v>4760</v>
      </c>
    </row>
    <row r="50" spans="1:6" ht="12.75">
      <c r="A50" s="527"/>
      <c r="B50" s="533"/>
      <c r="C50" s="150">
        <v>4309</v>
      </c>
      <c r="D50" s="152" t="s">
        <v>641</v>
      </c>
      <c r="E50" s="756"/>
      <c r="F50" s="539">
        <f>'WYDATKI ukł.wyk.'!F624</f>
        <v>2240</v>
      </c>
    </row>
    <row r="51" spans="1:6" ht="12">
      <c r="A51" s="527"/>
      <c r="B51" s="540"/>
      <c r="C51" s="533"/>
      <c r="D51" s="256"/>
      <c r="E51" s="533"/>
      <c r="F51" s="539"/>
    </row>
    <row r="52" spans="1:6" ht="5.25" customHeight="1" thickBot="1">
      <c r="A52" s="541"/>
      <c r="B52" s="542"/>
      <c r="C52" s="543"/>
      <c r="D52" s="544"/>
      <c r="E52" s="543"/>
      <c r="F52" s="545"/>
    </row>
    <row r="53" spans="1:6" ht="12" customHeight="1" thickBot="1">
      <c r="A53" s="1159" t="s">
        <v>82</v>
      </c>
      <c r="B53" s="1160"/>
      <c r="C53" s="1160"/>
      <c r="D53" s="1160"/>
      <c r="E53" s="1160"/>
      <c r="F53" s="1161"/>
    </row>
    <row r="54" spans="1:6" ht="12" customHeight="1" thickBot="1">
      <c r="A54" s="571">
        <v>600</v>
      </c>
      <c r="B54" s="572"/>
      <c r="C54" s="572"/>
      <c r="D54" s="579" t="s">
        <v>627</v>
      </c>
      <c r="E54" s="572"/>
      <c r="F54" s="583">
        <f>F55</f>
        <v>8423</v>
      </c>
    </row>
    <row r="55" spans="1:6" ht="12" customHeight="1">
      <c r="A55" s="573"/>
      <c r="B55" s="574">
        <v>60014</v>
      </c>
      <c r="C55" s="574"/>
      <c r="D55" s="580" t="s">
        <v>630</v>
      </c>
      <c r="E55" s="574"/>
      <c r="F55" s="582">
        <f>F56</f>
        <v>8423</v>
      </c>
    </row>
    <row r="56" spans="1:6" ht="12" customHeight="1">
      <c r="A56" s="573"/>
      <c r="B56" s="575"/>
      <c r="C56" s="575">
        <v>2310</v>
      </c>
      <c r="D56" s="557" t="s">
        <v>86</v>
      </c>
      <c r="E56" s="575"/>
      <c r="F56" s="581">
        <f>'WYDATKI ukł.wyk.'!F31</f>
        <v>8423</v>
      </c>
    </row>
    <row r="57" spans="1:6" ht="12" customHeight="1" thickBot="1">
      <c r="A57" s="576"/>
      <c r="B57" s="577"/>
      <c r="C57" s="577"/>
      <c r="D57" s="557" t="s">
        <v>87</v>
      </c>
      <c r="E57" s="577"/>
      <c r="F57" s="578"/>
    </row>
    <row r="58" spans="1:7" ht="12.75" thickBot="1">
      <c r="A58" s="521">
        <v>852</v>
      </c>
      <c r="B58" s="523"/>
      <c r="C58" s="546"/>
      <c r="D58" s="584" t="s">
        <v>754</v>
      </c>
      <c r="E58" s="547">
        <f>E71+E59</f>
        <v>367904</v>
      </c>
      <c r="F58" s="548">
        <f>F71+F59</f>
        <v>1020016</v>
      </c>
      <c r="G58" s="259"/>
    </row>
    <row r="59" spans="1:7" ht="12">
      <c r="A59" s="549"/>
      <c r="B59" s="550">
        <v>85201</v>
      </c>
      <c r="C59" s="551"/>
      <c r="D59" s="551" t="s">
        <v>755</v>
      </c>
      <c r="E59" s="552">
        <f>E60</f>
        <v>311304</v>
      </c>
      <c r="F59" s="553">
        <f>SUM(F63:F69)</f>
        <v>846429</v>
      </c>
      <c r="G59" s="259"/>
    </row>
    <row r="60" spans="1:7" ht="12">
      <c r="A60" s="549"/>
      <c r="B60" s="554"/>
      <c r="C60" s="534">
        <v>2310</v>
      </c>
      <c r="D60" s="538" t="s">
        <v>83</v>
      </c>
      <c r="E60" s="555">
        <f>'Dochody-ukł.wykon.'!F194</f>
        <v>311304</v>
      </c>
      <c r="F60" s="556"/>
      <c r="G60" s="259"/>
    </row>
    <row r="61" spans="1:7" ht="12">
      <c r="A61" s="549"/>
      <c r="B61" s="554"/>
      <c r="C61" s="534"/>
      <c r="D61" s="557" t="s">
        <v>956</v>
      </c>
      <c r="E61" s="555"/>
      <c r="F61" s="558"/>
      <c r="G61" s="259"/>
    </row>
    <row r="62" spans="1:7" ht="12">
      <c r="A62" s="549"/>
      <c r="B62" s="554"/>
      <c r="C62" s="534">
        <v>2310</v>
      </c>
      <c r="D62" s="538" t="s">
        <v>86</v>
      </c>
      <c r="E62" s="555"/>
      <c r="F62" s="558"/>
      <c r="G62" s="259"/>
    </row>
    <row r="63" spans="1:7" ht="12">
      <c r="A63" s="549"/>
      <c r="B63" s="554"/>
      <c r="C63" s="534"/>
      <c r="D63" s="538" t="s">
        <v>87</v>
      </c>
      <c r="E63" s="555"/>
      <c r="F63" s="558">
        <f>'WYDATKI ukł.wyk.'!F365</f>
        <v>535125</v>
      </c>
      <c r="G63" s="259"/>
    </row>
    <row r="64" spans="1:7" ht="12">
      <c r="A64" s="549"/>
      <c r="B64" s="554"/>
      <c r="C64" s="534">
        <v>4010</v>
      </c>
      <c r="D64" s="538" t="s">
        <v>647</v>
      </c>
      <c r="E64" s="555"/>
      <c r="F64" s="558">
        <v>200000</v>
      </c>
      <c r="G64" s="259"/>
    </row>
    <row r="65" spans="1:7" ht="12">
      <c r="A65" s="549"/>
      <c r="B65" s="554"/>
      <c r="C65" s="534">
        <v>4110</v>
      </c>
      <c r="D65" s="538" t="s">
        <v>84</v>
      </c>
      <c r="E65" s="555"/>
      <c r="F65" s="558">
        <v>33093</v>
      </c>
      <c r="G65" s="259"/>
    </row>
    <row r="66" spans="1:7" ht="12">
      <c r="A66" s="549"/>
      <c r="B66" s="554"/>
      <c r="C66" s="534">
        <v>4120</v>
      </c>
      <c r="D66" s="557" t="s">
        <v>650</v>
      </c>
      <c r="E66" s="555"/>
      <c r="F66" s="558">
        <v>4992</v>
      </c>
      <c r="G66" s="259"/>
    </row>
    <row r="67" spans="1:7" ht="12">
      <c r="A67" s="549"/>
      <c r="B67" s="554"/>
      <c r="C67" s="534">
        <v>4210</v>
      </c>
      <c r="D67" s="538" t="s">
        <v>652</v>
      </c>
      <c r="E67" s="555"/>
      <c r="F67" s="558">
        <v>27440</v>
      </c>
      <c r="G67" s="259"/>
    </row>
    <row r="68" spans="1:7" ht="12">
      <c r="A68" s="549"/>
      <c r="B68" s="554"/>
      <c r="C68" s="534">
        <v>4300</v>
      </c>
      <c r="D68" s="538" t="s">
        <v>641</v>
      </c>
      <c r="E68" s="555"/>
      <c r="F68" s="558">
        <v>45179</v>
      </c>
      <c r="G68" s="259"/>
    </row>
    <row r="69" spans="1:7" ht="12.75">
      <c r="A69" s="549"/>
      <c r="B69" s="554"/>
      <c r="C69" s="534">
        <v>4740</v>
      </c>
      <c r="D69" s="152" t="s">
        <v>85</v>
      </c>
      <c r="E69" s="555"/>
      <c r="F69" s="558">
        <v>600</v>
      </c>
      <c r="G69" s="259"/>
    </row>
    <row r="70" spans="1:7" ht="12">
      <c r="A70" s="549"/>
      <c r="B70" s="554"/>
      <c r="C70" s="559"/>
      <c r="D70" s="559"/>
      <c r="E70" s="560"/>
      <c r="F70" s="556"/>
      <c r="G70" s="259"/>
    </row>
    <row r="71" spans="1:6" ht="12">
      <c r="A71" s="527"/>
      <c r="B71" s="528">
        <v>85204</v>
      </c>
      <c r="C71" s="561"/>
      <c r="D71" s="561" t="s">
        <v>765</v>
      </c>
      <c r="E71" s="562">
        <f>E72</f>
        <v>56600</v>
      </c>
      <c r="F71" s="563">
        <f>F76+F74</f>
        <v>173587</v>
      </c>
    </row>
    <row r="72" spans="1:6" ht="12">
      <c r="A72" s="564"/>
      <c r="B72" s="557"/>
      <c r="C72" s="534">
        <v>2310</v>
      </c>
      <c r="D72" s="538" t="s">
        <v>83</v>
      </c>
      <c r="E72" s="555">
        <f>'[1]Dochody-ukł.wykon.'!F221</f>
        <v>56600</v>
      </c>
      <c r="F72" s="558"/>
    </row>
    <row r="73" spans="1:6" ht="12">
      <c r="A73" s="564"/>
      <c r="B73" s="557"/>
      <c r="C73" s="534"/>
      <c r="D73" s="557" t="s">
        <v>956</v>
      </c>
      <c r="E73" s="555"/>
      <c r="F73" s="558"/>
    </row>
    <row r="74" spans="1:6" ht="12">
      <c r="A74" s="564"/>
      <c r="B74" s="557"/>
      <c r="C74" s="534">
        <v>2310</v>
      </c>
      <c r="D74" s="538" t="s">
        <v>86</v>
      </c>
      <c r="E74" s="555"/>
      <c r="F74" s="558">
        <f>'WYDATKI ukł.wyk.'!F443</f>
        <v>116987</v>
      </c>
    </row>
    <row r="75" spans="1:6" ht="12">
      <c r="A75" s="564"/>
      <c r="B75" s="557"/>
      <c r="C75" s="534"/>
      <c r="D75" s="538" t="s">
        <v>87</v>
      </c>
      <c r="E75" s="555"/>
      <c r="F75" s="558"/>
    </row>
    <row r="76" spans="1:6" ht="12">
      <c r="A76" s="564"/>
      <c r="B76" s="557"/>
      <c r="C76" s="534">
        <v>3110</v>
      </c>
      <c r="D76" s="557" t="s">
        <v>756</v>
      </c>
      <c r="E76" s="555"/>
      <c r="F76" s="558">
        <v>56600</v>
      </c>
    </row>
    <row r="77" spans="1:6" ht="12.75" thickBot="1">
      <c r="A77" s="564"/>
      <c r="B77" s="557"/>
      <c r="C77" s="534"/>
      <c r="D77" s="538"/>
      <c r="E77" s="555"/>
      <c r="F77" s="558"/>
    </row>
    <row r="78" spans="1:6" ht="13.5" thickBot="1">
      <c r="A78" s="587">
        <v>853</v>
      </c>
      <c r="B78" s="584"/>
      <c r="C78" s="588"/>
      <c r="D78" s="592" t="s">
        <v>773</v>
      </c>
      <c r="E78" s="589"/>
      <c r="F78" s="590">
        <f>F79</f>
        <v>616103</v>
      </c>
    </row>
    <row r="79" spans="1:6" ht="12">
      <c r="A79" s="564"/>
      <c r="B79" s="585">
        <v>85333</v>
      </c>
      <c r="C79" s="586"/>
      <c r="D79" s="749" t="s">
        <v>775</v>
      </c>
      <c r="E79" s="552"/>
      <c r="F79" s="553">
        <f>F80</f>
        <v>616103</v>
      </c>
    </row>
    <row r="80" spans="1:6" ht="12">
      <c r="A80" s="564"/>
      <c r="B80" s="557"/>
      <c r="C80" s="534">
        <v>2310</v>
      </c>
      <c r="D80" s="538" t="s">
        <v>86</v>
      </c>
      <c r="E80" s="555"/>
      <c r="F80" s="558">
        <f>'WYDATKI ukł.wyk.'!F512</f>
        <v>616103</v>
      </c>
    </row>
    <row r="81" spans="1:6" ht="12">
      <c r="A81" s="564"/>
      <c r="B81" s="557"/>
      <c r="C81" s="534"/>
      <c r="D81" s="538" t="s">
        <v>87</v>
      </c>
      <c r="E81" s="555"/>
      <c r="F81" s="558"/>
    </row>
    <row r="82" spans="1:6" ht="12.75" thickBot="1">
      <c r="A82" s="564"/>
      <c r="B82" s="557"/>
      <c r="C82" s="534"/>
      <c r="D82" s="256"/>
      <c r="E82" s="555"/>
      <c r="F82" s="558"/>
    </row>
    <row r="83" spans="1:6" ht="13.5" thickBot="1">
      <c r="A83" s="587">
        <v>854</v>
      </c>
      <c r="B83" s="584"/>
      <c r="C83" s="588"/>
      <c r="D83" s="592" t="s">
        <v>784</v>
      </c>
      <c r="E83" s="589"/>
      <c r="F83" s="590">
        <f>F84</f>
        <v>199000</v>
      </c>
    </row>
    <row r="84" spans="1:6" ht="12.75">
      <c r="A84" s="564"/>
      <c r="B84" s="585">
        <v>85406</v>
      </c>
      <c r="C84" s="586"/>
      <c r="D84" s="92" t="s">
        <v>786</v>
      </c>
      <c r="E84" s="552"/>
      <c r="F84" s="553">
        <f>F85</f>
        <v>199000</v>
      </c>
    </row>
    <row r="85" spans="1:6" ht="12">
      <c r="A85" s="564"/>
      <c r="B85" s="557"/>
      <c r="C85" s="534">
        <v>2310</v>
      </c>
      <c r="D85" s="538" t="s">
        <v>86</v>
      </c>
      <c r="E85" s="555"/>
      <c r="F85" s="558">
        <f>'WYDATKI ukł.wyk.'!F566</f>
        <v>199000</v>
      </c>
    </row>
    <row r="86" spans="1:6" ht="12">
      <c r="A86" s="564"/>
      <c r="B86" s="557"/>
      <c r="C86" s="534"/>
      <c r="D86" s="538" t="s">
        <v>87</v>
      </c>
      <c r="E86" s="555"/>
      <c r="F86" s="558"/>
    </row>
    <row r="87" spans="1:6" ht="12.75" thickBot="1">
      <c r="A87" s="564"/>
      <c r="B87" s="557"/>
      <c r="C87" s="534"/>
      <c r="D87" s="538"/>
      <c r="E87" s="555"/>
      <c r="F87" s="558"/>
    </row>
    <row r="88" spans="1:6" ht="13.5" thickBot="1">
      <c r="A88" s="587">
        <v>921</v>
      </c>
      <c r="B88" s="584"/>
      <c r="C88" s="588"/>
      <c r="D88" s="591" t="s">
        <v>793</v>
      </c>
      <c r="E88" s="589"/>
      <c r="F88" s="590">
        <f>F89</f>
        <v>35000</v>
      </c>
    </row>
    <row r="89" spans="1:6" ht="12.75">
      <c r="A89" s="564"/>
      <c r="B89" s="585">
        <v>92116</v>
      </c>
      <c r="C89" s="586"/>
      <c r="D89" s="119" t="s">
        <v>795</v>
      </c>
      <c r="E89" s="552"/>
      <c r="F89" s="553">
        <f>F90</f>
        <v>35000</v>
      </c>
    </row>
    <row r="90" spans="1:6" ht="12">
      <c r="A90" s="564"/>
      <c r="B90" s="557"/>
      <c r="C90" s="534">
        <v>2310</v>
      </c>
      <c r="D90" s="538" t="s">
        <v>86</v>
      </c>
      <c r="E90" s="555"/>
      <c r="F90" s="558">
        <f>'WYDATKI ukł.wyk.'!F667</f>
        <v>35000</v>
      </c>
    </row>
    <row r="91" spans="1:6" ht="12.75" thickBot="1">
      <c r="A91" s="565"/>
      <c r="B91" s="566"/>
      <c r="C91" s="567"/>
      <c r="D91" s="568" t="s">
        <v>87</v>
      </c>
      <c r="E91" s="569"/>
      <c r="F91" s="570"/>
    </row>
    <row r="92" spans="1:7" ht="13.5" thickBot="1">
      <c r="A92" s="516"/>
      <c r="B92" s="516"/>
      <c r="C92" s="516"/>
      <c r="D92" s="593" t="s">
        <v>65</v>
      </c>
      <c r="E92" s="594">
        <f>E88+E83+E78+E58+E35+E15+E28</f>
        <v>1097807</v>
      </c>
      <c r="F92" s="594">
        <f>F88+F83+F78+F58+F35+F15+F28+F54</f>
        <v>2608445</v>
      </c>
      <c r="G92" s="516"/>
    </row>
    <row r="93" spans="1:7" ht="12.75">
      <c r="A93" s="516"/>
      <c r="B93" s="516"/>
      <c r="C93" s="516"/>
      <c r="D93" s="502" t="s">
        <v>66</v>
      </c>
      <c r="E93" s="503"/>
      <c r="F93" s="504">
        <f>SUM(F94:F96)</f>
        <v>298085</v>
      </c>
      <c r="G93" s="516"/>
    </row>
    <row r="94" spans="1:7" ht="12.75">
      <c r="A94" s="516"/>
      <c r="B94" s="516"/>
      <c r="C94" s="516"/>
      <c r="D94" s="505" t="s">
        <v>67</v>
      </c>
      <c r="E94" s="506"/>
      <c r="F94" s="507">
        <f>F64+F47+F48</f>
        <v>203400</v>
      </c>
      <c r="G94" s="516"/>
    </row>
    <row r="95" spans="1:7" ht="12.75">
      <c r="A95" s="516"/>
      <c r="B95" s="516"/>
      <c r="C95" s="516"/>
      <c r="D95" s="505" t="s">
        <v>68</v>
      </c>
      <c r="E95" s="506"/>
      <c r="F95" s="507">
        <f>F66+F65</f>
        <v>38085</v>
      </c>
      <c r="G95" s="516"/>
    </row>
    <row r="96" spans="1:7" ht="12.75">
      <c r="A96" s="516"/>
      <c r="B96" s="516"/>
      <c r="C96" s="516"/>
      <c r="D96" s="505" t="s">
        <v>69</v>
      </c>
      <c r="E96" s="506"/>
      <c r="F96" s="507">
        <f>F76</f>
        <v>56600</v>
      </c>
      <c r="G96" s="516"/>
    </row>
    <row r="97" spans="1:7" ht="12.75">
      <c r="A97" s="516"/>
      <c r="B97" s="516"/>
      <c r="C97" s="516"/>
      <c r="D97" s="508" t="s">
        <v>88</v>
      </c>
      <c r="E97" s="509"/>
      <c r="F97" s="595">
        <f>F90+F85+F74+F63+F56+F80</f>
        <v>1510638</v>
      </c>
      <c r="G97" s="516"/>
    </row>
    <row r="98" spans="1:7" ht="13.5" thickBot="1">
      <c r="A98" s="516"/>
      <c r="B98" s="516"/>
      <c r="C98" s="516"/>
      <c r="D98" s="511" t="s">
        <v>70</v>
      </c>
      <c r="E98" s="512"/>
      <c r="F98" s="513">
        <f>F51</f>
        <v>0</v>
      </c>
      <c r="G98" s="516"/>
    </row>
    <row r="99" spans="1:7" ht="12">
      <c r="A99" s="516"/>
      <c r="B99" s="516"/>
      <c r="C99" s="516"/>
      <c r="D99" s="516"/>
      <c r="E99" s="516"/>
      <c r="F99" s="516"/>
      <c r="G99" s="516"/>
    </row>
    <row r="100" spans="1:7" ht="12">
      <c r="A100" s="516"/>
      <c r="B100" s="516"/>
      <c r="C100" s="516"/>
      <c r="D100" s="516"/>
      <c r="E100" s="516"/>
      <c r="F100" s="516"/>
      <c r="G100" s="516"/>
    </row>
    <row r="101" spans="1:7" ht="12">
      <c r="A101" s="516"/>
      <c r="B101" s="516"/>
      <c r="C101" s="516"/>
      <c r="D101" s="516"/>
      <c r="E101" s="516"/>
      <c r="F101" s="516"/>
      <c r="G101" s="516"/>
    </row>
    <row r="102" spans="1:7" ht="12">
      <c r="A102" s="516"/>
      <c r="B102" s="516"/>
      <c r="C102" s="516"/>
      <c r="D102" s="516"/>
      <c r="E102" s="516"/>
      <c r="F102" s="516"/>
      <c r="G102" s="516"/>
    </row>
    <row r="103" spans="1:7" ht="12">
      <c r="A103" s="516"/>
      <c r="B103" s="516"/>
      <c r="C103" s="516"/>
      <c r="D103" s="516"/>
      <c r="E103" s="516"/>
      <c r="F103" s="516"/>
      <c r="G103" s="516"/>
    </row>
    <row r="104" spans="1:7" ht="12">
      <c r="A104" s="516"/>
      <c r="B104" s="516"/>
      <c r="C104" s="516"/>
      <c r="D104" s="516"/>
      <c r="E104" s="516"/>
      <c r="F104" s="516"/>
      <c r="G104" s="516"/>
    </row>
    <row r="105" spans="1:7" ht="12">
      <c r="A105" s="516"/>
      <c r="B105" s="516"/>
      <c r="C105" s="516"/>
      <c r="D105" s="516"/>
      <c r="E105" s="516"/>
      <c r="F105" s="516"/>
      <c r="G105" s="516"/>
    </row>
    <row r="106" spans="1:7" ht="12">
      <c r="A106" s="516"/>
      <c r="B106" s="516"/>
      <c r="C106" s="516"/>
      <c r="D106" s="516"/>
      <c r="E106" s="516"/>
      <c r="F106" s="516"/>
      <c r="G106" s="516"/>
    </row>
    <row r="107" spans="1:7" ht="12">
      <c r="A107" s="516"/>
      <c r="B107" s="516"/>
      <c r="C107" s="516"/>
      <c r="D107" s="516"/>
      <c r="E107" s="516"/>
      <c r="F107" s="516"/>
      <c r="G107" s="516"/>
    </row>
    <row r="108" spans="1:7" ht="12">
      <c r="A108" s="516"/>
      <c r="B108" s="516"/>
      <c r="C108" s="516"/>
      <c r="D108" s="516"/>
      <c r="E108" s="516"/>
      <c r="F108" s="516"/>
      <c r="G108" s="516"/>
    </row>
    <row r="109" spans="1:7" ht="12">
      <c r="A109" s="516"/>
      <c r="B109" s="516"/>
      <c r="C109" s="516"/>
      <c r="D109" s="516"/>
      <c r="E109" s="516"/>
      <c r="F109" s="516"/>
      <c r="G109" s="516"/>
    </row>
    <row r="110" spans="1:7" ht="12">
      <c r="A110" s="516"/>
      <c r="B110" s="516"/>
      <c r="C110" s="516"/>
      <c r="D110" s="516"/>
      <c r="E110" s="516"/>
      <c r="F110" s="516"/>
      <c r="G110" s="516"/>
    </row>
    <row r="111" spans="1:7" ht="12">
      <c r="A111" s="516"/>
      <c r="B111" s="516"/>
      <c r="C111" s="516"/>
      <c r="D111" s="516"/>
      <c r="E111" s="516"/>
      <c r="F111" s="516"/>
      <c r="G111" s="516"/>
    </row>
    <row r="112" spans="1:7" ht="12">
      <c r="A112" s="516"/>
      <c r="B112" s="516"/>
      <c r="C112" s="516"/>
      <c r="D112" s="516"/>
      <c r="E112" s="516"/>
      <c r="F112" s="516"/>
      <c r="G112" s="516"/>
    </row>
    <row r="113" spans="1:7" ht="12">
      <c r="A113" s="516"/>
      <c r="B113" s="516"/>
      <c r="C113" s="516"/>
      <c r="D113" s="516"/>
      <c r="E113" s="516"/>
      <c r="F113" s="516"/>
      <c r="G113" s="516"/>
    </row>
    <row r="114" spans="1:7" ht="12">
      <c r="A114" s="516"/>
      <c r="B114" s="516"/>
      <c r="C114" s="516"/>
      <c r="D114" s="516"/>
      <c r="E114" s="516"/>
      <c r="F114" s="516"/>
      <c r="G114" s="516"/>
    </row>
    <row r="115" spans="1:7" ht="12">
      <c r="A115" s="516"/>
      <c r="B115" s="516"/>
      <c r="C115" s="516"/>
      <c r="D115" s="516"/>
      <c r="E115" s="516"/>
      <c r="F115" s="516"/>
      <c r="G115" s="516"/>
    </row>
    <row r="116" spans="1:7" ht="12">
      <c r="A116" s="516"/>
      <c r="B116" s="516"/>
      <c r="C116" s="516"/>
      <c r="D116" s="516"/>
      <c r="E116" s="516"/>
      <c r="F116" s="516"/>
      <c r="G116" s="516"/>
    </row>
    <row r="117" spans="1:7" ht="12">
      <c r="A117" s="516"/>
      <c r="B117" s="516"/>
      <c r="C117" s="516"/>
      <c r="D117" s="516"/>
      <c r="E117" s="516"/>
      <c r="F117" s="516"/>
      <c r="G117" s="516"/>
    </row>
    <row r="118" spans="1:7" ht="12">
      <c r="A118" s="516"/>
      <c r="B118" s="516"/>
      <c r="C118" s="516"/>
      <c r="D118" s="516"/>
      <c r="E118" s="516"/>
      <c r="F118" s="516"/>
      <c r="G118" s="516"/>
    </row>
    <row r="119" spans="1:7" ht="12">
      <c r="A119" s="516"/>
      <c r="B119" s="516"/>
      <c r="C119" s="516"/>
      <c r="D119" s="516"/>
      <c r="E119" s="516"/>
      <c r="F119" s="516"/>
      <c r="G119" s="516"/>
    </row>
    <row r="120" spans="1:7" ht="12">
      <c r="A120" s="516"/>
      <c r="B120" s="516"/>
      <c r="C120" s="516"/>
      <c r="D120" s="516"/>
      <c r="E120" s="516"/>
      <c r="F120" s="516"/>
      <c r="G120" s="516"/>
    </row>
    <row r="121" spans="1:7" ht="12">
      <c r="A121" s="516"/>
      <c r="B121" s="516"/>
      <c r="C121" s="516"/>
      <c r="D121" s="516"/>
      <c r="E121" s="516"/>
      <c r="F121" s="516"/>
      <c r="G121" s="516"/>
    </row>
    <row r="122" spans="1:7" ht="12">
      <c r="A122" s="516"/>
      <c r="B122" s="516"/>
      <c r="C122" s="516"/>
      <c r="D122" s="516"/>
      <c r="E122" s="516"/>
      <c r="F122" s="516"/>
      <c r="G122" s="516"/>
    </row>
    <row r="123" spans="1:7" ht="12">
      <c r="A123" s="516"/>
      <c r="B123" s="516"/>
      <c r="C123" s="516"/>
      <c r="D123" s="516"/>
      <c r="E123" s="516"/>
      <c r="F123" s="516"/>
      <c r="G123" s="516"/>
    </row>
    <row r="124" spans="1:7" ht="12">
      <c r="A124" s="516"/>
      <c r="B124" s="516"/>
      <c r="C124" s="516"/>
      <c r="D124" s="516"/>
      <c r="E124" s="516"/>
      <c r="F124" s="516"/>
      <c r="G124" s="516"/>
    </row>
    <row r="125" spans="1:7" ht="12">
      <c r="A125" s="516"/>
      <c r="B125" s="516"/>
      <c r="C125" s="516"/>
      <c r="D125" s="516"/>
      <c r="E125" s="516"/>
      <c r="F125" s="516"/>
      <c r="G125" s="516"/>
    </row>
    <row r="126" spans="1:7" ht="12">
      <c r="A126" s="516"/>
      <c r="B126" s="516"/>
      <c r="C126" s="516"/>
      <c r="D126" s="516"/>
      <c r="E126" s="516"/>
      <c r="F126" s="516"/>
      <c r="G126" s="516"/>
    </row>
    <row r="127" spans="1:7" ht="12">
      <c r="A127" s="516"/>
      <c r="B127" s="516"/>
      <c r="C127" s="516"/>
      <c r="D127" s="516"/>
      <c r="E127" s="516"/>
      <c r="F127" s="516"/>
      <c r="G127" s="516"/>
    </row>
    <row r="128" spans="1:7" ht="12">
      <c r="A128" s="516"/>
      <c r="B128" s="516"/>
      <c r="C128" s="516"/>
      <c r="D128" s="516"/>
      <c r="E128" s="516"/>
      <c r="F128" s="516"/>
      <c r="G128" s="516"/>
    </row>
    <row r="129" spans="1:7" ht="12">
      <c r="A129" s="516"/>
      <c r="B129" s="516"/>
      <c r="C129" s="516"/>
      <c r="D129" s="516"/>
      <c r="E129" s="516"/>
      <c r="F129" s="516"/>
      <c r="G129" s="516"/>
    </row>
    <row r="130" spans="1:7" ht="12">
      <c r="A130" s="516"/>
      <c r="B130" s="516"/>
      <c r="C130" s="516"/>
      <c r="D130" s="516"/>
      <c r="E130" s="516"/>
      <c r="F130" s="516"/>
      <c r="G130" s="516"/>
    </row>
    <row r="131" spans="1:7" ht="12">
      <c r="A131" s="516"/>
      <c r="B131" s="516"/>
      <c r="C131" s="516"/>
      <c r="D131" s="516"/>
      <c r="E131" s="516"/>
      <c r="F131" s="516"/>
      <c r="G131" s="516"/>
    </row>
    <row r="132" spans="1:7" ht="12">
      <c r="A132" s="516"/>
      <c r="B132" s="516"/>
      <c r="C132" s="516"/>
      <c r="D132" s="516"/>
      <c r="E132" s="516"/>
      <c r="F132" s="516"/>
      <c r="G132" s="516"/>
    </row>
    <row r="133" spans="1:7" ht="12">
      <c r="A133" s="516"/>
      <c r="B133" s="516"/>
      <c r="C133" s="516"/>
      <c r="D133" s="516"/>
      <c r="E133" s="516"/>
      <c r="F133" s="516"/>
      <c r="G133" s="516"/>
    </row>
    <row r="134" spans="1:7" ht="12">
      <c r="A134" s="516"/>
      <c r="B134" s="516"/>
      <c r="C134" s="516"/>
      <c r="D134" s="516"/>
      <c r="E134" s="516"/>
      <c r="F134" s="516"/>
      <c r="G134" s="516"/>
    </row>
    <row r="135" spans="1:7" ht="12">
      <c r="A135" s="516"/>
      <c r="B135" s="516"/>
      <c r="C135" s="516"/>
      <c r="D135" s="516"/>
      <c r="E135" s="516"/>
      <c r="F135" s="516"/>
      <c r="G135" s="516"/>
    </row>
    <row r="136" spans="1:7" ht="12">
      <c r="A136" s="516"/>
      <c r="B136" s="516"/>
      <c r="C136" s="516"/>
      <c r="D136" s="516"/>
      <c r="E136" s="516"/>
      <c r="F136" s="516"/>
      <c r="G136" s="516"/>
    </row>
    <row r="137" spans="1:7" ht="12">
      <c r="A137" s="516"/>
      <c r="B137" s="516"/>
      <c r="C137" s="516"/>
      <c r="D137" s="516"/>
      <c r="E137" s="516"/>
      <c r="F137" s="516"/>
      <c r="G137" s="516"/>
    </row>
    <row r="138" spans="1:7" ht="12">
      <c r="A138" s="516"/>
      <c r="B138" s="516"/>
      <c r="C138" s="516"/>
      <c r="D138" s="516"/>
      <c r="E138" s="516"/>
      <c r="F138" s="516"/>
      <c r="G138" s="516"/>
    </row>
    <row r="139" spans="1:7" ht="12">
      <c r="A139" s="516"/>
      <c r="B139" s="516"/>
      <c r="C139" s="516"/>
      <c r="D139" s="516"/>
      <c r="E139" s="516"/>
      <c r="F139" s="516"/>
      <c r="G139" s="516"/>
    </row>
    <row r="140" spans="1:7" ht="12">
      <c r="A140" s="516"/>
      <c r="B140" s="516"/>
      <c r="C140" s="516"/>
      <c r="D140" s="516"/>
      <c r="E140" s="516"/>
      <c r="F140" s="516"/>
      <c r="G140" s="516"/>
    </row>
    <row r="141" spans="1:7" ht="12">
      <c r="A141" s="516"/>
      <c r="B141" s="516"/>
      <c r="C141" s="516"/>
      <c r="D141" s="516"/>
      <c r="E141" s="516"/>
      <c r="F141" s="516"/>
      <c r="G141" s="516"/>
    </row>
    <row r="142" spans="1:7" ht="12">
      <c r="A142" s="516"/>
      <c r="B142" s="516"/>
      <c r="C142" s="516"/>
      <c r="D142" s="516"/>
      <c r="E142" s="516"/>
      <c r="F142" s="516"/>
      <c r="G142" s="516"/>
    </row>
    <row r="143" spans="1:7" ht="12">
      <c r="A143" s="516"/>
      <c r="B143" s="516"/>
      <c r="C143" s="516"/>
      <c r="D143" s="516"/>
      <c r="E143" s="516"/>
      <c r="F143" s="516"/>
      <c r="G143" s="516"/>
    </row>
    <row r="144" spans="1:7" ht="12">
      <c r="A144" s="516"/>
      <c r="B144" s="516"/>
      <c r="C144" s="516"/>
      <c r="D144" s="516"/>
      <c r="E144" s="516"/>
      <c r="F144" s="516"/>
      <c r="G144" s="516"/>
    </row>
    <row r="145" spans="1:7" ht="12">
      <c r="A145" s="516"/>
      <c r="B145" s="516"/>
      <c r="C145" s="516"/>
      <c r="D145" s="516"/>
      <c r="E145" s="516"/>
      <c r="F145" s="516"/>
      <c r="G145" s="516"/>
    </row>
    <row r="146" spans="1:7" ht="12">
      <c r="A146" s="516"/>
      <c r="B146" s="516"/>
      <c r="C146" s="516"/>
      <c r="D146" s="516"/>
      <c r="E146" s="516"/>
      <c r="F146" s="516"/>
      <c r="G146" s="516"/>
    </row>
    <row r="147" spans="1:7" ht="12">
      <c r="A147" s="516"/>
      <c r="B147" s="516"/>
      <c r="C147" s="516"/>
      <c r="D147" s="516"/>
      <c r="E147" s="516"/>
      <c r="F147" s="516"/>
      <c r="G147" s="516"/>
    </row>
    <row r="148" spans="1:7" ht="12">
      <c r="A148" s="516"/>
      <c r="B148" s="516"/>
      <c r="C148" s="516"/>
      <c r="D148" s="516"/>
      <c r="E148" s="516"/>
      <c r="F148" s="516"/>
      <c r="G148" s="516"/>
    </row>
    <row r="149" spans="1:7" ht="12">
      <c r="A149" s="516"/>
      <c r="B149" s="516"/>
      <c r="C149" s="516"/>
      <c r="D149" s="516"/>
      <c r="E149" s="516"/>
      <c r="F149" s="516"/>
      <c r="G149" s="516"/>
    </row>
    <row r="150" spans="1:7" ht="12">
      <c r="A150" s="516"/>
      <c r="B150" s="516"/>
      <c r="C150" s="516"/>
      <c r="D150" s="516"/>
      <c r="E150" s="516"/>
      <c r="F150" s="516"/>
      <c r="G150" s="516"/>
    </row>
    <row r="151" spans="1:7" ht="12">
      <c r="A151" s="516"/>
      <c r="B151" s="516"/>
      <c r="C151" s="516"/>
      <c r="D151" s="516"/>
      <c r="E151" s="516"/>
      <c r="F151" s="516"/>
      <c r="G151" s="516"/>
    </row>
    <row r="152" spans="1:7" ht="12">
      <c r="A152" s="516"/>
      <c r="B152" s="516"/>
      <c r="C152" s="516"/>
      <c r="D152" s="516"/>
      <c r="E152" s="516"/>
      <c r="F152" s="516"/>
      <c r="G152" s="516"/>
    </row>
    <row r="153" spans="1:7" ht="12">
      <c r="A153" s="516"/>
      <c r="B153" s="516"/>
      <c r="C153" s="516"/>
      <c r="D153" s="516"/>
      <c r="E153" s="516"/>
      <c r="F153" s="516"/>
      <c r="G153" s="516"/>
    </row>
    <row r="154" spans="1:7" ht="12">
      <c r="A154" s="516"/>
      <c r="B154" s="516"/>
      <c r="C154" s="516"/>
      <c r="D154" s="516"/>
      <c r="E154" s="516"/>
      <c r="F154" s="516"/>
      <c r="G154" s="516"/>
    </row>
    <row r="155" spans="1:7" ht="12">
      <c r="A155" s="516"/>
      <c r="B155" s="516"/>
      <c r="C155" s="516"/>
      <c r="D155" s="516"/>
      <c r="E155" s="516"/>
      <c r="F155" s="516"/>
      <c r="G155" s="516"/>
    </row>
    <row r="156" spans="1:7" ht="12">
      <c r="A156" s="516"/>
      <c r="B156" s="516"/>
      <c r="C156" s="516"/>
      <c r="D156" s="516"/>
      <c r="E156" s="516"/>
      <c r="F156" s="516"/>
      <c r="G156" s="516"/>
    </row>
    <row r="157" spans="1:7" ht="12">
      <c r="A157" s="516"/>
      <c r="B157" s="516"/>
      <c r="C157" s="516"/>
      <c r="D157" s="516"/>
      <c r="E157" s="516"/>
      <c r="F157" s="516"/>
      <c r="G157" s="516"/>
    </row>
    <row r="158" spans="1:7" ht="12">
      <c r="A158" s="516"/>
      <c r="B158" s="516"/>
      <c r="C158" s="516"/>
      <c r="D158" s="516"/>
      <c r="E158" s="516"/>
      <c r="F158" s="516"/>
      <c r="G158" s="516"/>
    </row>
    <row r="159" spans="1:7" ht="12">
      <c r="A159" s="516"/>
      <c r="B159" s="516"/>
      <c r="C159" s="516"/>
      <c r="D159" s="516"/>
      <c r="E159" s="516"/>
      <c r="F159" s="516"/>
      <c r="G159" s="516"/>
    </row>
    <row r="160" spans="1:7" ht="12">
      <c r="A160" s="516"/>
      <c r="B160" s="516"/>
      <c r="C160" s="516"/>
      <c r="D160" s="516"/>
      <c r="E160" s="516"/>
      <c r="F160" s="516"/>
      <c r="G160" s="516"/>
    </row>
    <row r="161" spans="1:7" ht="12">
      <c r="A161" s="516"/>
      <c r="B161" s="516"/>
      <c r="C161" s="516"/>
      <c r="D161" s="516"/>
      <c r="E161" s="516"/>
      <c r="F161" s="516"/>
      <c r="G161" s="516"/>
    </row>
    <row r="162" spans="1:7" ht="12">
      <c r="A162" s="516"/>
      <c r="B162" s="516"/>
      <c r="C162" s="516"/>
      <c r="D162" s="516"/>
      <c r="E162" s="516"/>
      <c r="F162" s="516"/>
      <c r="G162" s="516"/>
    </row>
    <row r="163" spans="1:7" ht="12">
      <c r="A163" s="516"/>
      <c r="B163" s="516"/>
      <c r="C163" s="516"/>
      <c r="D163" s="516"/>
      <c r="E163" s="516"/>
      <c r="F163" s="516"/>
      <c r="G163" s="516"/>
    </row>
    <row r="164" spans="1:7" ht="12">
      <c r="A164" s="516"/>
      <c r="B164" s="516"/>
      <c r="C164" s="516"/>
      <c r="D164" s="516"/>
      <c r="E164" s="516"/>
      <c r="F164" s="516"/>
      <c r="G164" s="516"/>
    </row>
    <row r="165" spans="1:7" ht="12">
      <c r="A165" s="516"/>
      <c r="B165" s="516"/>
      <c r="C165" s="516"/>
      <c r="D165" s="516"/>
      <c r="E165" s="516"/>
      <c r="F165" s="516"/>
      <c r="G165" s="516"/>
    </row>
    <row r="166" spans="1:7" ht="12">
      <c r="A166" s="516"/>
      <c r="B166" s="516"/>
      <c r="C166" s="516"/>
      <c r="D166" s="516"/>
      <c r="E166" s="516"/>
      <c r="F166" s="516"/>
      <c r="G166" s="516"/>
    </row>
    <row r="167" spans="1:7" ht="12">
      <c r="A167" s="516"/>
      <c r="B167" s="516"/>
      <c r="C167" s="516"/>
      <c r="D167" s="516"/>
      <c r="E167" s="516"/>
      <c r="F167" s="516"/>
      <c r="G167" s="516"/>
    </row>
    <row r="168" spans="1:7" ht="12">
      <c r="A168" s="516"/>
      <c r="B168" s="516"/>
      <c r="C168" s="516"/>
      <c r="D168" s="516"/>
      <c r="E168" s="516"/>
      <c r="F168" s="516"/>
      <c r="G168" s="516"/>
    </row>
    <row r="169" spans="1:7" ht="12">
      <c r="A169" s="516"/>
      <c r="B169" s="516"/>
      <c r="C169" s="516"/>
      <c r="D169" s="516"/>
      <c r="E169" s="516"/>
      <c r="F169" s="516"/>
      <c r="G169" s="516"/>
    </row>
    <row r="170" spans="1:7" ht="12">
      <c r="A170" s="516"/>
      <c r="B170" s="516"/>
      <c r="C170" s="516"/>
      <c r="D170" s="516"/>
      <c r="E170" s="516"/>
      <c r="F170" s="516"/>
      <c r="G170" s="516"/>
    </row>
    <row r="171" spans="1:7" ht="12">
      <c r="A171" s="516"/>
      <c r="B171" s="516"/>
      <c r="C171" s="516"/>
      <c r="D171" s="516"/>
      <c r="E171" s="516"/>
      <c r="F171" s="516"/>
      <c r="G171" s="516"/>
    </row>
    <row r="172" spans="1:7" ht="12">
      <c r="A172" s="516"/>
      <c r="B172" s="516"/>
      <c r="C172" s="516"/>
      <c r="D172" s="516"/>
      <c r="E172" s="516"/>
      <c r="F172" s="516"/>
      <c r="G172" s="516"/>
    </row>
    <row r="173" spans="1:7" ht="12">
      <c r="A173" s="516"/>
      <c r="B173" s="516"/>
      <c r="C173" s="516"/>
      <c r="D173" s="516"/>
      <c r="E173" s="516"/>
      <c r="F173" s="516"/>
      <c r="G173" s="516"/>
    </row>
    <row r="174" spans="1:7" ht="12">
      <c r="A174" s="516"/>
      <c r="B174" s="516"/>
      <c r="C174" s="516"/>
      <c r="D174" s="516"/>
      <c r="E174" s="516"/>
      <c r="F174" s="516"/>
      <c r="G174" s="516"/>
    </row>
    <row r="175" spans="1:7" ht="12">
      <c r="A175" s="516"/>
      <c r="B175" s="516"/>
      <c r="C175" s="516"/>
      <c r="D175" s="516"/>
      <c r="E175" s="516"/>
      <c r="F175" s="516"/>
      <c r="G175" s="516"/>
    </row>
    <row r="176" spans="1:7" ht="12">
      <c r="A176" s="516"/>
      <c r="B176" s="516"/>
      <c r="C176" s="516"/>
      <c r="D176" s="516"/>
      <c r="E176" s="516"/>
      <c r="F176" s="516"/>
      <c r="G176" s="516"/>
    </row>
    <row r="177" spans="1:7" ht="12">
      <c r="A177" s="516"/>
      <c r="B177" s="516"/>
      <c r="C177" s="516"/>
      <c r="D177" s="516"/>
      <c r="E177" s="516"/>
      <c r="F177" s="516"/>
      <c r="G177" s="516"/>
    </row>
    <row r="178" spans="1:7" ht="12">
      <c r="A178" s="516"/>
      <c r="B178" s="516"/>
      <c r="C178" s="516"/>
      <c r="D178" s="516"/>
      <c r="E178" s="516"/>
      <c r="F178" s="516"/>
      <c r="G178" s="516"/>
    </row>
    <row r="179" spans="1:7" ht="12">
      <c r="A179" s="516"/>
      <c r="B179" s="516"/>
      <c r="C179" s="516"/>
      <c r="D179" s="516"/>
      <c r="E179" s="516"/>
      <c r="F179" s="516"/>
      <c r="G179" s="516"/>
    </row>
    <row r="180" spans="1:7" ht="12">
      <c r="A180" s="516"/>
      <c r="B180" s="516"/>
      <c r="C180" s="516"/>
      <c r="D180" s="516"/>
      <c r="E180" s="516"/>
      <c r="F180" s="516"/>
      <c r="G180" s="516"/>
    </row>
    <row r="181" spans="1:7" ht="12">
      <c r="A181" s="516"/>
      <c r="B181" s="516"/>
      <c r="C181" s="516"/>
      <c r="D181" s="516"/>
      <c r="E181" s="516"/>
      <c r="F181" s="516"/>
      <c r="G181" s="516"/>
    </row>
    <row r="182" spans="1:7" ht="12">
      <c r="A182" s="516"/>
      <c r="B182" s="516"/>
      <c r="C182" s="516"/>
      <c r="D182" s="516"/>
      <c r="E182" s="516"/>
      <c r="F182" s="516"/>
      <c r="G182" s="516"/>
    </row>
    <row r="183" spans="1:7" ht="12">
      <c r="A183" s="516"/>
      <c r="B183" s="516"/>
      <c r="C183" s="516"/>
      <c r="D183" s="516"/>
      <c r="E183" s="516"/>
      <c r="F183" s="516"/>
      <c r="G183" s="516"/>
    </row>
    <row r="184" spans="1:7" ht="12">
      <c r="A184" s="516"/>
      <c r="B184" s="516"/>
      <c r="C184" s="516"/>
      <c r="D184" s="516"/>
      <c r="E184" s="516"/>
      <c r="F184" s="516"/>
      <c r="G184" s="516"/>
    </row>
    <row r="185" spans="1:7" ht="12">
      <c r="A185" s="516"/>
      <c r="B185" s="516"/>
      <c r="C185" s="516"/>
      <c r="D185" s="516"/>
      <c r="E185" s="516"/>
      <c r="F185" s="516"/>
      <c r="G185" s="516"/>
    </row>
    <row r="186" spans="1:7" ht="12">
      <c r="A186" s="516"/>
      <c r="B186" s="516"/>
      <c r="C186" s="516"/>
      <c r="D186" s="516"/>
      <c r="E186" s="516"/>
      <c r="F186" s="516"/>
      <c r="G186" s="516"/>
    </row>
    <row r="187" spans="1:7" ht="12">
      <c r="A187" s="516"/>
      <c r="B187" s="516"/>
      <c r="C187" s="516"/>
      <c r="D187" s="516"/>
      <c r="E187" s="516"/>
      <c r="F187" s="516"/>
      <c r="G187" s="516"/>
    </row>
    <row r="188" spans="1:7" ht="12">
      <c r="A188" s="516"/>
      <c r="B188" s="516"/>
      <c r="C188" s="516"/>
      <c r="D188" s="516"/>
      <c r="E188" s="516"/>
      <c r="F188" s="516"/>
      <c r="G188" s="516"/>
    </row>
    <row r="189" spans="1:7" ht="12">
      <c r="A189" s="516"/>
      <c r="B189" s="516"/>
      <c r="C189" s="516"/>
      <c r="D189" s="516"/>
      <c r="E189" s="516"/>
      <c r="F189" s="516"/>
      <c r="G189" s="516"/>
    </row>
    <row r="190" spans="1:7" ht="12">
      <c r="A190" s="516"/>
      <c r="B190" s="516"/>
      <c r="C190" s="516"/>
      <c r="D190" s="516"/>
      <c r="E190" s="516"/>
      <c r="F190" s="516"/>
      <c r="G190" s="516"/>
    </row>
    <row r="191" spans="1:7" ht="12">
      <c r="A191" s="516"/>
      <c r="B191" s="516"/>
      <c r="C191" s="516"/>
      <c r="D191" s="516"/>
      <c r="E191" s="516"/>
      <c r="F191" s="516"/>
      <c r="G191" s="516"/>
    </row>
    <row r="192" spans="1:7" ht="12">
      <c r="A192" s="516"/>
      <c r="B192" s="516"/>
      <c r="C192" s="516"/>
      <c r="D192" s="516"/>
      <c r="E192" s="516"/>
      <c r="F192" s="516"/>
      <c r="G192" s="516"/>
    </row>
    <row r="193" spans="1:7" ht="12">
      <c r="A193" s="516"/>
      <c r="B193" s="516"/>
      <c r="C193" s="516"/>
      <c r="D193" s="516"/>
      <c r="E193" s="516"/>
      <c r="F193" s="516"/>
      <c r="G193" s="516"/>
    </row>
    <row r="194" spans="1:7" ht="12">
      <c r="A194" s="516"/>
      <c r="B194" s="516"/>
      <c r="C194" s="516"/>
      <c r="D194" s="516"/>
      <c r="E194" s="516"/>
      <c r="F194" s="516"/>
      <c r="G194" s="516"/>
    </row>
    <row r="195" spans="1:7" ht="12">
      <c r="A195" s="516"/>
      <c r="B195" s="516"/>
      <c r="C195" s="516"/>
      <c r="D195" s="516"/>
      <c r="E195" s="516"/>
      <c r="F195" s="516"/>
      <c r="G195" s="516"/>
    </row>
    <row r="196" spans="1:7" ht="12">
      <c r="A196" s="516"/>
      <c r="B196" s="516"/>
      <c r="C196" s="516"/>
      <c r="D196" s="516"/>
      <c r="E196" s="516"/>
      <c r="F196" s="516"/>
      <c r="G196" s="516"/>
    </row>
    <row r="197" spans="1:7" ht="12">
      <c r="A197" s="516"/>
      <c r="B197" s="516"/>
      <c r="C197" s="516"/>
      <c r="D197" s="516"/>
      <c r="E197" s="516"/>
      <c r="F197" s="516"/>
      <c r="G197" s="516"/>
    </row>
    <row r="198" spans="1:7" ht="12">
      <c r="A198" s="516"/>
      <c r="B198" s="516"/>
      <c r="C198" s="516"/>
      <c r="D198" s="516"/>
      <c r="E198" s="516"/>
      <c r="F198" s="516"/>
      <c r="G198" s="516"/>
    </row>
    <row r="199" spans="1:7" ht="12">
      <c r="A199" s="516"/>
      <c r="B199" s="516"/>
      <c r="C199" s="516"/>
      <c r="D199" s="516"/>
      <c r="E199" s="516"/>
      <c r="F199" s="516"/>
      <c r="G199" s="516"/>
    </row>
    <row r="200" spans="1:7" ht="12">
      <c r="A200" s="516"/>
      <c r="B200" s="516"/>
      <c r="C200" s="516"/>
      <c r="D200" s="516"/>
      <c r="E200" s="516"/>
      <c r="F200" s="516"/>
      <c r="G200" s="516"/>
    </row>
    <row r="201" spans="1:7" ht="12">
      <c r="A201" s="516"/>
      <c r="B201" s="516"/>
      <c r="C201" s="516"/>
      <c r="D201" s="516"/>
      <c r="E201" s="516"/>
      <c r="F201" s="516"/>
      <c r="G201" s="516"/>
    </row>
    <row r="202" spans="1:7" ht="12">
      <c r="A202" s="516"/>
      <c r="B202" s="516"/>
      <c r="C202" s="516"/>
      <c r="D202" s="516"/>
      <c r="E202" s="516"/>
      <c r="F202" s="516"/>
      <c r="G202" s="516"/>
    </row>
    <row r="203" spans="1:7" ht="12">
      <c r="A203" s="516"/>
      <c r="B203" s="516"/>
      <c r="C203" s="516"/>
      <c r="D203" s="516"/>
      <c r="E203" s="516"/>
      <c r="F203" s="516"/>
      <c r="G203" s="516"/>
    </row>
    <row r="204" spans="1:7" ht="12">
      <c r="A204" s="516"/>
      <c r="B204" s="516"/>
      <c r="C204" s="516"/>
      <c r="D204" s="516"/>
      <c r="E204" s="516"/>
      <c r="F204" s="516"/>
      <c r="G204" s="516"/>
    </row>
    <row r="205" spans="1:7" ht="12">
      <c r="A205" s="516"/>
      <c r="B205" s="516"/>
      <c r="C205" s="516"/>
      <c r="D205" s="516"/>
      <c r="E205" s="516"/>
      <c r="F205" s="516"/>
      <c r="G205" s="516"/>
    </row>
    <row r="206" spans="1:7" ht="12">
      <c r="A206" s="516"/>
      <c r="B206" s="516"/>
      <c r="C206" s="516"/>
      <c r="D206" s="516"/>
      <c r="E206" s="516"/>
      <c r="F206" s="516"/>
      <c r="G206" s="516"/>
    </row>
    <row r="207" spans="1:7" ht="12">
      <c r="A207" s="516"/>
      <c r="B207" s="516"/>
      <c r="C207" s="516"/>
      <c r="D207" s="516"/>
      <c r="E207" s="516"/>
      <c r="F207" s="516"/>
      <c r="G207" s="516"/>
    </row>
    <row r="208" spans="1:7" ht="12">
      <c r="A208" s="516"/>
      <c r="B208" s="516"/>
      <c r="C208" s="516"/>
      <c r="D208" s="516"/>
      <c r="E208" s="516"/>
      <c r="F208" s="516"/>
      <c r="G208" s="516"/>
    </row>
    <row r="209" spans="1:7" ht="12">
      <c r="A209" s="516"/>
      <c r="B209" s="516"/>
      <c r="C209" s="516"/>
      <c r="D209" s="516"/>
      <c r="E209" s="516"/>
      <c r="F209" s="516"/>
      <c r="G209" s="516"/>
    </row>
    <row r="210" spans="1:7" ht="12">
      <c r="A210" s="516"/>
      <c r="B210" s="516"/>
      <c r="C210" s="516"/>
      <c r="D210" s="516"/>
      <c r="E210" s="516"/>
      <c r="F210" s="516"/>
      <c r="G210" s="516"/>
    </row>
    <row r="211" spans="1:7" ht="12">
      <c r="A211" s="516"/>
      <c r="B211" s="516"/>
      <c r="C211" s="516"/>
      <c r="D211" s="516"/>
      <c r="E211" s="516"/>
      <c r="F211" s="516"/>
      <c r="G211" s="516"/>
    </row>
    <row r="212" spans="1:7" ht="12">
      <c r="A212" s="516"/>
      <c r="B212" s="516"/>
      <c r="C212" s="516"/>
      <c r="D212" s="516"/>
      <c r="E212" s="516"/>
      <c r="F212" s="516"/>
      <c r="G212" s="516"/>
    </row>
    <row r="213" spans="1:7" ht="12">
      <c r="A213" s="516"/>
      <c r="B213" s="516"/>
      <c r="C213" s="516"/>
      <c r="D213" s="516"/>
      <c r="E213" s="516"/>
      <c r="F213" s="516"/>
      <c r="G213" s="516"/>
    </row>
    <row r="214" spans="1:7" ht="12">
      <c r="A214" s="516"/>
      <c r="B214" s="516"/>
      <c r="C214" s="516"/>
      <c r="D214" s="516"/>
      <c r="E214" s="516"/>
      <c r="F214" s="516"/>
      <c r="G214" s="516"/>
    </row>
    <row r="215" spans="1:7" ht="12">
      <c r="A215" s="516"/>
      <c r="B215" s="516"/>
      <c r="C215" s="516"/>
      <c r="D215" s="516"/>
      <c r="E215" s="516"/>
      <c r="F215" s="516"/>
      <c r="G215" s="516"/>
    </row>
    <row r="216" spans="1:7" ht="12">
      <c r="A216" s="516"/>
      <c r="B216" s="516"/>
      <c r="C216" s="516"/>
      <c r="D216" s="516"/>
      <c r="E216" s="516"/>
      <c r="F216" s="516"/>
      <c r="G216" s="516"/>
    </row>
    <row r="217" spans="1:7" ht="12">
      <c r="A217" s="516"/>
      <c r="B217" s="516"/>
      <c r="C217" s="516"/>
      <c r="D217" s="516"/>
      <c r="E217" s="516"/>
      <c r="F217" s="516"/>
      <c r="G217" s="516"/>
    </row>
    <row r="218" spans="1:7" ht="12">
      <c r="A218" s="516"/>
      <c r="B218" s="516"/>
      <c r="C218" s="516"/>
      <c r="D218" s="516"/>
      <c r="E218" s="516"/>
      <c r="F218" s="516"/>
      <c r="G218" s="516"/>
    </row>
    <row r="219" spans="1:7" ht="12">
      <c r="A219" s="516"/>
      <c r="B219" s="516"/>
      <c r="C219" s="516"/>
      <c r="D219" s="516"/>
      <c r="E219" s="516"/>
      <c r="F219" s="516"/>
      <c r="G219" s="516"/>
    </row>
    <row r="220" spans="1:7" ht="12">
      <c r="A220" s="516"/>
      <c r="B220" s="516"/>
      <c r="C220" s="516"/>
      <c r="D220" s="516"/>
      <c r="E220" s="516"/>
      <c r="F220" s="516"/>
      <c r="G220" s="516"/>
    </row>
    <row r="221" spans="1:7" ht="12">
      <c r="A221" s="516"/>
      <c r="B221" s="516"/>
      <c r="C221" s="516"/>
      <c r="D221" s="516"/>
      <c r="E221" s="516"/>
      <c r="F221" s="516"/>
      <c r="G221" s="516"/>
    </row>
    <row r="222" spans="1:7" ht="12">
      <c r="A222" s="516"/>
      <c r="B222" s="516"/>
      <c r="C222" s="516"/>
      <c r="D222" s="516"/>
      <c r="E222" s="516"/>
      <c r="F222" s="516"/>
      <c r="G222" s="516"/>
    </row>
    <row r="223" spans="1:7" ht="12">
      <c r="A223" s="516"/>
      <c r="B223" s="516"/>
      <c r="C223" s="516"/>
      <c r="D223" s="516"/>
      <c r="E223" s="516"/>
      <c r="F223" s="516"/>
      <c r="G223" s="516"/>
    </row>
    <row r="224" spans="1:7" ht="12">
      <c r="A224" s="516"/>
      <c r="B224" s="516"/>
      <c r="C224" s="516"/>
      <c r="D224" s="516"/>
      <c r="E224" s="516"/>
      <c r="F224" s="516"/>
      <c r="G224" s="516"/>
    </row>
    <row r="225" spans="1:7" ht="12">
      <c r="A225" s="516"/>
      <c r="B225" s="516"/>
      <c r="C225" s="516"/>
      <c r="D225" s="516"/>
      <c r="E225" s="516"/>
      <c r="F225" s="516"/>
      <c r="G225" s="516"/>
    </row>
    <row r="226" spans="1:7" ht="12">
      <c r="A226" s="516"/>
      <c r="B226" s="516"/>
      <c r="C226" s="516"/>
      <c r="D226" s="516"/>
      <c r="E226" s="516"/>
      <c r="F226" s="516"/>
      <c r="G226" s="516"/>
    </row>
    <row r="227" spans="1:7" ht="12">
      <c r="A227" s="516"/>
      <c r="B227" s="516"/>
      <c r="C227" s="516"/>
      <c r="D227" s="516"/>
      <c r="E227" s="516"/>
      <c r="F227" s="516"/>
      <c r="G227" s="516"/>
    </row>
    <row r="228" spans="1:7" ht="12">
      <c r="A228" s="516"/>
      <c r="B228" s="516"/>
      <c r="C228" s="516"/>
      <c r="D228" s="516"/>
      <c r="E228" s="516"/>
      <c r="F228" s="516"/>
      <c r="G228" s="516"/>
    </row>
    <row r="229" spans="1:7" ht="12">
      <c r="A229" s="516"/>
      <c r="B229" s="516"/>
      <c r="C229" s="516"/>
      <c r="D229" s="516"/>
      <c r="E229" s="516"/>
      <c r="F229" s="516"/>
      <c r="G229" s="516"/>
    </row>
    <row r="230" spans="1:7" ht="12">
      <c r="A230" s="516"/>
      <c r="B230" s="516"/>
      <c r="C230" s="516"/>
      <c r="D230" s="516"/>
      <c r="E230" s="516"/>
      <c r="F230" s="516"/>
      <c r="G230" s="516"/>
    </row>
    <row r="231" spans="1:7" ht="12">
      <c r="A231" s="516"/>
      <c r="B231" s="516"/>
      <c r="C231" s="516"/>
      <c r="D231" s="516"/>
      <c r="E231" s="516"/>
      <c r="F231" s="516"/>
      <c r="G231" s="516"/>
    </row>
    <row r="232" spans="1:7" ht="12">
      <c r="A232" s="516"/>
      <c r="B232" s="516"/>
      <c r="C232" s="516"/>
      <c r="D232" s="516"/>
      <c r="E232" s="516"/>
      <c r="F232" s="516"/>
      <c r="G232" s="516"/>
    </row>
    <row r="233" spans="1:7" ht="12">
      <c r="A233" s="516"/>
      <c r="B233" s="516"/>
      <c r="C233" s="516"/>
      <c r="D233" s="516"/>
      <c r="E233" s="516"/>
      <c r="F233" s="516"/>
      <c r="G233" s="516"/>
    </row>
    <row r="234" spans="1:7" ht="12">
      <c r="A234" s="516"/>
      <c r="B234" s="516"/>
      <c r="C234" s="516"/>
      <c r="D234" s="516"/>
      <c r="E234" s="516"/>
      <c r="F234" s="516"/>
      <c r="G234" s="516"/>
    </row>
    <row r="235" spans="1:7" ht="12">
      <c r="A235" s="516"/>
      <c r="B235" s="516"/>
      <c r="C235" s="516"/>
      <c r="D235" s="516"/>
      <c r="E235" s="516"/>
      <c r="F235" s="516"/>
      <c r="G235" s="516"/>
    </row>
    <row r="236" spans="1:7" ht="12">
      <c r="A236" s="516"/>
      <c r="B236" s="516"/>
      <c r="C236" s="516"/>
      <c r="D236" s="516"/>
      <c r="E236" s="516"/>
      <c r="F236" s="516"/>
      <c r="G236" s="516"/>
    </row>
    <row r="237" spans="1:7" ht="12">
      <c r="A237" s="516"/>
      <c r="B237" s="516"/>
      <c r="C237" s="516"/>
      <c r="D237" s="516"/>
      <c r="E237" s="516"/>
      <c r="F237" s="516"/>
      <c r="G237" s="516"/>
    </row>
    <row r="238" spans="1:7" ht="12">
      <c r="A238" s="516"/>
      <c r="B238" s="516"/>
      <c r="C238" s="516"/>
      <c r="D238" s="516"/>
      <c r="E238" s="516"/>
      <c r="F238" s="516"/>
      <c r="G238" s="516"/>
    </row>
    <row r="239" spans="1:7" ht="12">
      <c r="A239" s="516"/>
      <c r="B239" s="516"/>
      <c r="C239" s="516"/>
      <c r="D239" s="516"/>
      <c r="E239" s="516"/>
      <c r="F239" s="516"/>
      <c r="G239" s="516"/>
    </row>
    <row r="240" spans="1:7" ht="12">
      <c r="A240" s="516"/>
      <c r="B240" s="516"/>
      <c r="C240" s="516"/>
      <c r="D240" s="516"/>
      <c r="E240" s="516"/>
      <c r="F240" s="516"/>
      <c r="G240" s="516"/>
    </row>
    <row r="241" spans="1:7" ht="12">
      <c r="A241" s="516"/>
      <c r="B241" s="516"/>
      <c r="C241" s="516"/>
      <c r="D241" s="516"/>
      <c r="E241" s="516"/>
      <c r="F241" s="516"/>
      <c r="G241" s="516"/>
    </row>
    <row r="242" spans="1:7" ht="12">
      <c r="A242" s="516"/>
      <c r="B242" s="516"/>
      <c r="C242" s="516"/>
      <c r="D242" s="516"/>
      <c r="E242" s="516"/>
      <c r="F242" s="516"/>
      <c r="G242" s="516"/>
    </row>
    <row r="243" spans="1:7" ht="12">
      <c r="A243" s="516"/>
      <c r="B243" s="516"/>
      <c r="C243" s="516"/>
      <c r="D243" s="516"/>
      <c r="E243" s="516"/>
      <c r="F243" s="516"/>
      <c r="G243" s="516"/>
    </row>
    <row r="244" spans="1:7" ht="12">
      <c r="A244" s="516"/>
      <c r="B244" s="516"/>
      <c r="C244" s="516"/>
      <c r="D244" s="516"/>
      <c r="E244" s="516"/>
      <c r="F244" s="516"/>
      <c r="G244" s="516"/>
    </row>
    <row r="245" spans="1:7" ht="12">
      <c r="A245" s="516"/>
      <c r="B245" s="516"/>
      <c r="C245" s="516"/>
      <c r="D245" s="516"/>
      <c r="E245" s="516"/>
      <c r="F245" s="516"/>
      <c r="G245" s="516"/>
    </row>
    <row r="246" spans="1:7" ht="12">
      <c r="A246" s="516"/>
      <c r="B246" s="516"/>
      <c r="C246" s="516"/>
      <c r="D246" s="516"/>
      <c r="E246" s="516"/>
      <c r="F246" s="516"/>
      <c r="G246" s="516"/>
    </row>
    <row r="247" spans="1:7" ht="12">
      <c r="A247" s="516"/>
      <c r="B247" s="516"/>
      <c r="C247" s="516"/>
      <c r="D247" s="516"/>
      <c r="E247" s="516"/>
      <c r="F247" s="516"/>
      <c r="G247" s="516"/>
    </row>
    <row r="248" spans="1:7" ht="12">
      <c r="A248" s="516"/>
      <c r="B248" s="516"/>
      <c r="C248" s="516"/>
      <c r="D248" s="516"/>
      <c r="E248" s="516"/>
      <c r="F248" s="516"/>
      <c r="G248" s="516"/>
    </row>
    <row r="249" spans="1:7" ht="12">
      <c r="A249" s="516"/>
      <c r="B249" s="516"/>
      <c r="C249" s="516"/>
      <c r="D249" s="516"/>
      <c r="E249" s="516"/>
      <c r="F249" s="516"/>
      <c r="G249" s="516"/>
    </row>
    <row r="250" spans="1:7" ht="12">
      <c r="A250" s="516"/>
      <c r="B250" s="516"/>
      <c r="C250" s="516"/>
      <c r="D250" s="516"/>
      <c r="E250" s="516"/>
      <c r="F250" s="516"/>
      <c r="G250" s="516"/>
    </row>
    <row r="251" spans="1:7" ht="12">
      <c r="A251" s="516"/>
      <c r="B251" s="516"/>
      <c r="C251" s="516"/>
      <c r="D251" s="516"/>
      <c r="E251" s="516"/>
      <c r="F251" s="516"/>
      <c r="G251" s="516"/>
    </row>
    <row r="252" spans="1:7" ht="12">
      <c r="A252" s="516"/>
      <c r="B252" s="516"/>
      <c r="C252" s="516"/>
      <c r="D252" s="516"/>
      <c r="E252" s="516"/>
      <c r="F252" s="516"/>
      <c r="G252" s="516"/>
    </row>
    <row r="253" spans="1:7" ht="12">
      <c r="A253" s="516"/>
      <c r="B253" s="516"/>
      <c r="C253" s="516"/>
      <c r="D253" s="516"/>
      <c r="E253" s="516"/>
      <c r="F253" s="516"/>
      <c r="G253" s="516"/>
    </row>
    <row r="254" spans="1:7" ht="12">
      <c r="A254" s="516"/>
      <c r="B254" s="516"/>
      <c r="C254" s="516"/>
      <c r="D254" s="516"/>
      <c r="E254" s="516"/>
      <c r="F254" s="516"/>
      <c r="G254" s="516"/>
    </row>
    <row r="255" spans="1:7" ht="12">
      <c r="A255" s="516"/>
      <c r="B255" s="516"/>
      <c r="C255" s="516"/>
      <c r="D255" s="516"/>
      <c r="E255" s="516"/>
      <c r="F255" s="516"/>
      <c r="G255" s="516"/>
    </row>
    <row r="256" spans="1:7" ht="12">
      <c r="A256" s="516"/>
      <c r="B256" s="516"/>
      <c r="C256" s="516"/>
      <c r="D256" s="516"/>
      <c r="E256" s="516"/>
      <c r="F256" s="516"/>
      <c r="G256" s="516"/>
    </row>
    <row r="257" spans="1:7" ht="12">
      <c r="A257" s="516"/>
      <c r="B257" s="516"/>
      <c r="C257" s="516"/>
      <c r="D257" s="516"/>
      <c r="E257" s="516"/>
      <c r="F257" s="516"/>
      <c r="G257" s="516"/>
    </row>
    <row r="258" spans="1:7" ht="12">
      <c r="A258" s="516"/>
      <c r="B258" s="516"/>
      <c r="C258" s="516"/>
      <c r="D258" s="516"/>
      <c r="E258" s="516"/>
      <c r="F258" s="516"/>
      <c r="G258" s="516"/>
    </row>
    <row r="259" spans="1:7" ht="12">
      <c r="A259" s="516"/>
      <c r="B259" s="516"/>
      <c r="C259" s="516"/>
      <c r="D259" s="516"/>
      <c r="E259" s="516"/>
      <c r="F259" s="516"/>
      <c r="G259" s="516"/>
    </row>
    <row r="260" spans="1:7" ht="12">
      <c r="A260" s="516"/>
      <c r="B260" s="516"/>
      <c r="C260" s="516"/>
      <c r="D260" s="516"/>
      <c r="E260" s="516"/>
      <c r="F260" s="516"/>
      <c r="G260" s="516"/>
    </row>
    <row r="261" spans="1:7" ht="12">
      <c r="A261" s="516"/>
      <c r="B261" s="516"/>
      <c r="C261" s="516"/>
      <c r="D261" s="516"/>
      <c r="E261" s="516"/>
      <c r="F261" s="516"/>
      <c r="G261" s="516"/>
    </row>
    <row r="262" spans="1:7" ht="12">
      <c r="A262" s="516"/>
      <c r="B262" s="516"/>
      <c r="C262" s="516"/>
      <c r="D262" s="516"/>
      <c r="E262" s="516"/>
      <c r="F262" s="516"/>
      <c r="G262" s="516"/>
    </row>
    <row r="263" spans="1:7" ht="12">
      <c r="A263" s="516"/>
      <c r="B263" s="516"/>
      <c r="C263" s="516"/>
      <c r="D263" s="516"/>
      <c r="E263" s="516"/>
      <c r="F263" s="516"/>
      <c r="G263" s="516"/>
    </row>
    <row r="264" spans="1:7" ht="12">
      <c r="A264" s="516"/>
      <c r="B264" s="516"/>
      <c r="C264" s="516"/>
      <c r="D264" s="516"/>
      <c r="E264" s="516"/>
      <c r="F264" s="516"/>
      <c r="G264" s="516"/>
    </row>
    <row r="265" spans="1:7" ht="12">
      <c r="A265" s="516"/>
      <c r="B265" s="516"/>
      <c r="C265" s="516"/>
      <c r="D265" s="516"/>
      <c r="E265" s="516"/>
      <c r="F265" s="516"/>
      <c r="G265" s="516"/>
    </row>
    <row r="266" spans="1:7" ht="12">
      <c r="A266" s="516"/>
      <c r="B266" s="516"/>
      <c r="C266" s="516"/>
      <c r="D266" s="516"/>
      <c r="E266" s="516"/>
      <c r="F266" s="516"/>
      <c r="G266" s="516"/>
    </row>
    <row r="267" spans="1:7" ht="12">
      <c r="A267" s="516"/>
      <c r="B267" s="516"/>
      <c r="C267" s="516"/>
      <c r="D267" s="516"/>
      <c r="E267" s="516"/>
      <c r="F267" s="516"/>
      <c r="G267" s="516"/>
    </row>
    <row r="268" spans="1:7" ht="12">
      <c r="A268" s="516"/>
      <c r="B268" s="516"/>
      <c r="C268" s="516"/>
      <c r="D268" s="516"/>
      <c r="E268" s="516"/>
      <c r="F268" s="516"/>
      <c r="G268" s="516"/>
    </row>
    <row r="269" spans="1:7" ht="12">
      <c r="A269" s="516"/>
      <c r="B269" s="516"/>
      <c r="C269" s="516"/>
      <c r="D269" s="516"/>
      <c r="E269" s="516"/>
      <c r="F269" s="516"/>
      <c r="G269" s="516"/>
    </row>
    <row r="270" spans="1:7" ht="12">
      <c r="A270" s="516"/>
      <c r="B270" s="516"/>
      <c r="C270" s="516"/>
      <c r="D270" s="516"/>
      <c r="E270" s="516"/>
      <c r="F270" s="516"/>
      <c r="G270" s="516"/>
    </row>
    <row r="271" spans="1:7" ht="12">
      <c r="A271" s="516"/>
      <c r="B271" s="516"/>
      <c r="C271" s="516"/>
      <c r="D271" s="516"/>
      <c r="E271" s="516"/>
      <c r="F271" s="516"/>
      <c r="G271" s="516"/>
    </row>
    <row r="272" spans="1:7" ht="12">
      <c r="A272" s="516"/>
      <c r="B272" s="516"/>
      <c r="C272" s="516"/>
      <c r="D272" s="516"/>
      <c r="E272" s="516"/>
      <c r="F272" s="516"/>
      <c r="G272" s="516"/>
    </row>
    <row r="273" spans="1:7" ht="12">
      <c r="A273" s="516"/>
      <c r="B273" s="516"/>
      <c r="C273" s="516"/>
      <c r="D273" s="516"/>
      <c r="E273" s="516"/>
      <c r="F273" s="516"/>
      <c r="G273" s="516"/>
    </row>
    <row r="274" spans="1:7" ht="12">
      <c r="A274" s="516"/>
      <c r="B274" s="516"/>
      <c r="C274" s="516"/>
      <c r="D274" s="516"/>
      <c r="E274" s="516"/>
      <c r="F274" s="516"/>
      <c r="G274" s="516"/>
    </row>
    <row r="275" spans="1:7" ht="12">
      <c r="A275" s="516"/>
      <c r="B275" s="516"/>
      <c r="C275" s="516"/>
      <c r="D275" s="516"/>
      <c r="E275" s="516"/>
      <c r="F275" s="516"/>
      <c r="G275" s="516"/>
    </row>
    <row r="276" spans="1:7" ht="12">
      <c r="A276" s="516"/>
      <c r="B276" s="516"/>
      <c r="C276" s="516"/>
      <c r="D276" s="516"/>
      <c r="E276" s="516"/>
      <c r="F276" s="516"/>
      <c r="G276" s="516"/>
    </row>
    <row r="277" spans="1:7" ht="12">
      <c r="A277" s="516"/>
      <c r="B277" s="516"/>
      <c r="C277" s="516"/>
      <c r="D277" s="516"/>
      <c r="E277" s="516"/>
      <c r="F277" s="516"/>
      <c r="G277" s="516"/>
    </row>
    <row r="278" spans="1:7" ht="12">
      <c r="A278" s="516"/>
      <c r="B278" s="516"/>
      <c r="C278" s="516"/>
      <c r="D278" s="516"/>
      <c r="E278" s="516"/>
      <c r="F278" s="516"/>
      <c r="G278" s="516"/>
    </row>
    <row r="279" spans="1:7" ht="12">
      <c r="A279" s="516"/>
      <c r="B279" s="516"/>
      <c r="C279" s="516"/>
      <c r="D279" s="516"/>
      <c r="E279" s="516"/>
      <c r="F279" s="516"/>
      <c r="G279" s="516"/>
    </row>
    <row r="280" spans="1:7" ht="12">
      <c r="A280" s="516"/>
      <c r="B280" s="516"/>
      <c r="C280" s="516"/>
      <c r="D280" s="516"/>
      <c r="E280" s="516"/>
      <c r="F280" s="516"/>
      <c r="G280" s="516"/>
    </row>
    <row r="281" spans="1:7" ht="12">
      <c r="A281" s="516"/>
      <c r="B281" s="516"/>
      <c r="C281" s="516"/>
      <c r="D281" s="516"/>
      <c r="E281" s="516"/>
      <c r="F281" s="516"/>
      <c r="G281" s="516"/>
    </row>
    <row r="282" spans="1:7" ht="12">
      <c r="A282" s="516"/>
      <c r="B282" s="516"/>
      <c r="C282" s="516"/>
      <c r="D282" s="516"/>
      <c r="E282" s="516"/>
      <c r="F282" s="516"/>
      <c r="G282" s="516"/>
    </row>
    <row r="283" spans="1:7" ht="12">
      <c r="A283" s="516"/>
      <c r="B283" s="516"/>
      <c r="C283" s="516"/>
      <c r="D283" s="516"/>
      <c r="E283" s="516"/>
      <c r="F283" s="516"/>
      <c r="G283" s="516"/>
    </row>
    <row r="284" spans="1:7" ht="12">
      <c r="A284" s="516"/>
      <c r="B284" s="516"/>
      <c r="C284" s="516"/>
      <c r="D284" s="516"/>
      <c r="E284" s="516"/>
      <c r="F284" s="516"/>
      <c r="G284" s="516"/>
    </row>
    <row r="285" spans="1:7" ht="12">
      <c r="A285" s="516"/>
      <c r="B285" s="516"/>
      <c r="C285" s="516"/>
      <c r="D285" s="516"/>
      <c r="E285" s="516"/>
      <c r="F285" s="516"/>
      <c r="G285" s="516"/>
    </row>
    <row r="286" spans="1:7" ht="12">
      <c r="A286" s="516"/>
      <c r="B286" s="516"/>
      <c r="C286" s="516"/>
      <c r="D286" s="516"/>
      <c r="E286" s="516"/>
      <c r="F286" s="516"/>
      <c r="G286" s="516"/>
    </row>
    <row r="287" spans="1:7" ht="12">
      <c r="A287" s="516"/>
      <c r="B287" s="516"/>
      <c r="C287" s="516"/>
      <c r="D287" s="516"/>
      <c r="E287" s="516"/>
      <c r="F287" s="516"/>
      <c r="G287" s="516"/>
    </row>
    <row r="288" spans="1:7" ht="12">
      <c r="A288" s="516"/>
      <c r="B288" s="516"/>
      <c r="C288" s="516"/>
      <c r="D288" s="516"/>
      <c r="E288" s="516"/>
      <c r="F288" s="516"/>
      <c r="G288" s="516"/>
    </row>
    <row r="289" spans="1:7" ht="12">
      <c r="A289" s="516"/>
      <c r="B289" s="516"/>
      <c r="C289" s="516"/>
      <c r="D289" s="516"/>
      <c r="E289" s="516"/>
      <c r="F289" s="516"/>
      <c r="G289" s="516"/>
    </row>
    <row r="290" spans="1:7" ht="12">
      <c r="A290" s="516"/>
      <c r="B290" s="516"/>
      <c r="C290" s="516"/>
      <c r="D290" s="516"/>
      <c r="E290" s="516"/>
      <c r="F290" s="516"/>
      <c r="G290" s="516"/>
    </row>
    <row r="291" spans="1:7" ht="12">
      <c r="A291" s="516"/>
      <c r="B291" s="516"/>
      <c r="C291" s="516"/>
      <c r="D291" s="516"/>
      <c r="E291" s="516"/>
      <c r="F291" s="516"/>
      <c r="G291" s="516"/>
    </row>
    <row r="292" spans="1:7" ht="12">
      <c r="A292" s="516"/>
      <c r="B292" s="516"/>
      <c r="C292" s="516"/>
      <c r="D292" s="516"/>
      <c r="E292" s="516"/>
      <c r="F292" s="516"/>
      <c r="G292" s="516"/>
    </row>
    <row r="293" spans="1:7" ht="12">
      <c r="A293" s="516"/>
      <c r="B293" s="516"/>
      <c r="C293" s="516"/>
      <c r="D293" s="516"/>
      <c r="E293" s="516"/>
      <c r="F293" s="516"/>
      <c r="G293" s="516"/>
    </row>
    <row r="294" spans="1:7" ht="12">
      <c r="A294" s="516"/>
      <c r="B294" s="516"/>
      <c r="C294" s="516"/>
      <c r="D294" s="516"/>
      <c r="E294" s="516"/>
      <c r="F294" s="516"/>
      <c r="G294" s="516"/>
    </row>
    <row r="295" spans="1:7" ht="12">
      <c r="A295" s="516"/>
      <c r="B295" s="516"/>
      <c r="C295" s="516"/>
      <c r="D295" s="516"/>
      <c r="E295" s="516"/>
      <c r="F295" s="516"/>
      <c r="G295" s="516"/>
    </row>
    <row r="296" spans="1:7" ht="12">
      <c r="A296" s="516"/>
      <c r="B296" s="516"/>
      <c r="C296" s="516"/>
      <c r="D296" s="516"/>
      <c r="E296" s="516"/>
      <c r="F296" s="516"/>
      <c r="G296" s="516"/>
    </row>
    <row r="297" spans="1:7" ht="12">
      <c r="A297" s="516"/>
      <c r="B297" s="516"/>
      <c r="C297" s="516"/>
      <c r="D297" s="516"/>
      <c r="E297" s="516"/>
      <c r="F297" s="516"/>
      <c r="G297" s="516"/>
    </row>
    <row r="298" spans="1:7" ht="12">
      <c r="A298" s="516"/>
      <c r="B298" s="516"/>
      <c r="C298" s="516"/>
      <c r="D298" s="516"/>
      <c r="E298" s="516"/>
      <c r="F298" s="516"/>
      <c r="G298" s="516"/>
    </row>
    <row r="299" spans="1:7" ht="12">
      <c r="A299" s="516"/>
      <c r="B299" s="516"/>
      <c r="C299" s="516"/>
      <c r="D299" s="516"/>
      <c r="E299" s="516"/>
      <c r="F299" s="516"/>
      <c r="G299" s="516"/>
    </row>
    <row r="300" spans="1:7" ht="12">
      <c r="A300" s="516"/>
      <c r="B300" s="516"/>
      <c r="C300" s="516"/>
      <c r="D300" s="516"/>
      <c r="E300" s="516"/>
      <c r="F300" s="516"/>
      <c r="G300" s="516"/>
    </row>
    <row r="301" spans="1:7" ht="12">
      <c r="A301" s="516"/>
      <c r="B301" s="516"/>
      <c r="C301" s="516"/>
      <c r="D301" s="516"/>
      <c r="E301" s="516"/>
      <c r="F301" s="516"/>
      <c r="G301" s="516"/>
    </row>
    <row r="302" spans="1:7" ht="12">
      <c r="A302" s="516"/>
      <c r="B302" s="516"/>
      <c r="C302" s="516"/>
      <c r="D302" s="516"/>
      <c r="E302" s="516"/>
      <c r="F302" s="516"/>
      <c r="G302" s="516"/>
    </row>
    <row r="303" spans="1:7" ht="12">
      <c r="A303" s="516"/>
      <c r="B303" s="516"/>
      <c r="C303" s="516"/>
      <c r="D303" s="516"/>
      <c r="E303" s="516"/>
      <c r="F303" s="516"/>
      <c r="G303" s="516"/>
    </row>
    <row r="304" spans="1:7" ht="12">
      <c r="A304" s="516"/>
      <c r="B304" s="516"/>
      <c r="C304" s="516"/>
      <c r="D304" s="516"/>
      <c r="E304" s="516"/>
      <c r="F304" s="516"/>
      <c r="G304" s="516"/>
    </row>
    <row r="305" spans="1:7" ht="12">
      <c r="A305" s="516"/>
      <c r="B305" s="516"/>
      <c r="C305" s="516"/>
      <c r="D305" s="516"/>
      <c r="E305" s="516"/>
      <c r="F305" s="516"/>
      <c r="G305" s="516"/>
    </row>
    <row r="306" spans="1:7" ht="12">
      <c r="A306" s="516"/>
      <c r="B306" s="516"/>
      <c r="C306" s="516"/>
      <c r="D306" s="516"/>
      <c r="E306" s="516"/>
      <c r="F306" s="516"/>
      <c r="G306" s="516"/>
    </row>
    <row r="307" spans="1:7" ht="12">
      <c r="A307" s="516"/>
      <c r="B307" s="516"/>
      <c r="C307" s="516"/>
      <c r="D307" s="516"/>
      <c r="E307" s="516"/>
      <c r="F307" s="516"/>
      <c r="G307" s="516"/>
    </row>
    <row r="308" spans="1:7" ht="12">
      <c r="A308" s="516"/>
      <c r="B308" s="516"/>
      <c r="C308" s="516"/>
      <c r="D308" s="516"/>
      <c r="E308" s="516"/>
      <c r="F308" s="516"/>
      <c r="G308" s="516"/>
    </row>
    <row r="309" spans="1:7" ht="12">
      <c r="A309" s="516"/>
      <c r="B309" s="516"/>
      <c r="C309" s="516"/>
      <c r="D309" s="516"/>
      <c r="E309" s="516"/>
      <c r="F309" s="516"/>
      <c r="G309" s="516"/>
    </row>
    <row r="310" spans="1:7" ht="12">
      <c r="A310" s="516"/>
      <c r="B310" s="516"/>
      <c r="C310" s="516"/>
      <c r="D310" s="516"/>
      <c r="E310" s="516"/>
      <c r="F310" s="516"/>
      <c r="G310" s="516"/>
    </row>
    <row r="311" spans="1:7" ht="12">
      <c r="A311" s="516"/>
      <c r="B311" s="516"/>
      <c r="C311" s="516"/>
      <c r="D311" s="516"/>
      <c r="E311" s="516"/>
      <c r="F311" s="516"/>
      <c r="G311" s="516"/>
    </row>
    <row r="312" spans="1:7" ht="12">
      <c r="A312" s="516"/>
      <c r="B312" s="516"/>
      <c r="C312" s="516"/>
      <c r="D312" s="516"/>
      <c r="E312" s="516"/>
      <c r="F312" s="516"/>
      <c r="G312" s="516"/>
    </row>
    <row r="313" spans="1:7" ht="12">
      <c r="A313" s="516"/>
      <c r="B313" s="516"/>
      <c r="C313" s="516"/>
      <c r="D313" s="516"/>
      <c r="E313" s="516"/>
      <c r="F313" s="516"/>
      <c r="G313" s="516"/>
    </row>
    <row r="314" spans="1:7" ht="12">
      <c r="A314" s="516"/>
      <c r="B314" s="516"/>
      <c r="C314" s="516"/>
      <c r="D314" s="516"/>
      <c r="E314" s="516"/>
      <c r="F314" s="516"/>
      <c r="G314" s="516"/>
    </row>
    <row r="315" spans="1:7" ht="12">
      <c r="A315" s="516"/>
      <c r="B315" s="516"/>
      <c r="C315" s="516"/>
      <c r="D315" s="516"/>
      <c r="E315" s="516"/>
      <c r="F315" s="516"/>
      <c r="G315" s="516"/>
    </row>
    <row r="316" spans="1:7" ht="12">
      <c r="A316" s="516"/>
      <c r="B316" s="516"/>
      <c r="C316" s="516"/>
      <c r="D316" s="516"/>
      <c r="E316" s="516"/>
      <c r="F316" s="516"/>
      <c r="G316" s="516"/>
    </row>
    <row r="317" spans="1:7" ht="12">
      <c r="A317" s="516"/>
      <c r="B317" s="516"/>
      <c r="C317" s="516"/>
      <c r="D317" s="516"/>
      <c r="E317" s="516"/>
      <c r="F317" s="516"/>
      <c r="G317" s="516"/>
    </row>
    <row r="318" spans="1:7" ht="12">
      <c r="A318" s="516"/>
      <c r="B318" s="516"/>
      <c r="C318" s="516"/>
      <c r="D318" s="516"/>
      <c r="E318" s="516"/>
      <c r="F318" s="516"/>
      <c r="G318" s="516"/>
    </row>
    <row r="319" spans="1:7" ht="12">
      <c r="A319" s="516"/>
      <c r="B319" s="516"/>
      <c r="C319" s="516"/>
      <c r="D319" s="516"/>
      <c r="E319" s="516"/>
      <c r="F319" s="516"/>
      <c r="G319" s="516"/>
    </row>
    <row r="320" spans="1:7" ht="12">
      <c r="A320" s="516"/>
      <c r="B320" s="516"/>
      <c r="C320" s="516"/>
      <c r="D320" s="516"/>
      <c r="E320" s="516"/>
      <c r="F320" s="516"/>
      <c r="G320" s="516"/>
    </row>
    <row r="321" spans="1:7" ht="12">
      <c r="A321" s="516"/>
      <c r="B321" s="516"/>
      <c r="C321" s="516"/>
      <c r="D321" s="516"/>
      <c r="E321" s="516"/>
      <c r="F321" s="516"/>
      <c r="G321" s="516"/>
    </row>
    <row r="322" spans="1:7" ht="12">
      <c r="A322" s="516"/>
      <c r="B322" s="516"/>
      <c r="C322" s="516"/>
      <c r="D322" s="516"/>
      <c r="E322" s="516"/>
      <c r="F322" s="516"/>
      <c r="G322" s="516"/>
    </row>
    <row r="323" spans="1:7" ht="12">
      <c r="A323" s="516"/>
      <c r="B323" s="516"/>
      <c r="C323" s="516"/>
      <c r="D323" s="516"/>
      <c r="E323" s="516"/>
      <c r="F323" s="516"/>
      <c r="G323" s="516"/>
    </row>
    <row r="324" spans="1:7" ht="12">
      <c r="A324" s="516"/>
      <c r="B324" s="516"/>
      <c r="C324" s="516"/>
      <c r="D324" s="516"/>
      <c r="E324" s="516"/>
      <c r="F324" s="516"/>
      <c r="G324" s="516"/>
    </row>
    <row r="325" spans="1:7" ht="12">
      <c r="A325" s="516"/>
      <c r="B325" s="516"/>
      <c r="C325" s="516"/>
      <c r="D325" s="516"/>
      <c r="E325" s="516"/>
      <c r="F325" s="516"/>
      <c r="G325" s="516"/>
    </row>
    <row r="326" spans="1:7" ht="12">
      <c r="A326" s="516"/>
      <c r="B326" s="516"/>
      <c r="C326" s="516"/>
      <c r="D326" s="516"/>
      <c r="E326" s="516"/>
      <c r="F326" s="516"/>
      <c r="G326" s="516"/>
    </row>
    <row r="327" spans="1:7" ht="12">
      <c r="A327" s="516"/>
      <c r="B327" s="516"/>
      <c r="C327" s="516"/>
      <c r="D327" s="516"/>
      <c r="E327" s="516"/>
      <c r="F327" s="516"/>
      <c r="G327" s="516"/>
    </row>
    <row r="328" spans="1:7" ht="12">
      <c r="A328" s="516"/>
      <c r="B328" s="516"/>
      <c r="C328" s="516"/>
      <c r="D328" s="516"/>
      <c r="E328" s="516"/>
      <c r="F328" s="516"/>
      <c r="G328" s="516"/>
    </row>
    <row r="329" spans="1:7" ht="12">
      <c r="A329" s="516"/>
      <c r="B329" s="516"/>
      <c r="C329" s="516"/>
      <c r="D329" s="516"/>
      <c r="E329" s="516"/>
      <c r="F329" s="516"/>
      <c r="G329" s="516"/>
    </row>
    <row r="330" spans="1:7" ht="12">
      <c r="A330" s="516"/>
      <c r="B330" s="516"/>
      <c r="C330" s="516"/>
      <c r="D330" s="516"/>
      <c r="E330" s="516"/>
      <c r="F330" s="516"/>
      <c r="G330" s="516"/>
    </row>
    <row r="331" spans="1:7" ht="12">
      <c r="A331" s="516"/>
      <c r="B331" s="516"/>
      <c r="C331" s="516"/>
      <c r="D331" s="516"/>
      <c r="E331" s="516"/>
      <c r="F331" s="516"/>
      <c r="G331" s="516"/>
    </row>
    <row r="332" spans="1:7" ht="12">
      <c r="A332" s="516"/>
      <c r="B332" s="516"/>
      <c r="C332" s="516"/>
      <c r="D332" s="516"/>
      <c r="E332" s="516"/>
      <c r="F332" s="516"/>
      <c r="G332" s="516"/>
    </row>
    <row r="333" spans="1:7" ht="12">
      <c r="A333" s="516"/>
      <c r="B333" s="516"/>
      <c r="C333" s="516"/>
      <c r="D333" s="516"/>
      <c r="E333" s="516"/>
      <c r="F333" s="516"/>
      <c r="G333" s="516"/>
    </row>
    <row r="334" spans="1:7" ht="12">
      <c r="A334" s="516"/>
      <c r="B334" s="516"/>
      <c r="C334" s="516"/>
      <c r="D334" s="516"/>
      <c r="E334" s="516"/>
      <c r="F334" s="516"/>
      <c r="G334" s="516"/>
    </row>
    <row r="335" spans="1:7" ht="12">
      <c r="A335" s="516"/>
      <c r="B335" s="516"/>
      <c r="C335" s="516"/>
      <c r="D335" s="516"/>
      <c r="E335" s="516"/>
      <c r="F335" s="516"/>
      <c r="G335" s="516"/>
    </row>
    <row r="336" spans="1:7" ht="12">
      <c r="A336" s="516"/>
      <c r="B336" s="516"/>
      <c r="C336" s="516"/>
      <c r="D336" s="516"/>
      <c r="E336" s="516"/>
      <c r="F336" s="516"/>
      <c r="G336" s="516"/>
    </row>
    <row r="337" spans="1:7" ht="12">
      <c r="A337" s="516"/>
      <c r="B337" s="516"/>
      <c r="C337" s="516"/>
      <c r="D337" s="516"/>
      <c r="E337" s="516"/>
      <c r="F337" s="516"/>
      <c r="G337" s="516"/>
    </row>
    <row r="338" spans="1:7" ht="12">
      <c r="A338" s="516"/>
      <c r="B338" s="516"/>
      <c r="C338" s="516"/>
      <c r="D338" s="516"/>
      <c r="E338" s="516"/>
      <c r="F338" s="516"/>
      <c r="G338" s="516"/>
    </row>
    <row r="339" spans="1:7" ht="12">
      <c r="A339" s="516"/>
      <c r="B339" s="516"/>
      <c r="C339" s="516"/>
      <c r="D339" s="516"/>
      <c r="E339" s="516"/>
      <c r="F339" s="516"/>
      <c r="G339" s="516"/>
    </row>
    <row r="340" spans="1:7" ht="12">
      <c r="A340" s="516"/>
      <c r="B340" s="516"/>
      <c r="C340" s="516"/>
      <c r="D340" s="516"/>
      <c r="E340" s="516"/>
      <c r="F340" s="516"/>
      <c r="G340" s="516"/>
    </row>
    <row r="341" spans="1:7" ht="12">
      <c r="A341" s="516"/>
      <c r="B341" s="516"/>
      <c r="C341" s="516"/>
      <c r="D341" s="516"/>
      <c r="E341" s="516"/>
      <c r="F341" s="516"/>
      <c r="G341" s="516"/>
    </row>
    <row r="342" spans="1:7" ht="12">
      <c r="A342" s="516"/>
      <c r="B342" s="516"/>
      <c r="C342" s="516"/>
      <c r="D342" s="516"/>
      <c r="E342" s="516"/>
      <c r="F342" s="516"/>
      <c r="G342" s="516"/>
    </row>
    <row r="343" spans="1:7" ht="12">
      <c r="A343" s="516"/>
      <c r="B343" s="516"/>
      <c r="C343" s="516"/>
      <c r="D343" s="516"/>
      <c r="E343" s="516"/>
      <c r="F343" s="516"/>
      <c r="G343" s="516"/>
    </row>
    <row r="344" spans="1:7" ht="12">
      <c r="A344" s="516"/>
      <c r="B344" s="516"/>
      <c r="C344" s="516"/>
      <c r="D344" s="516"/>
      <c r="E344" s="516"/>
      <c r="F344" s="516"/>
      <c r="G344" s="516"/>
    </row>
    <row r="345" spans="1:7" ht="12">
      <c r="A345" s="516"/>
      <c r="B345" s="516"/>
      <c r="C345" s="516"/>
      <c r="D345" s="516"/>
      <c r="E345" s="516"/>
      <c r="F345" s="516"/>
      <c r="G345" s="516"/>
    </row>
    <row r="346" spans="1:7" ht="12">
      <c r="A346" s="516"/>
      <c r="B346" s="516"/>
      <c r="C346" s="516"/>
      <c r="D346" s="516"/>
      <c r="E346" s="516"/>
      <c r="F346" s="516"/>
      <c r="G346" s="516"/>
    </row>
    <row r="347" spans="1:7" ht="12">
      <c r="A347" s="516"/>
      <c r="B347" s="516"/>
      <c r="C347" s="516"/>
      <c r="D347" s="516"/>
      <c r="E347" s="516"/>
      <c r="F347" s="516"/>
      <c r="G347" s="516"/>
    </row>
    <row r="348" spans="1:7" ht="12">
      <c r="A348" s="516"/>
      <c r="B348" s="516"/>
      <c r="C348" s="516"/>
      <c r="D348" s="516"/>
      <c r="E348" s="516"/>
      <c r="F348" s="516"/>
      <c r="G348" s="516"/>
    </row>
    <row r="349" spans="1:7" ht="12">
      <c r="A349" s="516"/>
      <c r="B349" s="516"/>
      <c r="C349" s="516"/>
      <c r="D349" s="516"/>
      <c r="E349" s="516"/>
      <c r="F349" s="516"/>
      <c r="G349" s="516"/>
    </row>
    <row r="350" spans="1:7" ht="12">
      <c r="A350" s="516"/>
      <c r="B350" s="516"/>
      <c r="C350" s="516"/>
      <c r="D350" s="516"/>
      <c r="E350" s="516"/>
      <c r="F350" s="516"/>
      <c r="G350" s="516"/>
    </row>
    <row r="351" spans="1:7" ht="12">
      <c r="A351" s="516"/>
      <c r="B351" s="516"/>
      <c r="C351" s="516"/>
      <c r="D351" s="516"/>
      <c r="E351" s="516"/>
      <c r="F351" s="516"/>
      <c r="G351" s="516"/>
    </row>
    <row r="352" spans="1:7" ht="12">
      <c r="A352" s="516"/>
      <c r="B352" s="516"/>
      <c r="C352" s="516"/>
      <c r="D352" s="516"/>
      <c r="E352" s="516"/>
      <c r="F352" s="516"/>
      <c r="G352" s="516"/>
    </row>
    <row r="353" spans="1:7" ht="12">
      <c r="A353" s="516"/>
      <c r="B353" s="516"/>
      <c r="C353" s="516"/>
      <c r="D353" s="516"/>
      <c r="E353" s="516"/>
      <c r="F353" s="516"/>
      <c r="G353" s="516"/>
    </row>
    <row r="354" spans="1:7" ht="12">
      <c r="A354" s="516"/>
      <c r="B354" s="516"/>
      <c r="C354" s="516"/>
      <c r="D354" s="516"/>
      <c r="E354" s="516"/>
      <c r="F354" s="516"/>
      <c r="G354" s="516"/>
    </row>
    <row r="355" spans="1:7" ht="12">
      <c r="A355" s="516"/>
      <c r="B355" s="516"/>
      <c r="C355" s="516"/>
      <c r="D355" s="516"/>
      <c r="E355" s="516"/>
      <c r="F355" s="516"/>
      <c r="G355" s="516"/>
    </row>
    <row r="356" spans="1:7" ht="12">
      <c r="A356" s="516"/>
      <c r="B356" s="516"/>
      <c r="C356" s="516"/>
      <c r="D356" s="516"/>
      <c r="E356" s="516"/>
      <c r="F356" s="516"/>
      <c r="G356" s="516"/>
    </row>
    <row r="357" spans="1:7" ht="12">
      <c r="A357" s="516"/>
      <c r="B357" s="516"/>
      <c r="C357" s="516"/>
      <c r="D357" s="516"/>
      <c r="E357" s="516"/>
      <c r="F357" s="516"/>
      <c r="G357" s="516"/>
    </row>
    <row r="358" spans="1:7" ht="12">
      <c r="A358" s="516"/>
      <c r="B358" s="516"/>
      <c r="C358" s="516"/>
      <c r="D358" s="516"/>
      <c r="E358" s="516"/>
      <c r="F358" s="516"/>
      <c r="G358" s="516"/>
    </row>
    <row r="359" spans="1:7" ht="12">
      <c r="A359" s="516"/>
      <c r="B359" s="516"/>
      <c r="C359" s="516"/>
      <c r="D359" s="516"/>
      <c r="E359" s="516"/>
      <c r="F359" s="516"/>
      <c r="G359" s="516"/>
    </row>
    <row r="360" spans="1:7" ht="12">
      <c r="A360" s="516"/>
      <c r="B360" s="516"/>
      <c r="C360" s="516"/>
      <c r="D360" s="516"/>
      <c r="E360" s="516"/>
      <c r="F360" s="516"/>
      <c r="G360" s="516"/>
    </row>
    <row r="361" spans="1:7" ht="12">
      <c r="A361" s="516"/>
      <c r="B361" s="516"/>
      <c r="C361" s="516"/>
      <c r="D361" s="516"/>
      <c r="E361" s="516"/>
      <c r="F361" s="516"/>
      <c r="G361" s="516"/>
    </row>
    <row r="362" spans="1:7" ht="12">
      <c r="A362" s="516"/>
      <c r="B362" s="516"/>
      <c r="C362" s="516"/>
      <c r="D362" s="516"/>
      <c r="E362" s="516"/>
      <c r="F362" s="516"/>
      <c r="G362" s="516"/>
    </row>
    <row r="363" spans="1:7" ht="12">
      <c r="A363" s="516"/>
      <c r="B363" s="516"/>
      <c r="C363" s="516"/>
      <c r="D363" s="516"/>
      <c r="E363" s="516"/>
      <c r="F363" s="516"/>
      <c r="G363" s="516"/>
    </row>
    <row r="364" spans="1:7" ht="12">
      <c r="A364" s="516"/>
      <c r="B364" s="516"/>
      <c r="C364" s="516"/>
      <c r="D364" s="516"/>
      <c r="E364" s="516"/>
      <c r="F364" s="516"/>
      <c r="G364" s="516"/>
    </row>
    <row r="365" spans="1:7" ht="12">
      <c r="A365" s="516"/>
      <c r="B365" s="516"/>
      <c r="C365" s="516"/>
      <c r="D365" s="516"/>
      <c r="E365" s="516"/>
      <c r="F365" s="516"/>
      <c r="G365" s="516"/>
    </row>
    <row r="366" spans="1:7" ht="12">
      <c r="A366" s="516"/>
      <c r="B366" s="516"/>
      <c r="C366" s="516"/>
      <c r="D366" s="516"/>
      <c r="E366" s="516"/>
      <c r="F366" s="516"/>
      <c r="G366" s="516"/>
    </row>
    <row r="367" spans="1:7" ht="12">
      <c r="A367" s="516"/>
      <c r="B367" s="516"/>
      <c r="C367" s="516"/>
      <c r="D367" s="516"/>
      <c r="E367" s="516"/>
      <c r="F367" s="516"/>
      <c r="G367" s="516"/>
    </row>
    <row r="368" spans="1:7" ht="12">
      <c r="A368" s="516"/>
      <c r="B368" s="516"/>
      <c r="C368" s="516"/>
      <c r="D368" s="516"/>
      <c r="E368" s="516"/>
      <c r="F368" s="516"/>
      <c r="G368" s="516"/>
    </row>
    <row r="369" spans="1:7" ht="12">
      <c r="A369" s="516"/>
      <c r="B369" s="516"/>
      <c r="C369" s="516"/>
      <c r="D369" s="516"/>
      <c r="E369" s="516"/>
      <c r="F369" s="516"/>
      <c r="G369" s="516"/>
    </row>
    <row r="370" spans="1:7" ht="12">
      <c r="A370" s="516"/>
      <c r="B370" s="516"/>
      <c r="C370" s="516"/>
      <c r="D370" s="516"/>
      <c r="E370" s="516"/>
      <c r="F370" s="516"/>
      <c r="G370" s="516"/>
    </row>
    <row r="371" spans="1:7" ht="12">
      <c r="A371" s="516"/>
      <c r="B371" s="516"/>
      <c r="C371" s="516"/>
      <c r="D371" s="516"/>
      <c r="E371" s="516"/>
      <c r="F371" s="516"/>
      <c r="G371" s="516"/>
    </row>
    <row r="372" spans="1:7" ht="12">
      <c r="A372" s="516"/>
      <c r="B372" s="516"/>
      <c r="C372" s="516"/>
      <c r="D372" s="516"/>
      <c r="E372" s="516"/>
      <c r="F372" s="516"/>
      <c r="G372" s="516"/>
    </row>
    <row r="373" spans="1:7" ht="12">
      <c r="A373" s="516"/>
      <c r="B373" s="516"/>
      <c r="C373" s="516"/>
      <c r="D373" s="516"/>
      <c r="E373" s="516"/>
      <c r="F373" s="516"/>
      <c r="G373" s="516"/>
    </row>
    <row r="374" spans="1:7" ht="12">
      <c r="A374" s="516"/>
      <c r="B374" s="516"/>
      <c r="C374" s="516"/>
      <c r="D374" s="516"/>
      <c r="E374" s="516"/>
      <c r="F374" s="516"/>
      <c r="G374" s="516"/>
    </row>
    <row r="375" spans="1:7" ht="12">
      <c r="A375" s="516"/>
      <c r="B375" s="516"/>
      <c r="C375" s="516"/>
      <c r="D375" s="516"/>
      <c r="E375" s="516"/>
      <c r="F375" s="516"/>
      <c r="G375" s="516"/>
    </row>
    <row r="376" spans="1:7" ht="12">
      <c r="A376" s="516"/>
      <c r="B376" s="516"/>
      <c r="C376" s="516"/>
      <c r="D376" s="516"/>
      <c r="E376" s="516"/>
      <c r="F376" s="516"/>
      <c r="G376" s="516"/>
    </row>
    <row r="377" spans="1:7" ht="12">
      <c r="A377" s="516"/>
      <c r="B377" s="516"/>
      <c r="C377" s="516"/>
      <c r="D377" s="516"/>
      <c r="E377" s="516"/>
      <c r="F377" s="516"/>
      <c r="G377" s="516"/>
    </row>
    <row r="378" spans="1:7" ht="12">
      <c r="A378" s="516"/>
      <c r="B378" s="516"/>
      <c r="C378" s="516"/>
      <c r="D378" s="516"/>
      <c r="E378" s="516"/>
      <c r="F378" s="516"/>
      <c r="G378" s="516"/>
    </row>
    <row r="379" spans="1:7" ht="12">
      <c r="A379" s="516"/>
      <c r="B379" s="516"/>
      <c r="C379" s="516"/>
      <c r="D379" s="516"/>
      <c r="E379" s="516"/>
      <c r="F379" s="516"/>
      <c r="G379" s="516"/>
    </row>
    <row r="380" spans="1:7" ht="12">
      <c r="A380" s="516"/>
      <c r="B380" s="516"/>
      <c r="C380" s="516"/>
      <c r="D380" s="516"/>
      <c r="E380" s="516"/>
      <c r="F380" s="516"/>
      <c r="G380" s="516"/>
    </row>
    <row r="381" spans="1:7" ht="12">
      <c r="A381" s="516"/>
      <c r="B381" s="516"/>
      <c r="C381" s="516"/>
      <c r="D381" s="516"/>
      <c r="E381" s="516"/>
      <c r="F381" s="516"/>
      <c r="G381" s="516"/>
    </row>
    <row r="382" spans="1:7" ht="12">
      <c r="A382" s="516"/>
      <c r="B382" s="516"/>
      <c r="C382" s="516"/>
      <c r="D382" s="516"/>
      <c r="E382" s="516"/>
      <c r="F382" s="516"/>
      <c r="G382" s="516"/>
    </row>
    <row r="383" spans="1:7" ht="12">
      <c r="A383" s="516"/>
      <c r="B383" s="516"/>
      <c r="C383" s="516"/>
      <c r="D383" s="516"/>
      <c r="E383" s="516"/>
      <c r="F383" s="516"/>
      <c r="G383" s="516"/>
    </row>
    <row r="384" spans="1:7" ht="12">
      <c r="A384" s="516"/>
      <c r="B384" s="516"/>
      <c r="C384" s="516"/>
      <c r="D384" s="516"/>
      <c r="E384" s="516"/>
      <c r="F384" s="516"/>
      <c r="G384" s="516"/>
    </row>
    <row r="385" spans="1:7" ht="12">
      <c r="A385" s="516"/>
      <c r="B385" s="516"/>
      <c r="C385" s="516"/>
      <c r="D385" s="516"/>
      <c r="E385" s="516"/>
      <c r="F385" s="516"/>
      <c r="G385" s="516"/>
    </row>
    <row r="386" spans="1:7" ht="12">
      <c r="A386" s="516"/>
      <c r="B386" s="516"/>
      <c r="C386" s="516"/>
      <c r="D386" s="516"/>
      <c r="E386" s="516"/>
      <c r="F386" s="516"/>
      <c r="G386" s="516"/>
    </row>
    <row r="387" spans="1:7" ht="12">
      <c r="A387" s="516"/>
      <c r="B387" s="516"/>
      <c r="C387" s="516"/>
      <c r="D387" s="516"/>
      <c r="E387" s="516"/>
      <c r="F387" s="516"/>
      <c r="G387" s="516"/>
    </row>
    <row r="388" spans="1:7" ht="12">
      <c r="A388" s="516"/>
      <c r="B388" s="516"/>
      <c r="C388" s="516"/>
      <c r="D388" s="516"/>
      <c r="E388" s="516"/>
      <c r="F388" s="516"/>
      <c r="G388" s="516"/>
    </row>
    <row r="389" spans="1:7" ht="12">
      <c r="A389" s="516"/>
      <c r="B389" s="516"/>
      <c r="C389" s="516"/>
      <c r="D389" s="516"/>
      <c r="E389" s="516"/>
      <c r="F389" s="516"/>
      <c r="G389" s="516"/>
    </row>
    <row r="390" spans="1:7" ht="12">
      <c r="A390" s="516"/>
      <c r="B390" s="516"/>
      <c r="C390" s="516"/>
      <c r="D390" s="516"/>
      <c r="E390" s="516"/>
      <c r="F390" s="516"/>
      <c r="G390" s="516"/>
    </row>
    <row r="391" spans="1:7" ht="12">
      <c r="A391" s="516"/>
      <c r="B391" s="516"/>
      <c r="C391" s="516"/>
      <c r="D391" s="516"/>
      <c r="E391" s="516"/>
      <c r="F391" s="516"/>
      <c r="G391" s="516"/>
    </row>
    <row r="392" spans="1:7" ht="12">
      <c r="A392" s="516"/>
      <c r="B392" s="516"/>
      <c r="C392" s="516"/>
      <c r="D392" s="516"/>
      <c r="E392" s="516"/>
      <c r="F392" s="516"/>
      <c r="G392" s="516"/>
    </row>
    <row r="393" spans="1:7" ht="12">
      <c r="A393" s="516"/>
      <c r="B393" s="516"/>
      <c r="C393" s="516"/>
      <c r="D393" s="516"/>
      <c r="E393" s="516"/>
      <c r="F393" s="516"/>
      <c r="G393" s="516"/>
    </row>
    <row r="394" spans="1:7" ht="12">
      <c r="A394" s="516"/>
      <c r="B394" s="516"/>
      <c r="C394" s="516"/>
      <c r="D394" s="516"/>
      <c r="E394" s="516"/>
      <c r="F394" s="516"/>
      <c r="G394" s="516"/>
    </row>
    <row r="395" spans="1:7" ht="12">
      <c r="A395" s="516"/>
      <c r="B395" s="516"/>
      <c r="C395" s="516"/>
      <c r="D395" s="516"/>
      <c r="E395" s="516"/>
      <c r="F395" s="516"/>
      <c r="G395" s="516"/>
    </row>
    <row r="396" spans="1:7" ht="12">
      <c r="A396" s="516"/>
      <c r="B396" s="516"/>
      <c r="C396" s="516"/>
      <c r="D396" s="516"/>
      <c r="E396" s="516"/>
      <c r="F396" s="516"/>
      <c r="G396" s="516"/>
    </row>
    <row r="397" spans="1:7" ht="12">
      <c r="A397" s="516"/>
      <c r="B397" s="516"/>
      <c r="C397" s="516"/>
      <c r="D397" s="516"/>
      <c r="E397" s="516"/>
      <c r="F397" s="516"/>
      <c r="G397" s="516"/>
    </row>
    <row r="398" spans="1:7" ht="12">
      <c r="A398" s="516"/>
      <c r="B398" s="516"/>
      <c r="C398" s="516"/>
      <c r="D398" s="516"/>
      <c r="E398" s="516"/>
      <c r="F398" s="516"/>
      <c r="G398" s="516"/>
    </row>
  </sheetData>
  <mergeCells count="12">
    <mergeCell ref="A6:F6"/>
    <mergeCell ref="A7:F7"/>
    <mergeCell ref="A8:F8"/>
    <mergeCell ref="A10:C10"/>
    <mergeCell ref="A53:F53"/>
    <mergeCell ref="A14:F14"/>
    <mergeCell ref="A11:A12"/>
    <mergeCell ref="B11:B12"/>
    <mergeCell ref="C11:C12"/>
    <mergeCell ref="D10:D12"/>
    <mergeCell ref="E10:E12"/>
    <mergeCell ref="F10:F12"/>
  </mergeCells>
  <printOptions/>
  <pageMargins left="0.3937007874015748" right="0.3937007874015748" top="0.27" bottom="0.2" header="0.11811023622047245" footer="0.118110236220472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C10">
      <selection activeCell="J17" sqref="J17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ht="12.75">
      <c r="J1" s="516" t="s">
        <v>13</v>
      </c>
    </row>
    <row r="2" ht="12.75">
      <c r="J2" s="516" t="s">
        <v>14</v>
      </c>
    </row>
    <row r="3" ht="12.75">
      <c r="J3" s="516" t="s">
        <v>826</v>
      </c>
    </row>
    <row r="4" ht="12.75">
      <c r="J4" s="516" t="s">
        <v>227</v>
      </c>
    </row>
    <row r="5" spans="1:10" ht="16.5">
      <c r="A5" s="1167" t="s">
        <v>452</v>
      </c>
      <c r="B5" s="1167"/>
      <c r="C5" s="1167"/>
      <c r="D5" s="1167"/>
      <c r="E5" s="1167"/>
      <c r="F5" s="1167"/>
      <c r="G5" s="1167"/>
      <c r="H5" s="1167"/>
      <c r="I5" s="1167"/>
      <c r="J5" s="1167"/>
    </row>
    <row r="6" spans="1:10" ht="16.5">
      <c r="A6" s="1167" t="s">
        <v>132</v>
      </c>
      <c r="B6" s="1167"/>
      <c r="C6" s="1167"/>
      <c r="D6" s="1167"/>
      <c r="E6" s="1167"/>
      <c r="F6" s="1167"/>
      <c r="G6" s="1167"/>
      <c r="H6" s="1167"/>
      <c r="I6" s="1167"/>
      <c r="J6" s="1167"/>
    </row>
    <row r="7" spans="1:10" ht="6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K8" s="10" t="s">
        <v>434</v>
      </c>
    </row>
    <row r="9" spans="1:11" ht="15" customHeight="1">
      <c r="A9" s="1065" t="s">
        <v>453</v>
      </c>
      <c r="B9" s="1067" t="s">
        <v>393</v>
      </c>
      <c r="C9" s="1068" t="s">
        <v>556</v>
      </c>
      <c r="D9" s="1168" t="s">
        <v>479</v>
      </c>
      <c r="E9" s="1169"/>
      <c r="F9" s="1169"/>
      <c r="G9" s="1170"/>
      <c r="H9" s="1068" t="s">
        <v>401</v>
      </c>
      <c r="I9" s="1068"/>
      <c r="J9" s="1068" t="s">
        <v>557</v>
      </c>
      <c r="K9" s="1069" t="s">
        <v>564</v>
      </c>
    </row>
    <row r="10" spans="1:11" ht="15" customHeight="1">
      <c r="A10" s="1066"/>
      <c r="B10" s="1058"/>
      <c r="C10" s="1059"/>
      <c r="D10" s="1059" t="s">
        <v>400</v>
      </c>
      <c r="E10" s="1172" t="s">
        <v>399</v>
      </c>
      <c r="F10" s="1173"/>
      <c r="G10" s="1174"/>
      <c r="H10" s="1059" t="s">
        <v>400</v>
      </c>
      <c r="I10" s="1059" t="s">
        <v>458</v>
      </c>
      <c r="J10" s="1059"/>
      <c r="K10" s="1070"/>
    </row>
    <row r="11" spans="1:11" ht="18" customHeight="1">
      <c r="A11" s="1066"/>
      <c r="B11" s="1058"/>
      <c r="C11" s="1059"/>
      <c r="D11" s="1059"/>
      <c r="E11" s="1171" t="s">
        <v>558</v>
      </c>
      <c r="F11" s="1172" t="s">
        <v>399</v>
      </c>
      <c r="G11" s="1174"/>
      <c r="H11" s="1059"/>
      <c r="I11" s="1059"/>
      <c r="J11" s="1059"/>
      <c r="K11" s="1070"/>
    </row>
    <row r="12" spans="1:11" ht="42" customHeight="1">
      <c r="A12" s="1066"/>
      <c r="B12" s="1058"/>
      <c r="C12" s="1059"/>
      <c r="D12" s="1059"/>
      <c r="E12" s="1147"/>
      <c r="F12" s="77" t="s">
        <v>555</v>
      </c>
      <c r="G12" s="77" t="s">
        <v>554</v>
      </c>
      <c r="H12" s="1059"/>
      <c r="I12" s="1059"/>
      <c r="J12" s="1059"/>
      <c r="K12" s="1070"/>
    </row>
    <row r="13" spans="1:11" ht="7.5" customHeight="1">
      <c r="A13" s="261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262">
        <v>11</v>
      </c>
    </row>
    <row r="14" spans="1:11" ht="19.5" customHeight="1">
      <c r="A14" s="236" t="s">
        <v>403</v>
      </c>
      <c r="B14" s="20" t="s">
        <v>407</v>
      </c>
      <c r="C14" s="20"/>
      <c r="D14" s="20"/>
      <c r="E14" s="20"/>
      <c r="F14" s="22" t="s">
        <v>439</v>
      </c>
      <c r="G14" s="20"/>
      <c r="H14" s="20"/>
      <c r="I14" s="20"/>
      <c r="J14" s="20"/>
      <c r="K14" s="450" t="s">
        <v>439</v>
      </c>
    </row>
    <row r="15" spans="1:11" ht="19.5" customHeight="1">
      <c r="A15" s="451"/>
      <c r="B15" s="445" t="s">
        <v>487</v>
      </c>
      <c r="C15" s="446"/>
      <c r="D15" s="446"/>
      <c r="E15" s="446"/>
      <c r="F15" s="444"/>
      <c r="G15" s="446"/>
      <c r="H15" s="446"/>
      <c r="I15" s="446"/>
      <c r="J15" s="446"/>
      <c r="K15" s="452"/>
    </row>
    <row r="16" spans="1:11" ht="39" customHeight="1">
      <c r="A16" s="458"/>
      <c r="B16" s="447" t="s">
        <v>857</v>
      </c>
      <c r="C16" s="448">
        <v>127498</v>
      </c>
      <c r="D16" s="448">
        <v>262500</v>
      </c>
      <c r="E16" s="448">
        <v>0</v>
      </c>
      <c r="F16" s="449" t="s">
        <v>439</v>
      </c>
      <c r="G16" s="448">
        <v>0</v>
      </c>
      <c r="H16" s="448">
        <v>224500</v>
      </c>
      <c r="I16" s="448">
        <v>19000</v>
      </c>
      <c r="J16" s="448">
        <f>C16+D16-H16</f>
        <v>165498</v>
      </c>
      <c r="K16" s="453" t="s">
        <v>439</v>
      </c>
    </row>
    <row r="17" spans="1:11" ht="39.75" customHeight="1">
      <c r="A17" s="459"/>
      <c r="B17" s="441" t="s">
        <v>858</v>
      </c>
      <c r="C17" s="442">
        <v>0</v>
      </c>
      <c r="D17" s="442">
        <v>139550</v>
      </c>
      <c r="E17" s="442">
        <v>0</v>
      </c>
      <c r="F17" s="443" t="s">
        <v>439</v>
      </c>
      <c r="G17" s="442">
        <v>0</v>
      </c>
      <c r="H17" s="442">
        <v>139550</v>
      </c>
      <c r="I17" s="442">
        <v>0</v>
      </c>
      <c r="J17" s="448">
        <f>C17+D17-H17</f>
        <v>0</v>
      </c>
      <c r="K17" s="454" t="s">
        <v>439</v>
      </c>
    </row>
    <row r="18" spans="1:11" s="68" customFormat="1" ht="19.5" customHeight="1" thickBot="1">
      <c r="A18" s="1165" t="s">
        <v>539</v>
      </c>
      <c r="B18" s="1166"/>
      <c r="C18" s="455">
        <f>SUM(C16:C17)</f>
        <v>127498</v>
      </c>
      <c r="D18" s="455">
        <f>SUM(D16:D17)</f>
        <v>402050</v>
      </c>
      <c r="E18" s="455">
        <f>SUM(E16:E17)</f>
        <v>0</v>
      </c>
      <c r="F18" s="456" t="s">
        <v>830</v>
      </c>
      <c r="G18" s="455">
        <f>SUM(G16:G17)</f>
        <v>0</v>
      </c>
      <c r="H18" s="455">
        <f>SUM(H16:H17)</f>
        <v>364050</v>
      </c>
      <c r="I18" s="455">
        <f>SUM(I16:I17)</f>
        <v>19000</v>
      </c>
      <c r="J18" s="455">
        <f>SUM(J16:J17)</f>
        <v>165498</v>
      </c>
      <c r="K18" s="457" t="s">
        <v>830</v>
      </c>
    </row>
    <row r="19" ht="4.5" customHeight="1"/>
    <row r="20" ht="12.75" customHeight="1">
      <c r="A20" s="78" t="s">
        <v>559</v>
      </c>
    </row>
    <row r="21" ht="14.25">
      <c r="A21" s="78" t="s">
        <v>560</v>
      </c>
    </row>
    <row r="22" ht="12.75">
      <c r="A22" s="78" t="s">
        <v>563</v>
      </c>
    </row>
    <row r="23" ht="12.75">
      <c r="A23" s="78" t="s">
        <v>612</v>
      </c>
    </row>
  </sheetData>
  <mergeCells count="16">
    <mergeCell ref="E10:G10"/>
    <mergeCell ref="F11:G11"/>
    <mergeCell ref="K9:K12"/>
    <mergeCell ref="H10:H12"/>
    <mergeCell ref="I10:I12"/>
    <mergeCell ref="J9:J12"/>
    <mergeCell ref="A18:B18"/>
    <mergeCell ref="H9:I9"/>
    <mergeCell ref="A5:J5"/>
    <mergeCell ref="A6:J6"/>
    <mergeCell ref="A9:A12"/>
    <mergeCell ref="B9:B12"/>
    <mergeCell ref="C9:C12"/>
    <mergeCell ref="D10:D12"/>
    <mergeCell ref="D9:G9"/>
    <mergeCell ref="E11:E12"/>
  </mergeCells>
  <printOptions horizontalCentered="1"/>
  <pageMargins left="0.2" right="0.51" top="1.63" bottom="0.6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workbookViewId="0" topLeftCell="B14">
      <selection activeCell="E2" sqref="E2:E3"/>
    </sheetView>
  </sheetViews>
  <sheetFormatPr defaultColWidth="9.00390625" defaultRowHeight="12.75"/>
  <cols>
    <col min="1" max="1" width="3.00390625" style="255" customWidth="1"/>
    <col min="2" max="2" width="5.125" style="255" customWidth="1"/>
    <col min="3" max="3" width="7.25390625" style="255" customWidth="1"/>
    <col min="4" max="4" width="75.375" style="255" customWidth="1"/>
    <col min="5" max="5" width="13.00390625" style="255" customWidth="1"/>
    <col min="6" max="16384" width="9.125" style="255" customWidth="1"/>
  </cols>
  <sheetData>
    <row r="1" spans="4:5" ht="12">
      <c r="D1" s="257"/>
      <c r="E1" s="256" t="s">
        <v>234</v>
      </c>
    </row>
    <row r="2" spans="4:5" ht="12">
      <c r="D2" s="257"/>
      <c r="E2" s="256" t="s">
        <v>632</v>
      </c>
    </row>
    <row r="3" spans="4:5" ht="12">
      <c r="D3" s="257"/>
      <c r="E3" s="256" t="s">
        <v>826</v>
      </c>
    </row>
    <row r="4" spans="4:5" ht="12">
      <c r="D4" s="257"/>
      <c r="E4" s="256" t="s">
        <v>89</v>
      </c>
    </row>
    <row r="5" spans="4:5" ht="9.75">
      <c r="D5" s="257"/>
      <c r="E5" s="257"/>
    </row>
    <row r="6" spans="4:5" ht="9.75">
      <c r="D6" s="257"/>
      <c r="E6" s="257"/>
    </row>
    <row r="7" spans="4:5" ht="9.75">
      <c r="D7" s="257"/>
      <c r="E7" s="257"/>
    </row>
    <row r="8" spans="4:5" ht="18">
      <c r="D8" s="1149" t="s">
        <v>90</v>
      </c>
      <c r="E8" s="1149"/>
    </row>
    <row r="9" spans="4:5" ht="18">
      <c r="D9" s="1150" t="s">
        <v>91</v>
      </c>
      <c r="E9" s="1150"/>
    </row>
    <row r="10" spans="4:5" ht="18">
      <c r="D10" s="1149" t="s">
        <v>92</v>
      </c>
      <c r="E10" s="1149"/>
    </row>
    <row r="11" ht="9.75">
      <c r="D11" s="596"/>
    </row>
    <row r="12" spans="4:5" ht="12.75" thickBot="1">
      <c r="D12" s="597"/>
      <c r="E12" s="598" t="s">
        <v>827</v>
      </c>
    </row>
    <row r="13" spans="1:5" ht="14.25">
      <c r="A13" s="599"/>
      <c r="B13" s="600"/>
      <c r="C13" s="600"/>
      <c r="D13" s="601"/>
      <c r="E13" s="602"/>
    </row>
    <row r="14" spans="1:5" ht="14.25">
      <c r="A14" s="603" t="s">
        <v>93</v>
      </c>
      <c r="B14" s="604" t="s">
        <v>395</v>
      </c>
      <c r="C14" s="604" t="s">
        <v>396</v>
      </c>
      <c r="D14" s="605" t="s">
        <v>435</v>
      </c>
      <c r="E14" s="606" t="s">
        <v>436</v>
      </c>
    </row>
    <row r="15" spans="1:5" ht="15" thickBot="1">
      <c r="A15" s="607"/>
      <c r="B15" s="608"/>
      <c r="C15" s="608"/>
      <c r="D15" s="609"/>
      <c r="E15" s="610"/>
    </row>
    <row r="16" spans="1:5" ht="14.25">
      <c r="A16" s="611">
        <v>1</v>
      </c>
      <c r="B16" s="612">
        <v>2</v>
      </c>
      <c r="C16" s="612">
        <v>3</v>
      </c>
      <c r="D16" s="612">
        <v>4</v>
      </c>
      <c r="E16" s="613">
        <v>5</v>
      </c>
    </row>
    <row r="17" spans="1:5" ht="15.75" thickBot="1">
      <c r="A17" s="614">
        <v>1</v>
      </c>
      <c r="B17" s="615">
        <v>630</v>
      </c>
      <c r="C17" s="615">
        <v>63003</v>
      </c>
      <c r="D17" s="616" t="s">
        <v>94</v>
      </c>
      <c r="E17" s="617">
        <f>SUM(E18)</f>
        <v>1000</v>
      </c>
    </row>
    <row r="18" spans="1:5" ht="14.25">
      <c r="A18" s="618"/>
      <c r="B18" s="619"/>
      <c r="C18" s="620"/>
      <c r="D18" s="621" t="s">
        <v>95</v>
      </c>
      <c r="E18" s="622">
        <v>1000</v>
      </c>
    </row>
    <row r="19" spans="1:5" ht="14.25">
      <c r="A19" s="618"/>
      <c r="B19" s="619"/>
      <c r="C19" s="620"/>
      <c r="D19" s="623"/>
      <c r="E19" s="624"/>
    </row>
    <row r="20" spans="1:5" ht="15.75" thickBot="1">
      <c r="A20" s="625">
        <v>2</v>
      </c>
      <c r="B20" s="626">
        <v>801</v>
      </c>
      <c r="C20" s="627">
        <v>80195</v>
      </c>
      <c r="D20" s="628" t="s">
        <v>94</v>
      </c>
      <c r="E20" s="629">
        <f>SUM(E21:E22)</f>
        <v>10000</v>
      </c>
    </row>
    <row r="21" spans="1:5" ht="28.5">
      <c r="A21" s="618"/>
      <c r="B21" s="619"/>
      <c r="C21" s="619"/>
      <c r="D21" s="630" t="s">
        <v>96</v>
      </c>
      <c r="E21" s="631">
        <v>6000</v>
      </c>
    </row>
    <row r="22" spans="1:5" ht="14.25">
      <c r="A22" s="618"/>
      <c r="B22" s="619"/>
      <c r="C22" s="619"/>
      <c r="D22" s="632" t="s">
        <v>156</v>
      </c>
      <c r="E22" s="633">
        <v>4000</v>
      </c>
    </row>
    <row r="23" spans="1:5" ht="14.25">
      <c r="A23" s="618"/>
      <c r="B23" s="619"/>
      <c r="C23" s="620"/>
      <c r="D23" s="623"/>
      <c r="E23" s="634"/>
    </row>
    <row r="24" spans="1:5" ht="15.75" thickBot="1">
      <c r="A24" s="625">
        <v>3</v>
      </c>
      <c r="B24" s="626">
        <v>921</v>
      </c>
      <c r="C24" s="626">
        <v>92105</v>
      </c>
      <c r="D24" s="635" t="s">
        <v>94</v>
      </c>
      <c r="E24" s="636">
        <f>SUM(E25:E28)</f>
        <v>4000</v>
      </c>
    </row>
    <row r="25" spans="1:5" ht="14.25">
      <c r="A25" s="618"/>
      <c r="B25" s="619"/>
      <c r="C25" s="619"/>
      <c r="D25" s="632" t="s">
        <v>97</v>
      </c>
      <c r="E25" s="637">
        <v>1000</v>
      </c>
    </row>
    <row r="26" spans="1:5" ht="14.25">
      <c r="A26" s="618"/>
      <c r="B26" s="619"/>
      <c r="C26" s="619"/>
      <c r="D26" s="632" t="s">
        <v>98</v>
      </c>
      <c r="E26" s="633">
        <v>1000</v>
      </c>
    </row>
    <row r="27" spans="1:5" ht="14.25">
      <c r="A27" s="618"/>
      <c r="B27" s="619"/>
      <c r="C27" s="619"/>
      <c r="D27" s="638" t="s">
        <v>99</v>
      </c>
      <c r="E27" s="639">
        <v>1000</v>
      </c>
    </row>
    <row r="28" spans="1:5" ht="14.25">
      <c r="A28" s="618"/>
      <c r="B28" s="619"/>
      <c r="C28" s="619"/>
      <c r="D28" s="632" t="s">
        <v>100</v>
      </c>
      <c r="E28" s="639">
        <v>1000</v>
      </c>
    </row>
    <row r="29" spans="1:5" ht="14.25">
      <c r="A29" s="618"/>
      <c r="B29" s="619"/>
      <c r="C29" s="620"/>
      <c r="D29" s="623"/>
      <c r="E29" s="640"/>
    </row>
    <row r="30" spans="1:5" ht="15.75" thickBot="1">
      <c r="A30" s="625">
        <v>4</v>
      </c>
      <c r="B30" s="626">
        <v>926</v>
      </c>
      <c r="C30" s="626">
        <v>92605</v>
      </c>
      <c r="D30" s="641" t="s">
        <v>94</v>
      </c>
      <c r="E30" s="629">
        <f>SUM(E31:E47)</f>
        <v>70000</v>
      </c>
    </row>
    <row r="31" spans="1:5" ht="14.25">
      <c r="A31" s="618"/>
      <c r="B31" s="619"/>
      <c r="C31" s="619"/>
      <c r="D31" s="642" t="s">
        <v>101</v>
      </c>
      <c r="E31" s="631">
        <v>12000</v>
      </c>
    </row>
    <row r="32" spans="1:5" ht="14.25">
      <c r="A32" s="618"/>
      <c r="B32" s="619"/>
      <c r="C32" s="619"/>
      <c r="D32" s="643" t="s">
        <v>102</v>
      </c>
      <c r="E32" s="639">
        <v>10000</v>
      </c>
    </row>
    <row r="33" spans="1:5" ht="14.25">
      <c r="A33" s="618"/>
      <c r="B33" s="619"/>
      <c r="C33" s="619"/>
      <c r="D33" s="643" t="s">
        <v>103</v>
      </c>
      <c r="E33" s="639">
        <v>5000</v>
      </c>
    </row>
    <row r="34" spans="1:5" ht="14.25">
      <c r="A34" s="618"/>
      <c r="B34" s="619"/>
      <c r="C34" s="619"/>
      <c r="D34" s="643" t="s">
        <v>104</v>
      </c>
      <c r="E34" s="639">
        <v>3000</v>
      </c>
    </row>
    <row r="35" spans="1:5" ht="28.5">
      <c r="A35" s="618"/>
      <c r="B35" s="619"/>
      <c r="C35" s="619"/>
      <c r="D35" s="644" t="s">
        <v>105</v>
      </c>
      <c r="E35" s="645">
        <v>10000</v>
      </c>
    </row>
    <row r="36" spans="1:5" ht="42.75">
      <c r="A36" s="618"/>
      <c r="B36" s="619"/>
      <c r="C36" s="619"/>
      <c r="D36" s="644" t="s">
        <v>106</v>
      </c>
      <c r="E36" s="639">
        <v>5000</v>
      </c>
    </row>
    <row r="37" spans="1:5" ht="12.75" customHeight="1">
      <c r="A37" s="618"/>
      <c r="B37" s="619"/>
      <c r="C37" s="619"/>
      <c r="D37" s="643" t="s">
        <v>107</v>
      </c>
      <c r="E37" s="639">
        <v>2000</v>
      </c>
    </row>
    <row r="38" spans="1:5" ht="14.25">
      <c r="A38" s="618"/>
      <c r="B38" s="619"/>
      <c r="C38" s="619"/>
      <c r="D38" s="644" t="s">
        <v>108</v>
      </c>
      <c r="E38" s="645">
        <v>2000</v>
      </c>
    </row>
    <row r="39" spans="1:5" ht="14.25">
      <c r="A39" s="618"/>
      <c r="B39" s="619"/>
      <c r="C39" s="619"/>
      <c r="D39" s="643" t="s">
        <v>109</v>
      </c>
      <c r="E39" s="645">
        <v>2000</v>
      </c>
    </row>
    <row r="40" spans="1:5" ht="14.25">
      <c r="A40" s="618"/>
      <c r="B40" s="619"/>
      <c r="C40" s="646"/>
      <c r="D40" s="643" t="s">
        <v>110</v>
      </c>
      <c r="E40" s="639">
        <v>4000</v>
      </c>
    </row>
    <row r="41" spans="1:5" ht="14.25">
      <c r="A41" s="618"/>
      <c r="B41" s="619"/>
      <c r="C41" s="619"/>
      <c r="D41" s="643" t="s">
        <v>111</v>
      </c>
      <c r="E41" s="639">
        <v>2000</v>
      </c>
    </row>
    <row r="42" spans="1:5" ht="14.25">
      <c r="A42" s="618"/>
      <c r="B42" s="619"/>
      <c r="C42" s="619"/>
      <c r="D42" s="643" t="s">
        <v>112</v>
      </c>
      <c r="E42" s="639">
        <v>2000</v>
      </c>
    </row>
    <row r="43" spans="1:5" ht="14.25">
      <c r="A43" s="618"/>
      <c r="B43" s="619"/>
      <c r="C43" s="619"/>
      <c r="D43" s="644" t="s">
        <v>113</v>
      </c>
      <c r="E43" s="639">
        <v>2000</v>
      </c>
    </row>
    <row r="44" spans="1:5" ht="14.25">
      <c r="A44" s="618"/>
      <c r="B44" s="619"/>
      <c r="C44" s="619"/>
      <c r="D44" s="644" t="s">
        <v>114</v>
      </c>
      <c r="E44" s="639">
        <v>2000</v>
      </c>
    </row>
    <row r="45" spans="1:5" ht="14.25">
      <c r="A45" s="618"/>
      <c r="B45" s="619"/>
      <c r="C45" s="619"/>
      <c r="D45" s="644" t="s">
        <v>115</v>
      </c>
      <c r="E45" s="639">
        <v>2000</v>
      </c>
    </row>
    <row r="46" spans="1:5" ht="15" customHeight="1">
      <c r="A46" s="618"/>
      <c r="B46" s="619"/>
      <c r="C46" s="619"/>
      <c r="D46" s="643" t="s">
        <v>116</v>
      </c>
      <c r="E46" s="639">
        <v>2000</v>
      </c>
    </row>
    <row r="47" spans="1:5" ht="42" customHeight="1">
      <c r="A47" s="618"/>
      <c r="B47" s="619"/>
      <c r="C47" s="619"/>
      <c r="D47" s="644" t="s">
        <v>117</v>
      </c>
      <c r="E47" s="639">
        <v>3000</v>
      </c>
    </row>
    <row r="48" spans="1:5" ht="15">
      <c r="A48" s="618"/>
      <c r="B48" s="619"/>
      <c r="C48" s="620"/>
      <c r="D48" s="647"/>
      <c r="E48" s="648"/>
    </row>
    <row r="49" spans="1:5" ht="15.75" thickBot="1">
      <c r="A49" s="625"/>
      <c r="B49" s="626"/>
      <c r="C49" s="626"/>
      <c r="D49" s="649" t="s">
        <v>118</v>
      </c>
      <c r="E49" s="650">
        <f>E30+E24+E20+E17</f>
        <v>85000</v>
      </c>
    </row>
    <row r="50" spans="1:3" ht="12.75">
      <c r="A50" s="260"/>
      <c r="B50" s="260"/>
      <c r="C50" s="260"/>
    </row>
  </sheetData>
  <mergeCells count="3">
    <mergeCell ref="D8:E8"/>
    <mergeCell ref="D10:E10"/>
    <mergeCell ref="D9:E9"/>
  </mergeCells>
  <printOptions/>
  <pageMargins left="0.62" right="0.3937007874015748" top="0.3937007874015748" bottom="0.3937007874015748" header="0.25" footer="0.11811023622047245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D1" sqref="D1:D4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7.75390625" style="1" customWidth="1"/>
    <col min="5" max="16384" width="9.125" style="1" customWidth="1"/>
  </cols>
  <sheetData>
    <row r="1" ht="12.75">
      <c r="D1" s="7" t="s">
        <v>15</v>
      </c>
    </row>
    <row r="2" ht="12.75">
      <c r="D2" s="7" t="s">
        <v>16</v>
      </c>
    </row>
    <row r="3" ht="12.75">
      <c r="D3" s="7" t="s">
        <v>826</v>
      </c>
    </row>
    <row r="4" ht="12.75">
      <c r="D4" s="7" t="s">
        <v>227</v>
      </c>
    </row>
    <row r="6" spans="1:11" ht="19.5" customHeight="1">
      <c r="A6" s="1000" t="s">
        <v>613</v>
      </c>
      <c r="B6" s="1000"/>
      <c r="C6" s="1000"/>
      <c r="D6" s="1000"/>
      <c r="E6" s="6"/>
      <c r="F6" s="6"/>
      <c r="G6" s="6"/>
      <c r="H6" s="6"/>
      <c r="I6" s="6"/>
      <c r="J6" s="6"/>
      <c r="K6" s="6"/>
    </row>
    <row r="7" spans="1:8" ht="19.5" customHeight="1">
      <c r="A7" s="1000" t="s">
        <v>437</v>
      </c>
      <c r="B7" s="1000"/>
      <c r="C7" s="1000"/>
      <c r="D7" s="1000"/>
      <c r="E7" s="6"/>
      <c r="F7" s="6"/>
      <c r="G7" s="6"/>
      <c r="H7" s="6"/>
    </row>
    <row r="9" ht="12.75">
      <c r="D9" s="10" t="s">
        <v>434</v>
      </c>
    </row>
    <row r="10" spans="1:11" ht="19.5" customHeight="1">
      <c r="A10" s="16" t="s">
        <v>453</v>
      </c>
      <c r="B10" s="16" t="s">
        <v>397</v>
      </c>
      <c r="C10" s="16" t="s">
        <v>393</v>
      </c>
      <c r="D10" s="16" t="s">
        <v>450</v>
      </c>
      <c r="E10" s="8"/>
      <c r="F10" s="8"/>
      <c r="G10" s="8"/>
      <c r="H10" s="8"/>
      <c r="I10" s="8"/>
      <c r="J10" s="9"/>
      <c r="K10" s="9"/>
    </row>
    <row r="11" spans="1:11" ht="19.5" customHeight="1">
      <c r="A11" s="23" t="s">
        <v>403</v>
      </c>
      <c r="B11" s="23"/>
      <c r="C11" s="32" t="s">
        <v>457</v>
      </c>
      <c r="D11" s="307">
        <v>28700</v>
      </c>
      <c r="E11" s="8"/>
      <c r="F11" s="8"/>
      <c r="G11" s="8"/>
      <c r="H11" s="8"/>
      <c r="I11" s="8"/>
      <c r="J11" s="9"/>
      <c r="K11" s="9"/>
    </row>
    <row r="12" spans="1:11" ht="19.5" customHeight="1">
      <c r="A12" s="23" t="s">
        <v>408</v>
      </c>
      <c r="B12" s="23"/>
      <c r="C12" s="32" t="s">
        <v>402</v>
      </c>
      <c r="D12" s="307">
        <f>D13+D14</f>
        <v>160500</v>
      </c>
      <c r="E12" s="8"/>
      <c r="F12" s="8"/>
      <c r="G12" s="8"/>
      <c r="H12" s="8"/>
      <c r="I12" s="8"/>
      <c r="J12" s="9"/>
      <c r="K12" s="9"/>
    </row>
    <row r="13" spans="1:11" ht="19.5" customHeight="1">
      <c r="A13" s="33" t="s">
        <v>404</v>
      </c>
      <c r="B13" s="309" t="s">
        <v>865</v>
      </c>
      <c r="C13" s="34" t="s">
        <v>861</v>
      </c>
      <c r="D13" s="305">
        <v>500</v>
      </c>
      <c r="E13" s="8"/>
      <c r="F13" s="8"/>
      <c r="G13" s="8"/>
      <c r="H13" s="8"/>
      <c r="I13" s="8"/>
      <c r="J13" s="9"/>
      <c r="K13" s="9"/>
    </row>
    <row r="14" spans="1:11" ht="19.5" customHeight="1">
      <c r="A14" s="27" t="s">
        <v>405</v>
      </c>
      <c r="B14" s="27">
        <v>2960</v>
      </c>
      <c r="C14" s="35" t="s">
        <v>860</v>
      </c>
      <c r="D14" s="306">
        <v>160000</v>
      </c>
      <c r="E14" s="8"/>
      <c r="F14" s="8"/>
      <c r="G14" s="8"/>
      <c r="H14" s="8"/>
      <c r="I14" s="8"/>
      <c r="J14" s="9"/>
      <c r="K14" s="9"/>
    </row>
    <row r="15" spans="1:11" ht="19.5" customHeight="1">
      <c r="A15" s="23" t="s">
        <v>409</v>
      </c>
      <c r="B15" s="23"/>
      <c r="C15" s="32" t="s">
        <v>401</v>
      </c>
      <c r="D15" s="307">
        <f>D16+D21</f>
        <v>185000</v>
      </c>
      <c r="E15" s="8"/>
      <c r="F15" s="8"/>
      <c r="G15" s="8"/>
      <c r="H15" s="8"/>
      <c r="I15" s="8"/>
      <c r="J15" s="9"/>
      <c r="K15" s="9"/>
    </row>
    <row r="16" spans="1:11" ht="19.5" customHeight="1">
      <c r="A16" s="25" t="s">
        <v>404</v>
      </c>
      <c r="B16" s="25"/>
      <c r="C16" s="36" t="s">
        <v>430</v>
      </c>
      <c r="D16" s="308">
        <f>SUM(D17:D20)</f>
        <v>185000</v>
      </c>
      <c r="E16" s="8"/>
      <c r="F16" s="8"/>
      <c r="G16" s="8"/>
      <c r="H16" s="8"/>
      <c r="I16" s="8"/>
      <c r="J16" s="9"/>
      <c r="K16" s="9"/>
    </row>
    <row r="17" spans="1:11" ht="19.5" customHeight="1">
      <c r="A17" s="27"/>
      <c r="B17" s="27">
        <v>2960</v>
      </c>
      <c r="C17" s="35" t="s">
        <v>860</v>
      </c>
      <c r="D17" s="306">
        <v>140000</v>
      </c>
      <c r="E17" s="8"/>
      <c r="F17" s="8"/>
      <c r="G17" s="8"/>
      <c r="H17" s="8"/>
      <c r="I17" s="8"/>
      <c r="J17" s="9"/>
      <c r="K17" s="9"/>
    </row>
    <row r="18" spans="1:11" ht="19.5" customHeight="1">
      <c r="A18" s="27"/>
      <c r="B18" s="27">
        <v>4210</v>
      </c>
      <c r="C18" s="35" t="s">
        <v>652</v>
      </c>
      <c r="D18" s="306">
        <v>20000</v>
      </c>
      <c r="E18" s="8"/>
      <c r="F18" s="8"/>
      <c r="G18" s="8"/>
      <c r="H18" s="8"/>
      <c r="I18" s="8"/>
      <c r="J18" s="9"/>
      <c r="K18" s="9"/>
    </row>
    <row r="19" spans="1:11" ht="20.25" customHeight="1">
      <c r="A19" s="27"/>
      <c r="B19" s="27">
        <v>4300</v>
      </c>
      <c r="C19" s="35" t="s">
        <v>641</v>
      </c>
      <c r="D19" s="306">
        <v>22000</v>
      </c>
      <c r="E19" s="8"/>
      <c r="F19" s="8"/>
      <c r="G19" s="8"/>
      <c r="H19" s="8"/>
      <c r="I19" s="8"/>
      <c r="J19" s="9"/>
      <c r="K19" s="9"/>
    </row>
    <row r="20" spans="1:11" ht="20.25" customHeight="1">
      <c r="A20" s="27"/>
      <c r="B20" s="27">
        <v>4700</v>
      </c>
      <c r="C20" s="35" t="s">
        <v>862</v>
      </c>
      <c r="D20" s="306">
        <v>3000</v>
      </c>
      <c r="E20" s="8"/>
      <c r="F20" s="8"/>
      <c r="G20" s="8"/>
      <c r="H20" s="8"/>
      <c r="I20" s="8"/>
      <c r="J20" s="9"/>
      <c r="K20" s="9"/>
    </row>
    <row r="21" spans="1:11" ht="19.5" customHeight="1">
      <c r="A21" s="27" t="s">
        <v>405</v>
      </c>
      <c r="B21" s="27"/>
      <c r="C21" s="35" t="s">
        <v>432</v>
      </c>
      <c r="D21" s="306">
        <v>0</v>
      </c>
      <c r="E21" s="8"/>
      <c r="F21" s="8"/>
      <c r="G21" s="8"/>
      <c r="H21" s="8"/>
      <c r="I21" s="8"/>
      <c r="J21" s="9"/>
      <c r="K21" s="9"/>
    </row>
    <row r="22" spans="1:11" ht="19.5" customHeight="1">
      <c r="A22" s="23" t="s">
        <v>431</v>
      </c>
      <c r="B22" s="23"/>
      <c r="C22" s="32" t="s">
        <v>459</v>
      </c>
      <c r="D22" s="307">
        <v>4200</v>
      </c>
      <c r="E22" s="8"/>
      <c r="F22" s="8"/>
      <c r="G22" s="8"/>
      <c r="H22" s="8"/>
      <c r="I22" s="8"/>
      <c r="J22" s="9"/>
      <c r="K22" s="9"/>
    </row>
    <row r="23" spans="1:11" ht="15">
      <c r="A23" s="8"/>
      <c r="B23" s="8"/>
      <c r="C23" s="8"/>
      <c r="D23" s="8"/>
      <c r="E23" s="8"/>
      <c r="F23" s="8"/>
      <c r="G23" s="8"/>
      <c r="H23" s="8"/>
      <c r="I23" s="8"/>
      <c r="J23" s="9"/>
      <c r="K23" s="9"/>
    </row>
    <row r="24" spans="1:11" ht="15">
      <c r="A24" s="8"/>
      <c r="B24" s="8"/>
      <c r="C24" s="8"/>
      <c r="D24" s="8"/>
      <c r="E24" s="8"/>
      <c r="F24" s="8"/>
      <c r="G24" s="8"/>
      <c r="H24" s="8"/>
      <c r="I24" s="8"/>
      <c r="J24" s="9"/>
      <c r="K24" s="9"/>
    </row>
    <row r="25" spans="1:11" ht="15">
      <c r="A25" s="8"/>
      <c r="B25" s="8"/>
      <c r="C25" s="8"/>
      <c r="D25" s="8"/>
      <c r="E25" s="8"/>
      <c r="F25" s="8"/>
      <c r="G25" s="8"/>
      <c r="H25" s="8"/>
      <c r="I25" s="8"/>
      <c r="J25" s="9"/>
      <c r="K25" s="9"/>
    </row>
    <row r="26" spans="1:11" ht="15">
      <c r="A26" s="8"/>
      <c r="B26" s="8"/>
      <c r="C26" s="8"/>
      <c r="D26" s="8"/>
      <c r="E26" s="8"/>
      <c r="F26" s="8"/>
      <c r="G26" s="8"/>
      <c r="H26" s="8"/>
      <c r="I26" s="8"/>
      <c r="J26" s="9"/>
      <c r="K26" s="9"/>
    </row>
    <row r="27" spans="1:11" ht="15">
      <c r="A27" s="8"/>
      <c r="B27" s="8"/>
      <c r="C27" s="8"/>
      <c r="D27" s="8"/>
      <c r="E27" s="8"/>
      <c r="F27" s="8"/>
      <c r="G27" s="8"/>
      <c r="H27" s="8"/>
      <c r="I27" s="8"/>
      <c r="J27" s="9"/>
      <c r="K27" s="9"/>
    </row>
    <row r="28" spans="1:11" ht="15">
      <c r="A28" s="8"/>
      <c r="B28" s="8"/>
      <c r="C28" s="8"/>
      <c r="D28" s="8"/>
      <c r="E28" s="8"/>
      <c r="F28" s="8"/>
      <c r="G28" s="8"/>
      <c r="H28" s="8"/>
      <c r="I28" s="8"/>
      <c r="J28" s="9"/>
      <c r="K28" s="9"/>
    </row>
    <row r="29" spans="1:11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</sheetData>
  <mergeCells count="2">
    <mergeCell ref="A6:D6"/>
    <mergeCell ref="A7:D7"/>
  </mergeCells>
  <printOptions horizontalCentered="1"/>
  <pageMargins left="0.5905511811023623" right="0.5905511811023623" top="0.89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60" workbookViewId="0" topLeftCell="A1">
      <selection activeCell="A6" sqref="A6:D6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7.75390625" style="1" customWidth="1"/>
    <col min="5" max="16384" width="9.125" style="1" customWidth="1"/>
  </cols>
  <sheetData>
    <row r="1" ht="12.75">
      <c r="D1" s="7" t="s">
        <v>17</v>
      </c>
    </row>
    <row r="2" ht="12.75">
      <c r="D2" s="7" t="s">
        <v>16</v>
      </c>
    </row>
    <row r="3" ht="12.75">
      <c r="D3" s="7" t="s">
        <v>826</v>
      </c>
    </row>
    <row r="4" ht="12.75">
      <c r="D4" s="7" t="s">
        <v>227</v>
      </c>
    </row>
    <row r="6" spans="1:11" ht="19.5" customHeight="1">
      <c r="A6" s="1000" t="s">
        <v>613</v>
      </c>
      <c r="B6" s="1000"/>
      <c r="C6" s="1000"/>
      <c r="D6" s="1000"/>
      <c r="E6" s="6"/>
      <c r="F6" s="6"/>
      <c r="G6" s="6"/>
      <c r="H6" s="6"/>
      <c r="I6" s="6"/>
      <c r="J6" s="6"/>
      <c r="K6" s="6"/>
    </row>
    <row r="7" spans="1:8" ht="19.5" customHeight="1">
      <c r="A7" s="1000" t="s">
        <v>513</v>
      </c>
      <c r="B7" s="1000"/>
      <c r="C7" s="1000"/>
      <c r="D7" s="1000"/>
      <c r="E7" s="6"/>
      <c r="F7" s="6"/>
      <c r="G7" s="6"/>
      <c r="H7" s="6"/>
    </row>
    <row r="8" ht="18">
      <c r="C8" s="6" t="s">
        <v>26</v>
      </c>
    </row>
    <row r="9" ht="12.75">
      <c r="D9" s="10" t="s">
        <v>434</v>
      </c>
    </row>
    <row r="10" spans="1:11" ht="19.5" customHeight="1">
      <c r="A10" s="16" t="s">
        <v>453</v>
      </c>
      <c r="B10" s="16" t="s">
        <v>397</v>
      </c>
      <c r="C10" s="16" t="s">
        <v>393</v>
      </c>
      <c r="D10" s="16" t="s">
        <v>450</v>
      </c>
      <c r="E10" s="8"/>
      <c r="F10" s="8"/>
      <c r="G10" s="8"/>
      <c r="H10" s="8"/>
      <c r="I10" s="8"/>
      <c r="J10" s="9"/>
      <c r="K10" s="9"/>
    </row>
    <row r="11" spans="1:11" ht="19.5" customHeight="1">
      <c r="A11" s="23" t="s">
        <v>403</v>
      </c>
      <c r="B11" s="23"/>
      <c r="C11" s="32" t="s">
        <v>457</v>
      </c>
      <c r="D11" s="307">
        <v>62000</v>
      </c>
      <c r="E11" s="8"/>
      <c r="F11" s="8"/>
      <c r="G11" s="8"/>
      <c r="H11" s="8"/>
      <c r="I11" s="8"/>
      <c r="J11" s="9"/>
      <c r="K11" s="9"/>
    </row>
    <row r="12" spans="1:11" ht="19.5" customHeight="1">
      <c r="A12" s="23" t="s">
        <v>408</v>
      </c>
      <c r="B12" s="23"/>
      <c r="C12" s="32" t="s">
        <v>27</v>
      </c>
      <c r="D12" s="307">
        <f>SUM(D13:D14)</f>
        <v>420000</v>
      </c>
      <c r="E12" s="8"/>
      <c r="F12" s="8"/>
      <c r="G12" s="8"/>
      <c r="H12" s="8"/>
      <c r="I12" s="8"/>
      <c r="J12" s="9"/>
      <c r="K12" s="9"/>
    </row>
    <row r="13" spans="1:11" ht="19.5" customHeight="1">
      <c r="A13" s="309" t="s">
        <v>866</v>
      </c>
      <c r="B13" s="309" t="s">
        <v>864</v>
      </c>
      <c r="C13" s="34" t="s">
        <v>859</v>
      </c>
      <c r="D13" s="305">
        <v>410000</v>
      </c>
      <c r="E13" s="8"/>
      <c r="F13" s="8"/>
      <c r="G13" s="8"/>
      <c r="H13" s="8"/>
      <c r="I13" s="8"/>
      <c r="J13" s="9"/>
      <c r="K13" s="9"/>
    </row>
    <row r="14" spans="1:11" ht="19.5" customHeight="1">
      <c r="A14" s="310" t="s">
        <v>867</v>
      </c>
      <c r="B14" s="310" t="s">
        <v>865</v>
      </c>
      <c r="C14" s="35" t="s">
        <v>861</v>
      </c>
      <c r="D14" s="306">
        <v>10000</v>
      </c>
      <c r="E14" s="8"/>
      <c r="F14" s="8"/>
      <c r="G14" s="8"/>
      <c r="H14" s="8"/>
      <c r="I14" s="8"/>
      <c r="J14" s="9"/>
      <c r="K14" s="9"/>
    </row>
    <row r="15" spans="1:11" ht="19.5" customHeight="1">
      <c r="A15" s="23" t="s">
        <v>409</v>
      </c>
      <c r="B15" s="23"/>
      <c r="C15" s="32" t="s">
        <v>28</v>
      </c>
      <c r="D15" s="307">
        <f>D16+D25</f>
        <v>470000</v>
      </c>
      <c r="E15" s="8"/>
      <c r="F15" s="8"/>
      <c r="G15" s="8"/>
      <c r="H15" s="8"/>
      <c r="I15" s="8"/>
      <c r="J15" s="9"/>
      <c r="K15" s="9"/>
    </row>
    <row r="16" spans="1:11" ht="19.5" customHeight="1">
      <c r="A16" s="25" t="s">
        <v>404</v>
      </c>
      <c r="B16" s="25"/>
      <c r="C16" s="36" t="s">
        <v>29</v>
      </c>
      <c r="D16" s="308">
        <f>SUM(D17:D24)</f>
        <v>440000</v>
      </c>
      <c r="E16" s="8"/>
      <c r="F16" s="8"/>
      <c r="G16" s="8"/>
      <c r="H16" s="8"/>
      <c r="I16" s="8"/>
      <c r="J16" s="9"/>
      <c r="K16" s="9"/>
    </row>
    <row r="17" spans="1:11" ht="15" customHeight="1">
      <c r="A17" s="27"/>
      <c r="B17" s="27">
        <v>2960</v>
      </c>
      <c r="C17" s="35" t="s">
        <v>860</v>
      </c>
      <c r="D17" s="306">
        <v>84000</v>
      </c>
      <c r="E17" s="8"/>
      <c r="F17" s="8"/>
      <c r="G17" s="8"/>
      <c r="H17" s="8"/>
      <c r="I17" s="8"/>
      <c r="J17" s="9"/>
      <c r="K17" s="9"/>
    </row>
    <row r="18" spans="1:11" ht="15" customHeight="1">
      <c r="A18" s="27"/>
      <c r="B18" s="27">
        <v>4210</v>
      </c>
      <c r="C18" s="35" t="s">
        <v>652</v>
      </c>
      <c r="D18" s="306">
        <v>3000</v>
      </c>
      <c r="E18" s="8"/>
      <c r="F18" s="8"/>
      <c r="G18" s="8"/>
      <c r="H18" s="8"/>
      <c r="I18" s="8"/>
      <c r="J18" s="9"/>
      <c r="K18" s="9"/>
    </row>
    <row r="19" spans="1:11" ht="15" customHeight="1">
      <c r="A19" s="27"/>
      <c r="B19" s="27">
        <v>4270</v>
      </c>
      <c r="C19" s="35" t="s">
        <v>654</v>
      </c>
      <c r="D19" s="306">
        <v>16000</v>
      </c>
      <c r="E19" s="8"/>
      <c r="F19" s="8"/>
      <c r="G19" s="8"/>
      <c r="H19" s="8"/>
      <c r="I19" s="8"/>
      <c r="J19" s="9"/>
      <c r="K19" s="9"/>
    </row>
    <row r="20" spans="1:11" ht="15" customHeight="1">
      <c r="A20" s="27"/>
      <c r="B20" s="27">
        <v>4300</v>
      </c>
      <c r="C20" s="35" t="s">
        <v>641</v>
      </c>
      <c r="D20" s="306">
        <v>317000</v>
      </c>
      <c r="E20" s="8"/>
      <c r="F20" s="8"/>
      <c r="G20" s="8"/>
      <c r="H20" s="8"/>
      <c r="I20" s="8"/>
      <c r="J20" s="9"/>
      <c r="K20" s="9"/>
    </row>
    <row r="21" spans="1:11" ht="15" customHeight="1">
      <c r="A21" s="27"/>
      <c r="B21" s="27">
        <v>4350</v>
      </c>
      <c r="C21" s="35" t="s">
        <v>656</v>
      </c>
      <c r="D21" s="306">
        <v>3000</v>
      </c>
      <c r="E21" s="8"/>
      <c r="F21" s="8"/>
      <c r="G21" s="8"/>
      <c r="H21" s="8"/>
      <c r="I21" s="8"/>
      <c r="J21" s="9"/>
      <c r="K21" s="9"/>
    </row>
    <row r="22" spans="1:11" ht="15" customHeight="1">
      <c r="A22" s="27"/>
      <c r="B22" s="27">
        <v>4700</v>
      </c>
      <c r="C22" s="35" t="s">
        <v>862</v>
      </c>
      <c r="D22" s="306">
        <v>5000</v>
      </c>
      <c r="E22" s="8"/>
      <c r="F22" s="8"/>
      <c r="G22" s="8"/>
      <c r="H22" s="8"/>
      <c r="I22" s="8"/>
      <c r="J22" s="9"/>
      <c r="K22" s="9"/>
    </row>
    <row r="23" spans="1:11" ht="15" customHeight="1">
      <c r="A23" s="27"/>
      <c r="B23" s="27">
        <v>4740</v>
      </c>
      <c r="C23" s="35" t="s">
        <v>863</v>
      </c>
      <c r="D23" s="306">
        <v>5000</v>
      </c>
      <c r="E23" s="8"/>
      <c r="F23" s="8"/>
      <c r="G23" s="8"/>
      <c r="H23" s="8"/>
      <c r="I23" s="8"/>
      <c r="J23" s="9"/>
      <c r="K23" s="9"/>
    </row>
    <row r="24" spans="1:11" ht="15" customHeight="1">
      <c r="A24" s="27"/>
      <c r="B24" s="27">
        <v>4750</v>
      </c>
      <c r="C24" s="35" t="s">
        <v>691</v>
      </c>
      <c r="D24" s="306">
        <v>7000</v>
      </c>
      <c r="E24" s="8"/>
      <c r="F24" s="8"/>
      <c r="G24" s="8"/>
      <c r="H24" s="8"/>
      <c r="I24" s="8"/>
      <c r="J24" s="9"/>
      <c r="K24" s="9"/>
    </row>
    <row r="25" spans="1:11" ht="19.5" customHeight="1">
      <c r="A25" s="27" t="s">
        <v>405</v>
      </c>
      <c r="B25" s="27"/>
      <c r="C25" s="35" t="s">
        <v>30</v>
      </c>
      <c r="D25" s="306">
        <f>SUM(D26)</f>
        <v>30000</v>
      </c>
      <c r="E25" s="8"/>
      <c r="F25" s="8"/>
      <c r="G25" s="8"/>
      <c r="H25" s="8"/>
      <c r="I25" s="8"/>
      <c r="J25" s="9"/>
      <c r="K25" s="9"/>
    </row>
    <row r="26" spans="1:11" ht="15">
      <c r="A26" s="27"/>
      <c r="B26" s="27">
        <v>6120</v>
      </c>
      <c r="C26" s="37" t="s">
        <v>687</v>
      </c>
      <c r="D26" s="306">
        <v>30000</v>
      </c>
      <c r="E26" s="8"/>
      <c r="F26" s="8"/>
      <c r="G26" s="8"/>
      <c r="H26" s="8"/>
      <c r="I26" s="8"/>
      <c r="J26" s="9"/>
      <c r="K26" s="9"/>
    </row>
    <row r="27" spans="1:11" ht="19.5" customHeight="1">
      <c r="A27" s="23" t="s">
        <v>431</v>
      </c>
      <c r="B27" s="23"/>
      <c r="C27" s="32" t="s">
        <v>459</v>
      </c>
      <c r="D27" s="307">
        <f>D11+D12-D15</f>
        <v>12000</v>
      </c>
      <c r="E27" s="8"/>
      <c r="F27" s="8"/>
      <c r="G27" s="8"/>
      <c r="H27" s="8"/>
      <c r="I27" s="8"/>
      <c r="J27" s="9"/>
      <c r="K27" s="9"/>
    </row>
    <row r="28" spans="1:11" ht="15">
      <c r="A28" s="8"/>
      <c r="B28" s="8"/>
      <c r="C28" s="8"/>
      <c r="D28" s="8"/>
      <c r="E28" s="8"/>
      <c r="F28" s="8"/>
      <c r="G28" s="8"/>
      <c r="H28" s="8"/>
      <c r="I28" s="8"/>
      <c r="J28" s="9"/>
      <c r="K28" s="9"/>
    </row>
    <row r="29" spans="1:11" ht="15">
      <c r="A29" s="8"/>
      <c r="B29" s="8"/>
      <c r="C29" s="8"/>
      <c r="D29" s="8"/>
      <c r="E29" s="8"/>
      <c r="F29" s="8"/>
      <c r="G29" s="8"/>
      <c r="H29" s="8"/>
      <c r="I29" s="8"/>
      <c r="J29" s="9"/>
      <c r="K29" s="9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9"/>
      <c r="K30" s="9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9"/>
      <c r="K31" s="9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9"/>
      <c r="K32" s="9"/>
    </row>
    <row r="33" spans="1:11" ht="15">
      <c r="A33" s="8"/>
      <c r="B33" s="8"/>
      <c r="C33" s="8"/>
      <c r="D33" s="8"/>
      <c r="E33" s="8"/>
      <c r="F33" s="8"/>
      <c r="G33" s="8"/>
      <c r="H33" s="8"/>
      <c r="I33" s="8"/>
      <c r="J33" s="9"/>
      <c r="K33" s="9"/>
    </row>
    <row r="34" spans="1:11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</sheetData>
  <mergeCells count="2">
    <mergeCell ref="A6:D6"/>
    <mergeCell ref="A7:D7"/>
  </mergeCells>
  <printOptions horizontalCentered="1"/>
  <pageMargins left="0.5905511811023623" right="0.5905511811023623" top="0.89" bottom="0.5905511811023623" header="0.5118110236220472" footer="0.5118110236220472"/>
  <pageSetup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5"/>
  <sheetViews>
    <sheetView workbookViewId="0" topLeftCell="F13">
      <selection activeCell="E28" sqref="E28"/>
    </sheetView>
  </sheetViews>
  <sheetFormatPr defaultColWidth="9.00390625" defaultRowHeight="12.75"/>
  <cols>
    <col min="1" max="1" width="3.375" style="255" customWidth="1"/>
    <col min="2" max="2" width="35.75390625" style="255" customWidth="1"/>
    <col min="3" max="3" width="10.875" style="255" hidden="1" customWidth="1"/>
    <col min="4" max="4" width="11.125" style="255" customWidth="1"/>
    <col min="5" max="16" width="9.625" style="255" customWidth="1"/>
    <col min="17" max="17" width="9.75390625" style="255" customWidth="1"/>
    <col min="18" max="30" width="9.625" style="255" customWidth="1"/>
    <col min="31" max="42" width="10.125" style="255" customWidth="1"/>
    <col min="43" max="16384" width="9.125" style="255" customWidth="1"/>
  </cols>
  <sheetData>
    <row r="1" spans="4:25" ht="12">
      <c r="D1" s="257"/>
      <c r="F1" s="516"/>
      <c r="K1" s="256" t="s">
        <v>258</v>
      </c>
      <c r="Y1" s="256" t="s">
        <v>258</v>
      </c>
    </row>
    <row r="2" spans="1:25" ht="12">
      <c r="A2" s="794"/>
      <c r="B2" s="795"/>
      <c r="C2" s="794"/>
      <c r="D2" s="257"/>
      <c r="F2" s="516"/>
      <c r="K2" s="256" t="s">
        <v>235</v>
      </c>
      <c r="Y2" s="256" t="s">
        <v>235</v>
      </c>
    </row>
    <row r="3" spans="1:25" ht="12">
      <c r="A3" s="794"/>
      <c r="B3" s="795"/>
      <c r="D3" s="257"/>
      <c r="F3" s="516"/>
      <c r="K3" s="256" t="s">
        <v>826</v>
      </c>
      <c r="Y3" s="256" t="s">
        <v>826</v>
      </c>
    </row>
    <row r="4" spans="1:25" ht="12">
      <c r="A4" s="794"/>
      <c r="B4" s="795"/>
      <c r="D4" s="257"/>
      <c r="F4" s="516"/>
      <c r="K4" s="256" t="s">
        <v>236</v>
      </c>
      <c r="Y4" s="256" t="s">
        <v>236</v>
      </c>
    </row>
    <row r="5" spans="1:6" ht="12">
      <c r="A5" s="794"/>
      <c r="B5" s="795"/>
      <c r="D5" s="257"/>
      <c r="E5" s="256"/>
      <c r="F5" s="516"/>
    </row>
    <row r="6" spans="1:5" ht="9.75">
      <c r="A6" s="794"/>
      <c r="B6" s="795"/>
      <c r="D6" s="257"/>
      <c r="E6" s="257"/>
    </row>
    <row r="7" spans="1:5" ht="9.75">
      <c r="A7" s="794"/>
      <c r="B7" s="795"/>
      <c r="D7" s="257"/>
      <c r="E7" s="257"/>
    </row>
    <row r="8" spans="1:5" ht="9.75">
      <c r="A8" s="794"/>
      <c r="B8" s="795"/>
      <c r="D8" s="257"/>
      <c r="E8" s="257"/>
    </row>
    <row r="9" spans="1:6" ht="9.75">
      <c r="A9" s="794"/>
      <c r="B9" s="795"/>
      <c r="D9" s="597"/>
      <c r="E9" s="794"/>
      <c r="F9" s="794"/>
    </row>
    <row r="10" spans="2:27" ht="12.75" customHeight="1">
      <c r="B10" s="1047" t="s">
        <v>237</v>
      </c>
      <c r="C10" s="1047"/>
      <c r="D10" s="1047"/>
      <c r="E10" s="1047"/>
      <c r="F10" s="1047"/>
      <c r="G10" s="1047"/>
      <c r="H10" s="1047"/>
      <c r="I10" s="1047"/>
      <c r="J10" s="1047"/>
      <c r="K10" s="1047"/>
      <c r="L10" s="1047"/>
      <c r="M10" s="1047"/>
      <c r="N10" s="1047" t="s">
        <v>237</v>
      </c>
      <c r="O10" s="1047"/>
      <c r="P10" s="1047"/>
      <c r="Q10" s="1047"/>
      <c r="R10" s="1047"/>
      <c r="S10" s="1047"/>
      <c r="T10" s="1047"/>
      <c r="U10" s="1047"/>
      <c r="V10" s="1047"/>
      <c r="W10" s="1047"/>
      <c r="X10" s="1047"/>
      <c r="Y10" s="1047"/>
      <c r="Z10" s="1047"/>
      <c r="AA10" s="1047"/>
    </row>
    <row r="11" spans="1:6" ht="9.75">
      <c r="A11" s="794"/>
      <c r="B11" s="596"/>
      <c r="C11" s="794"/>
      <c r="D11" s="794"/>
      <c r="E11" s="794"/>
      <c r="F11" s="794"/>
    </row>
    <row r="12" spans="1:6" ht="9.75">
      <c r="A12" s="794"/>
      <c r="B12" s="596"/>
      <c r="C12" s="794"/>
      <c r="D12" s="794"/>
      <c r="E12" s="794"/>
      <c r="F12" s="794"/>
    </row>
    <row r="13" spans="1:6" ht="9.75">
      <c r="A13" s="794"/>
      <c r="B13" s="795"/>
      <c r="C13" s="794"/>
      <c r="D13" s="794"/>
      <c r="E13" s="794"/>
      <c r="F13" s="794"/>
    </row>
    <row r="14" spans="13:27" ht="10.5" thickBot="1">
      <c r="M14" s="258" t="s">
        <v>827</v>
      </c>
      <c r="AA14" s="258" t="s">
        <v>827</v>
      </c>
    </row>
    <row r="15" spans="1:27" ht="12.75" customHeight="1">
      <c r="A15" s="861"/>
      <c r="B15" s="838"/>
      <c r="C15" s="838"/>
      <c r="D15" s="1011" t="s">
        <v>238</v>
      </c>
      <c r="E15" s="1152"/>
      <c r="F15" s="1152"/>
      <c r="G15" s="1152"/>
      <c r="H15" s="1152"/>
      <c r="I15" s="1152"/>
      <c r="J15" s="1152"/>
      <c r="K15" s="1152"/>
      <c r="L15" s="1152"/>
      <c r="M15" s="1153"/>
      <c r="N15" s="865"/>
      <c r="O15" s="766"/>
      <c r="P15" s="766"/>
      <c r="Q15" s="766"/>
      <c r="R15" s="766"/>
      <c r="S15" s="766"/>
      <c r="T15" s="766" t="s">
        <v>238</v>
      </c>
      <c r="U15" s="766"/>
      <c r="V15" s="766"/>
      <c r="W15" s="766"/>
      <c r="X15" s="766"/>
      <c r="Y15" s="766"/>
      <c r="Z15" s="766"/>
      <c r="AA15" s="765"/>
    </row>
    <row r="16" spans="1:27" ht="12">
      <c r="A16" s="862"/>
      <c r="B16" s="839" t="s">
        <v>239</v>
      </c>
      <c r="C16" s="839" t="s">
        <v>240</v>
      </c>
      <c r="D16" s="840"/>
      <c r="E16" s="840"/>
      <c r="F16" s="841"/>
      <c r="G16" s="842"/>
      <c r="H16" s="841"/>
      <c r="I16" s="842"/>
      <c r="J16" s="841"/>
      <c r="K16" s="842"/>
      <c r="L16" s="841"/>
      <c r="M16" s="841"/>
      <c r="N16" s="841"/>
      <c r="O16" s="842"/>
      <c r="P16" s="841"/>
      <c r="Q16" s="842"/>
      <c r="R16" s="841"/>
      <c r="S16" s="842"/>
      <c r="T16" s="841"/>
      <c r="U16" s="842"/>
      <c r="V16" s="841"/>
      <c r="W16" s="842"/>
      <c r="X16" s="841"/>
      <c r="Y16" s="842"/>
      <c r="Z16" s="841"/>
      <c r="AA16" s="843"/>
    </row>
    <row r="17" spans="1:27" ht="12">
      <c r="A17" s="863" t="s">
        <v>241</v>
      </c>
      <c r="B17" s="839" t="s">
        <v>242</v>
      </c>
      <c r="C17" s="839" t="s">
        <v>243</v>
      </c>
      <c r="D17" s="839" t="s">
        <v>257</v>
      </c>
      <c r="E17" s="839">
        <v>2007</v>
      </c>
      <c r="F17" s="844">
        <v>2008</v>
      </c>
      <c r="G17" s="839">
        <v>2009</v>
      </c>
      <c r="H17" s="844">
        <v>2010</v>
      </c>
      <c r="I17" s="845">
        <v>2011</v>
      </c>
      <c r="J17" s="844">
        <v>2012</v>
      </c>
      <c r="K17" s="845">
        <v>2013</v>
      </c>
      <c r="L17" s="844">
        <v>2014</v>
      </c>
      <c r="M17" s="844">
        <v>2015</v>
      </c>
      <c r="N17" s="844">
        <v>2016</v>
      </c>
      <c r="O17" s="845">
        <v>2017</v>
      </c>
      <c r="P17" s="844">
        <v>2018</v>
      </c>
      <c r="Q17" s="845">
        <v>2019</v>
      </c>
      <c r="R17" s="844">
        <v>2020</v>
      </c>
      <c r="S17" s="845">
        <v>2021</v>
      </c>
      <c r="T17" s="844">
        <v>2022</v>
      </c>
      <c r="U17" s="845">
        <v>2023</v>
      </c>
      <c r="V17" s="844">
        <v>2024</v>
      </c>
      <c r="W17" s="845">
        <v>2025</v>
      </c>
      <c r="X17" s="844">
        <v>2026</v>
      </c>
      <c r="Y17" s="845">
        <v>2027</v>
      </c>
      <c r="Z17" s="844">
        <v>2028</v>
      </c>
      <c r="AA17" s="846">
        <v>2029</v>
      </c>
    </row>
    <row r="18" spans="1:27" ht="12">
      <c r="A18" s="862"/>
      <c r="B18" s="840"/>
      <c r="C18" s="839" t="s">
        <v>244</v>
      </c>
      <c r="D18" s="847" t="s">
        <v>256</v>
      </c>
      <c r="E18" s="840"/>
      <c r="F18" s="848"/>
      <c r="G18" s="849"/>
      <c r="H18" s="848"/>
      <c r="I18" s="849"/>
      <c r="J18" s="848"/>
      <c r="K18" s="849"/>
      <c r="L18" s="848"/>
      <c r="M18" s="848"/>
      <c r="N18" s="848"/>
      <c r="O18" s="849"/>
      <c r="P18" s="848"/>
      <c r="Q18" s="849"/>
      <c r="R18" s="848"/>
      <c r="S18" s="849"/>
      <c r="T18" s="848"/>
      <c r="U18" s="849"/>
      <c r="V18" s="848"/>
      <c r="W18" s="849"/>
      <c r="X18" s="848"/>
      <c r="Y18" s="849"/>
      <c r="Z18" s="848"/>
      <c r="AA18" s="850"/>
    </row>
    <row r="19" spans="1:27" ht="12.75" thickBot="1">
      <c r="A19" s="741"/>
      <c r="B19" s="851"/>
      <c r="C19" s="852"/>
      <c r="D19" s="853"/>
      <c r="E19" s="851"/>
      <c r="F19" s="854"/>
      <c r="G19" s="855"/>
      <c r="H19" s="854"/>
      <c r="I19" s="855"/>
      <c r="J19" s="854"/>
      <c r="K19" s="855"/>
      <c r="L19" s="854"/>
      <c r="M19" s="854"/>
      <c r="N19" s="854"/>
      <c r="O19" s="855"/>
      <c r="P19" s="854"/>
      <c r="Q19" s="855"/>
      <c r="R19" s="854"/>
      <c r="S19" s="855"/>
      <c r="T19" s="854"/>
      <c r="U19" s="855"/>
      <c r="V19" s="854"/>
      <c r="W19" s="855"/>
      <c r="X19" s="854"/>
      <c r="Y19" s="855"/>
      <c r="Z19" s="854"/>
      <c r="AA19" s="856"/>
    </row>
    <row r="20" spans="1:27" s="800" customFormat="1" ht="12" thickBot="1">
      <c r="A20" s="864">
        <v>1</v>
      </c>
      <c r="B20" s="797">
        <v>2</v>
      </c>
      <c r="C20" s="797">
        <v>3</v>
      </c>
      <c r="D20" s="797">
        <v>4</v>
      </c>
      <c r="E20" s="797">
        <v>5</v>
      </c>
      <c r="F20" s="798">
        <v>6</v>
      </c>
      <c r="G20" s="797">
        <v>7</v>
      </c>
      <c r="H20" s="798">
        <v>8</v>
      </c>
      <c r="I20" s="797">
        <v>9</v>
      </c>
      <c r="J20" s="798">
        <v>10</v>
      </c>
      <c r="K20" s="797">
        <v>11</v>
      </c>
      <c r="L20" s="798">
        <v>12</v>
      </c>
      <c r="M20" s="798">
        <v>13</v>
      </c>
      <c r="N20" s="798">
        <v>14</v>
      </c>
      <c r="O20" s="797">
        <v>15</v>
      </c>
      <c r="P20" s="798">
        <v>16</v>
      </c>
      <c r="Q20" s="797">
        <v>17</v>
      </c>
      <c r="R20" s="798">
        <v>18</v>
      </c>
      <c r="S20" s="797">
        <v>19</v>
      </c>
      <c r="T20" s="798">
        <v>20</v>
      </c>
      <c r="U20" s="797">
        <v>21</v>
      </c>
      <c r="V20" s="798">
        <v>22</v>
      </c>
      <c r="W20" s="797">
        <v>23</v>
      </c>
      <c r="X20" s="798">
        <v>24</v>
      </c>
      <c r="Y20" s="797">
        <v>25</v>
      </c>
      <c r="Z20" s="798">
        <v>26</v>
      </c>
      <c r="AA20" s="799">
        <v>27</v>
      </c>
    </row>
    <row r="21" spans="1:27" ht="12.75">
      <c r="A21" s="857" t="s">
        <v>404</v>
      </c>
      <c r="B21" s="796" t="s">
        <v>245</v>
      </c>
      <c r="C21" s="342">
        <v>0</v>
      </c>
      <c r="D21" s="801">
        <v>0</v>
      </c>
      <c r="E21" s="801">
        <v>0</v>
      </c>
      <c r="F21" s="555">
        <v>0</v>
      </c>
      <c r="G21" s="802">
        <v>0</v>
      </c>
      <c r="H21" s="555">
        <v>0</v>
      </c>
      <c r="I21" s="802">
        <v>0</v>
      </c>
      <c r="J21" s="555">
        <v>0</v>
      </c>
      <c r="K21" s="802">
        <v>0</v>
      </c>
      <c r="L21" s="555">
        <v>0</v>
      </c>
      <c r="M21" s="555">
        <v>0</v>
      </c>
      <c r="N21" s="555">
        <v>0</v>
      </c>
      <c r="O21" s="802">
        <v>0</v>
      </c>
      <c r="P21" s="555">
        <v>0</v>
      </c>
      <c r="Q21" s="802">
        <v>0</v>
      </c>
      <c r="R21" s="555">
        <v>0</v>
      </c>
      <c r="S21" s="802">
        <v>0</v>
      </c>
      <c r="T21" s="555">
        <v>0</v>
      </c>
      <c r="U21" s="555">
        <v>0</v>
      </c>
      <c r="V21" s="555">
        <v>0</v>
      </c>
      <c r="W21" s="555">
        <v>0</v>
      </c>
      <c r="X21" s="555">
        <v>0</v>
      </c>
      <c r="Y21" s="555">
        <v>0</v>
      </c>
      <c r="Z21" s="555">
        <v>0</v>
      </c>
      <c r="AA21" s="771">
        <v>0</v>
      </c>
    </row>
    <row r="22" spans="1:27" ht="12.75">
      <c r="A22" s="858" t="s">
        <v>405</v>
      </c>
      <c r="B22" s="803" t="s">
        <v>412</v>
      </c>
      <c r="C22" s="804">
        <v>11018970</v>
      </c>
      <c r="D22" s="805">
        <f>C22+'[2]Źrodla fin. 7'!E22-'[2]Źrodla fin. 7'!E32</f>
        <v>11423563</v>
      </c>
      <c r="E22" s="805">
        <f>D22+'Żródła finans.'!E18-'Żródła finans.'!E27</f>
        <v>10885716</v>
      </c>
      <c r="F22" s="806">
        <v>10385424</v>
      </c>
      <c r="G22" s="807">
        <v>9718432</v>
      </c>
      <c r="H22" s="808">
        <v>9051440</v>
      </c>
      <c r="I22" s="807">
        <v>8459220</v>
      </c>
      <c r="J22" s="808">
        <v>7867000</v>
      </c>
      <c r="K22" s="807">
        <v>7274780</v>
      </c>
      <c r="L22" s="808">
        <v>6682560</v>
      </c>
      <c r="M22" s="808">
        <v>6090340</v>
      </c>
      <c r="N22" s="808">
        <v>5498120</v>
      </c>
      <c r="O22" s="807">
        <v>4906200</v>
      </c>
      <c r="P22" s="808">
        <v>4480680</v>
      </c>
      <c r="Q22" s="807">
        <v>4055160</v>
      </c>
      <c r="R22" s="808">
        <v>3629640</v>
      </c>
      <c r="S22" s="807">
        <v>3204120</v>
      </c>
      <c r="T22" s="808">
        <v>2778600</v>
      </c>
      <c r="U22" s="808">
        <v>2353080</v>
      </c>
      <c r="V22" s="808">
        <v>1927560</v>
      </c>
      <c r="W22" s="808">
        <v>1502040</v>
      </c>
      <c r="X22" s="808">
        <v>1076520</v>
      </c>
      <c r="Y22" s="808">
        <v>651000</v>
      </c>
      <c r="Z22" s="808">
        <v>225480</v>
      </c>
      <c r="AA22" s="809">
        <v>0</v>
      </c>
    </row>
    <row r="23" spans="1:27" ht="12.75">
      <c r="A23" s="859" t="s">
        <v>406</v>
      </c>
      <c r="B23" s="796" t="s">
        <v>413</v>
      </c>
      <c r="C23" s="342">
        <v>171248</v>
      </c>
      <c r="D23" s="801">
        <v>20000</v>
      </c>
      <c r="E23" s="801">
        <v>10000</v>
      </c>
      <c r="F23" s="555">
        <v>0</v>
      </c>
      <c r="G23" s="356">
        <v>0</v>
      </c>
      <c r="H23" s="343">
        <v>0</v>
      </c>
      <c r="I23" s="356">
        <v>0</v>
      </c>
      <c r="J23" s="343">
        <v>0</v>
      </c>
      <c r="K23" s="356">
        <v>0</v>
      </c>
      <c r="L23" s="343">
        <v>0</v>
      </c>
      <c r="M23" s="343">
        <v>0</v>
      </c>
      <c r="N23" s="343">
        <v>0</v>
      </c>
      <c r="O23" s="356">
        <v>0</v>
      </c>
      <c r="P23" s="343">
        <v>0</v>
      </c>
      <c r="Q23" s="356">
        <v>0</v>
      </c>
      <c r="R23" s="343">
        <v>0</v>
      </c>
      <c r="S23" s="356">
        <v>0</v>
      </c>
      <c r="T23" s="343">
        <v>0</v>
      </c>
      <c r="U23" s="343">
        <v>0</v>
      </c>
      <c r="V23" s="343">
        <v>0</v>
      </c>
      <c r="W23" s="343">
        <v>0</v>
      </c>
      <c r="X23" s="343">
        <v>0</v>
      </c>
      <c r="Y23" s="343">
        <v>0</v>
      </c>
      <c r="Z23" s="343">
        <v>0</v>
      </c>
      <c r="AA23" s="810">
        <v>0</v>
      </c>
    </row>
    <row r="24" spans="1:27" ht="12.75">
      <c r="A24" s="858" t="s">
        <v>394</v>
      </c>
      <c r="B24" s="803" t="s">
        <v>246</v>
      </c>
      <c r="C24" s="804"/>
      <c r="D24" s="805"/>
      <c r="E24" s="805"/>
      <c r="F24" s="806"/>
      <c r="G24" s="807"/>
      <c r="H24" s="808"/>
      <c r="I24" s="807"/>
      <c r="J24" s="808"/>
      <c r="K24" s="807"/>
      <c r="L24" s="808"/>
      <c r="M24" s="808"/>
      <c r="N24" s="808"/>
      <c r="O24" s="807"/>
      <c r="P24" s="808"/>
      <c r="Q24" s="807"/>
      <c r="R24" s="808"/>
      <c r="S24" s="807"/>
      <c r="T24" s="808"/>
      <c r="U24" s="808"/>
      <c r="V24" s="808"/>
      <c r="W24" s="808"/>
      <c r="X24" s="808"/>
      <c r="Y24" s="808"/>
      <c r="Z24" s="808"/>
      <c r="AA24" s="809"/>
    </row>
    <row r="25" spans="1:27" ht="12.75">
      <c r="A25" s="859" t="s">
        <v>411</v>
      </c>
      <c r="B25" s="796" t="s">
        <v>253</v>
      </c>
      <c r="C25" s="342">
        <v>0</v>
      </c>
      <c r="D25" s="801">
        <f aca="true" t="shared" si="0" ref="D25:AA25">D30</f>
        <v>0</v>
      </c>
      <c r="E25" s="801">
        <f t="shared" si="0"/>
        <v>0</v>
      </c>
      <c r="F25" s="555">
        <f t="shared" si="0"/>
        <v>0</v>
      </c>
      <c r="G25" s="356">
        <f t="shared" si="0"/>
        <v>0</v>
      </c>
      <c r="H25" s="343">
        <f t="shared" si="0"/>
        <v>0</v>
      </c>
      <c r="I25" s="356">
        <f t="shared" si="0"/>
        <v>0</v>
      </c>
      <c r="J25" s="343">
        <f t="shared" si="0"/>
        <v>0</v>
      </c>
      <c r="K25" s="356">
        <f t="shared" si="0"/>
        <v>0</v>
      </c>
      <c r="L25" s="343">
        <f t="shared" si="0"/>
        <v>0</v>
      </c>
      <c r="M25" s="343">
        <f t="shared" si="0"/>
        <v>0</v>
      </c>
      <c r="N25" s="343">
        <f t="shared" si="0"/>
        <v>0</v>
      </c>
      <c r="O25" s="356">
        <f t="shared" si="0"/>
        <v>0</v>
      </c>
      <c r="P25" s="343">
        <f t="shared" si="0"/>
        <v>0</v>
      </c>
      <c r="Q25" s="356">
        <f t="shared" si="0"/>
        <v>0</v>
      </c>
      <c r="R25" s="343">
        <f t="shared" si="0"/>
        <v>0</v>
      </c>
      <c r="S25" s="356">
        <f t="shared" si="0"/>
        <v>0</v>
      </c>
      <c r="T25" s="343">
        <f t="shared" si="0"/>
        <v>0</v>
      </c>
      <c r="U25" s="343">
        <f t="shared" si="0"/>
        <v>0</v>
      </c>
      <c r="V25" s="343">
        <f t="shared" si="0"/>
        <v>0</v>
      </c>
      <c r="W25" s="343">
        <f t="shared" si="0"/>
        <v>0</v>
      </c>
      <c r="X25" s="343">
        <f t="shared" si="0"/>
        <v>0</v>
      </c>
      <c r="Y25" s="343">
        <f t="shared" si="0"/>
        <v>0</v>
      </c>
      <c r="Z25" s="343">
        <f t="shared" si="0"/>
        <v>0</v>
      </c>
      <c r="AA25" s="810">
        <f t="shared" si="0"/>
        <v>0</v>
      </c>
    </row>
    <row r="26" spans="1:27" ht="12.75">
      <c r="A26" s="859"/>
      <c r="B26" s="796" t="s">
        <v>254</v>
      </c>
      <c r="C26" s="342"/>
      <c r="D26" s="801"/>
      <c r="E26" s="801"/>
      <c r="F26" s="555"/>
      <c r="G26" s="356"/>
      <c r="H26" s="343"/>
      <c r="I26" s="356"/>
      <c r="J26" s="343"/>
      <c r="K26" s="356"/>
      <c r="L26" s="343"/>
      <c r="M26" s="343"/>
      <c r="N26" s="343"/>
      <c r="O26" s="356"/>
      <c r="P26" s="343"/>
      <c r="Q26" s="356"/>
      <c r="R26" s="343"/>
      <c r="S26" s="356"/>
      <c r="T26" s="343"/>
      <c r="U26" s="343"/>
      <c r="V26" s="343"/>
      <c r="W26" s="343"/>
      <c r="X26" s="343"/>
      <c r="Y26" s="343"/>
      <c r="Z26" s="343"/>
      <c r="AA26" s="810"/>
    </row>
    <row r="27" spans="1:27" ht="12.75">
      <c r="A27" s="859"/>
      <c r="B27" s="796" t="s">
        <v>255</v>
      </c>
      <c r="C27" s="342"/>
      <c r="D27" s="801"/>
      <c r="E27" s="801"/>
      <c r="F27" s="555"/>
      <c r="G27" s="356"/>
      <c r="H27" s="343"/>
      <c r="I27" s="356"/>
      <c r="J27" s="343"/>
      <c r="K27" s="356"/>
      <c r="L27" s="343"/>
      <c r="M27" s="343"/>
      <c r="N27" s="343"/>
      <c r="O27" s="356"/>
      <c r="P27" s="343"/>
      <c r="Q27" s="356"/>
      <c r="R27" s="343"/>
      <c r="S27" s="356"/>
      <c r="T27" s="343"/>
      <c r="U27" s="343"/>
      <c r="V27" s="343"/>
      <c r="W27" s="343"/>
      <c r="X27" s="343"/>
      <c r="Y27" s="343"/>
      <c r="Z27" s="343"/>
      <c r="AA27" s="810"/>
    </row>
    <row r="28" spans="1:27" ht="12.75">
      <c r="A28" s="859"/>
      <c r="B28" s="803" t="s">
        <v>247</v>
      </c>
      <c r="C28" s="804"/>
      <c r="D28" s="805"/>
      <c r="E28" s="805"/>
      <c r="F28" s="806"/>
      <c r="G28" s="807"/>
      <c r="H28" s="808"/>
      <c r="I28" s="807"/>
      <c r="J28" s="808"/>
      <c r="K28" s="807"/>
      <c r="L28" s="808"/>
      <c r="M28" s="808"/>
      <c r="N28" s="808"/>
      <c r="O28" s="807"/>
      <c r="P28" s="808"/>
      <c r="Q28" s="807"/>
      <c r="R28" s="808"/>
      <c r="S28" s="807"/>
      <c r="T28" s="808"/>
      <c r="U28" s="808"/>
      <c r="V28" s="808"/>
      <c r="W28" s="808"/>
      <c r="X28" s="808"/>
      <c r="Y28" s="808"/>
      <c r="Z28" s="808"/>
      <c r="AA28" s="809"/>
    </row>
    <row r="29" spans="1:27" ht="12.75">
      <c r="A29" s="859"/>
      <c r="B29" s="796" t="s">
        <v>248</v>
      </c>
      <c r="C29" s="342"/>
      <c r="D29" s="801"/>
      <c r="E29" s="801"/>
      <c r="F29" s="555"/>
      <c r="G29" s="356"/>
      <c r="H29" s="343"/>
      <c r="I29" s="356"/>
      <c r="J29" s="343"/>
      <c r="K29" s="356"/>
      <c r="L29" s="343"/>
      <c r="M29" s="343"/>
      <c r="N29" s="343"/>
      <c r="O29" s="356"/>
      <c r="P29" s="343"/>
      <c r="Q29" s="356"/>
      <c r="R29" s="343"/>
      <c r="S29" s="356"/>
      <c r="T29" s="343"/>
      <c r="U29" s="343"/>
      <c r="V29" s="343"/>
      <c r="W29" s="343"/>
      <c r="X29" s="343"/>
      <c r="Y29" s="343"/>
      <c r="Z29" s="343"/>
      <c r="AA29" s="810"/>
    </row>
    <row r="30" spans="1:27" ht="12.75">
      <c r="A30" s="859"/>
      <c r="B30" s="803" t="s">
        <v>249</v>
      </c>
      <c r="C30" s="811"/>
      <c r="D30" s="805"/>
      <c r="E30" s="805"/>
      <c r="F30" s="806"/>
      <c r="G30" s="807"/>
      <c r="H30" s="808"/>
      <c r="I30" s="807"/>
      <c r="J30" s="808"/>
      <c r="K30" s="807"/>
      <c r="L30" s="808"/>
      <c r="M30" s="808"/>
      <c r="N30" s="808"/>
      <c r="O30" s="807"/>
      <c r="P30" s="808"/>
      <c r="Q30" s="807"/>
      <c r="R30" s="808"/>
      <c r="S30" s="807"/>
      <c r="T30" s="808"/>
      <c r="U30" s="808"/>
      <c r="V30" s="808"/>
      <c r="W30" s="808"/>
      <c r="X30" s="808"/>
      <c r="Y30" s="808"/>
      <c r="Z30" s="808"/>
      <c r="AA30" s="809"/>
    </row>
    <row r="31" spans="1:27" ht="12.75">
      <c r="A31" s="859"/>
      <c r="B31" s="812" t="s">
        <v>250</v>
      </c>
      <c r="C31" s="813"/>
      <c r="D31" s="814"/>
      <c r="E31" s="814"/>
      <c r="F31" s="562"/>
      <c r="G31" s="815"/>
      <c r="H31" s="816"/>
      <c r="I31" s="815"/>
      <c r="J31" s="816"/>
      <c r="K31" s="815"/>
      <c r="L31" s="816"/>
      <c r="M31" s="816"/>
      <c r="N31" s="816"/>
      <c r="O31" s="815"/>
      <c r="P31" s="816"/>
      <c r="Q31" s="815"/>
      <c r="R31" s="816"/>
      <c r="S31" s="815"/>
      <c r="T31" s="816"/>
      <c r="U31" s="816"/>
      <c r="V31" s="816"/>
      <c r="W31" s="816"/>
      <c r="X31" s="816"/>
      <c r="Y31" s="816"/>
      <c r="Z31" s="816"/>
      <c r="AA31" s="817"/>
    </row>
    <row r="32" spans="1:27" ht="12.75">
      <c r="A32" s="858" t="s">
        <v>414</v>
      </c>
      <c r="B32" s="812" t="s">
        <v>251</v>
      </c>
      <c r="C32" s="818">
        <f aca="true" t="shared" si="1" ref="C32:AA32">SUM(C21:C25)</f>
        <v>11190218</v>
      </c>
      <c r="D32" s="819">
        <f t="shared" si="1"/>
        <v>11443563</v>
      </c>
      <c r="E32" s="819">
        <f t="shared" si="1"/>
        <v>10895716</v>
      </c>
      <c r="F32" s="531">
        <f t="shared" si="1"/>
        <v>10385424</v>
      </c>
      <c r="G32" s="820">
        <f t="shared" si="1"/>
        <v>9718432</v>
      </c>
      <c r="H32" s="821">
        <f t="shared" si="1"/>
        <v>9051440</v>
      </c>
      <c r="I32" s="820">
        <f t="shared" si="1"/>
        <v>8459220</v>
      </c>
      <c r="J32" s="821">
        <f t="shared" si="1"/>
        <v>7867000</v>
      </c>
      <c r="K32" s="820">
        <f t="shared" si="1"/>
        <v>7274780</v>
      </c>
      <c r="L32" s="821">
        <f t="shared" si="1"/>
        <v>6682560</v>
      </c>
      <c r="M32" s="821">
        <f t="shared" si="1"/>
        <v>6090340</v>
      </c>
      <c r="N32" s="821">
        <f t="shared" si="1"/>
        <v>5498120</v>
      </c>
      <c r="O32" s="820">
        <f t="shared" si="1"/>
        <v>4906200</v>
      </c>
      <c r="P32" s="821">
        <f t="shared" si="1"/>
        <v>4480680</v>
      </c>
      <c r="Q32" s="820">
        <f t="shared" si="1"/>
        <v>4055160</v>
      </c>
      <c r="R32" s="821">
        <f t="shared" si="1"/>
        <v>3629640</v>
      </c>
      <c r="S32" s="820">
        <f t="shared" si="1"/>
        <v>3204120</v>
      </c>
      <c r="T32" s="821">
        <f t="shared" si="1"/>
        <v>2778600</v>
      </c>
      <c r="U32" s="821">
        <f t="shared" si="1"/>
        <v>2353080</v>
      </c>
      <c r="V32" s="821">
        <f t="shared" si="1"/>
        <v>1927560</v>
      </c>
      <c r="W32" s="821">
        <f t="shared" si="1"/>
        <v>1502040</v>
      </c>
      <c r="X32" s="821">
        <f t="shared" si="1"/>
        <v>1076520</v>
      </c>
      <c r="Y32" s="821">
        <f t="shared" si="1"/>
        <v>651000</v>
      </c>
      <c r="Z32" s="821">
        <f t="shared" si="1"/>
        <v>225480</v>
      </c>
      <c r="AA32" s="822">
        <f t="shared" si="1"/>
        <v>0</v>
      </c>
    </row>
    <row r="33" spans="1:27" ht="13.5" thickBot="1">
      <c r="A33" s="860" t="s">
        <v>416</v>
      </c>
      <c r="B33" s="823" t="s">
        <v>526</v>
      </c>
      <c r="C33" s="824">
        <v>32826290</v>
      </c>
      <c r="D33" s="825">
        <v>35545058</v>
      </c>
      <c r="E33" s="826">
        <f>'Żródła finans.'!E13</f>
        <v>35454860</v>
      </c>
      <c r="F33" s="827">
        <v>35995394</v>
      </c>
      <c r="G33" s="828">
        <v>36627756</v>
      </c>
      <c r="H33" s="829">
        <v>37109997</v>
      </c>
      <c r="I33" s="828">
        <v>37599803</v>
      </c>
      <c r="J33" s="829">
        <v>38097312</v>
      </c>
      <c r="K33" s="828">
        <v>38602670</v>
      </c>
      <c r="L33" s="829">
        <v>39116023</v>
      </c>
      <c r="M33" s="829">
        <v>39637522</v>
      </c>
      <c r="N33" s="829">
        <v>40167320</v>
      </c>
      <c r="O33" s="828">
        <v>40705574</v>
      </c>
      <c r="P33" s="829">
        <v>40897640</v>
      </c>
      <c r="Q33" s="828">
        <v>41449740</v>
      </c>
      <c r="R33" s="829">
        <v>42010751</v>
      </c>
      <c r="S33" s="828">
        <v>42533736</v>
      </c>
      <c r="T33" s="829">
        <v>43112610</v>
      </c>
      <c r="U33" s="829">
        <v>43700912</v>
      </c>
      <c r="V33" s="829">
        <v>44298821</v>
      </c>
      <c r="W33" s="829">
        <v>44906524</v>
      </c>
      <c r="X33" s="829">
        <v>45524209</v>
      </c>
      <c r="Y33" s="829">
        <v>46152069</v>
      </c>
      <c r="Z33" s="829">
        <v>46790302</v>
      </c>
      <c r="AA33" s="830">
        <v>47439110</v>
      </c>
    </row>
    <row r="34" spans="1:27" ht="13.5" thickBot="1">
      <c r="A34" s="831" t="s">
        <v>423</v>
      </c>
      <c r="B34" s="832" t="s">
        <v>252</v>
      </c>
      <c r="C34" s="833">
        <f aca="true" t="shared" si="2" ref="C34:AA34">C32/C33*100</f>
        <v>34.08919497146952</v>
      </c>
      <c r="D34" s="834">
        <f t="shared" si="2"/>
        <v>32.194526170135944</v>
      </c>
      <c r="E34" s="834">
        <f t="shared" si="2"/>
        <v>30.731234025462236</v>
      </c>
      <c r="F34" s="834">
        <f t="shared" si="2"/>
        <v>28.85209146481353</v>
      </c>
      <c r="G34" s="835">
        <f t="shared" si="2"/>
        <v>26.53297133463486</v>
      </c>
      <c r="H34" s="834">
        <f t="shared" si="2"/>
        <v>24.39084002081703</v>
      </c>
      <c r="I34" s="835">
        <f t="shared" si="2"/>
        <v>22.498043407301896</v>
      </c>
      <c r="J34" s="834">
        <f t="shared" si="2"/>
        <v>20.649750827564947</v>
      </c>
      <c r="K34" s="835">
        <f t="shared" si="2"/>
        <v>18.84527676453468</v>
      </c>
      <c r="L34" s="834">
        <f t="shared" si="2"/>
        <v>17.083945369395042</v>
      </c>
      <c r="M34" s="834">
        <f t="shared" si="2"/>
        <v>15.36508765608506</v>
      </c>
      <c r="N34" s="834">
        <f t="shared" si="2"/>
        <v>13.688042916480361</v>
      </c>
      <c r="O34" s="835">
        <f t="shared" si="2"/>
        <v>12.052894770627729</v>
      </c>
      <c r="P34" s="834">
        <f t="shared" si="2"/>
        <v>10.9558399946794</v>
      </c>
      <c r="Q34" s="835">
        <f t="shared" si="2"/>
        <v>9.78331830308224</v>
      </c>
      <c r="R34" s="834">
        <f t="shared" si="2"/>
        <v>8.63978841987376</v>
      </c>
      <c r="S34" s="836">
        <f t="shared" si="2"/>
        <v>7.533126175419906</v>
      </c>
      <c r="T34" s="834">
        <f t="shared" si="2"/>
        <v>6.44498210616337</v>
      </c>
      <c r="U34" s="834">
        <f t="shared" si="2"/>
        <v>5.38451005324557</v>
      </c>
      <c r="V34" s="834">
        <f t="shared" si="2"/>
        <v>4.351267046136511</v>
      </c>
      <c r="W34" s="834">
        <f t="shared" si="2"/>
        <v>3.3448146643458756</v>
      </c>
      <c r="X34" s="834">
        <f t="shared" si="2"/>
        <v>2.36471983511015</v>
      </c>
      <c r="Y34" s="834">
        <f t="shared" si="2"/>
        <v>1.4105543133938372</v>
      </c>
      <c r="Z34" s="834">
        <f t="shared" si="2"/>
        <v>0.4818947310919259</v>
      </c>
      <c r="AA34" s="837">
        <f t="shared" si="2"/>
        <v>0</v>
      </c>
    </row>
    <row r="35" ht="9.75">
      <c r="C35" s="120"/>
    </row>
  </sheetData>
  <mergeCells count="3">
    <mergeCell ref="B10:M10"/>
    <mergeCell ref="D15:M15"/>
    <mergeCell ref="N10:AA10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3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1181" t="s">
        <v>471</v>
      </c>
      <c r="B1" s="1181"/>
      <c r="C1" s="1181"/>
      <c r="D1" s="1181"/>
      <c r="E1" s="1181"/>
      <c r="F1" s="1181"/>
    </row>
    <row r="2" spans="1:6" ht="65.25" customHeight="1">
      <c r="A2" s="16" t="s">
        <v>453</v>
      </c>
      <c r="B2" s="16" t="s">
        <v>565</v>
      </c>
      <c r="C2" s="16" t="s">
        <v>460</v>
      </c>
      <c r="D2" s="17" t="s">
        <v>461</v>
      </c>
      <c r="E2" s="17" t="s">
        <v>462</v>
      </c>
      <c r="F2" s="17" t="s">
        <v>463</v>
      </c>
    </row>
    <row r="3" spans="1:6" ht="9" customHeight="1">
      <c r="A3" s="19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</row>
    <row r="4" spans="1:6" s="39" customFormat="1" ht="47.25" customHeight="1">
      <c r="A4" s="1183" t="s">
        <v>404</v>
      </c>
      <c r="B4" s="1182" t="s">
        <v>464</v>
      </c>
      <c r="C4" s="1175" t="s">
        <v>614</v>
      </c>
      <c r="D4" s="1175" t="s">
        <v>465</v>
      </c>
      <c r="E4" s="1178" t="s">
        <v>466</v>
      </c>
      <c r="F4" s="38" t="s">
        <v>467</v>
      </c>
    </row>
    <row r="5" spans="1:6" s="39" customFormat="1" ht="47.25" customHeight="1">
      <c r="A5" s="1184"/>
      <c r="B5" s="1182"/>
      <c r="C5" s="1176"/>
      <c r="D5" s="1176"/>
      <c r="E5" s="1179"/>
      <c r="F5" s="40" t="s">
        <v>468</v>
      </c>
    </row>
    <row r="6" spans="1:7" s="39" customFormat="1" ht="47.25" customHeight="1">
      <c r="A6" s="1185"/>
      <c r="B6" s="1182"/>
      <c r="C6" s="1177"/>
      <c r="D6" s="1177"/>
      <c r="E6" s="1180"/>
      <c r="F6" s="40" t="s">
        <v>469</v>
      </c>
      <c r="G6" s="39" t="s">
        <v>417</v>
      </c>
    </row>
    <row r="7" spans="1:6" s="39" customFormat="1" ht="47.25" customHeight="1">
      <c r="A7" s="1183" t="s">
        <v>405</v>
      </c>
      <c r="B7" s="1182" t="s">
        <v>470</v>
      </c>
      <c r="C7" s="1175" t="s">
        <v>615</v>
      </c>
      <c r="D7" s="1175" t="s">
        <v>465</v>
      </c>
      <c r="E7" s="1178" t="s">
        <v>466</v>
      </c>
      <c r="F7" s="38" t="s">
        <v>467</v>
      </c>
    </row>
    <row r="8" spans="1:6" s="39" customFormat="1" ht="47.25" customHeight="1">
      <c r="A8" s="1184"/>
      <c r="B8" s="1182"/>
      <c r="C8" s="1176"/>
      <c r="D8" s="1176"/>
      <c r="E8" s="1179"/>
      <c r="F8" s="40" t="s">
        <v>468</v>
      </c>
    </row>
    <row r="9" spans="1:6" s="39" customFormat="1" ht="47.25" customHeight="1">
      <c r="A9" s="1185"/>
      <c r="B9" s="1182"/>
      <c r="C9" s="1177"/>
      <c r="D9" s="1177"/>
      <c r="E9" s="1180"/>
      <c r="F9" s="40" t="s">
        <v>469</v>
      </c>
    </row>
    <row r="10" spans="1:6" ht="20.25" customHeight="1">
      <c r="A10" s="22" t="s">
        <v>406</v>
      </c>
      <c r="B10" s="22"/>
      <c r="C10" s="20"/>
      <c r="D10" s="20"/>
      <c r="E10" s="20"/>
      <c r="F10" s="20"/>
    </row>
    <row r="11" spans="1:6" ht="20.25" customHeight="1">
      <c r="A11" s="22" t="s">
        <v>394</v>
      </c>
      <c r="B11" s="22"/>
      <c r="C11" s="20"/>
      <c r="D11" s="20"/>
      <c r="E11" s="20"/>
      <c r="F11" s="20"/>
    </row>
  </sheetData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">
      <selection activeCell="A34" sqref="A34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000" t="s">
        <v>599</v>
      </c>
      <c r="B1" s="1000"/>
      <c r="C1" s="1000"/>
      <c r="D1" s="1000"/>
      <c r="E1" s="1000"/>
      <c r="F1" s="1000"/>
      <c r="G1" s="1000"/>
      <c r="H1" s="1000"/>
      <c r="I1" s="1000"/>
    </row>
    <row r="2" spans="1:9" ht="9" customHeight="1">
      <c r="A2" s="6"/>
      <c r="B2" s="6"/>
      <c r="C2" s="6"/>
      <c r="D2" s="6"/>
      <c r="E2" s="6"/>
      <c r="F2" s="6"/>
      <c r="G2" s="6"/>
      <c r="H2" s="6"/>
      <c r="I2" s="6"/>
    </row>
    <row r="3" ht="12.75">
      <c r="I3" s="67" t="s">
        <v>434</v>
      </c>
    </row>
    <row r="4" spans="1:9" s="52" customFormat="1" ht="35.25" customHeight="1">
      <c r="A4" s="998" t="s">
        <v>453</v>
      </c>
      <c r="B4" s="998" t="s">
        <v>393</v>
      </c>
      <c r="C4" s="1186" t="s">
        <v>524</v>
      </c>
      <c r="D4" s="1187" t="s">
        <v>514</v>
      </c>
      <c r="E4" s="1187"/>
      <c r="F4" s="1187"/>
      <c r="G4" s="1187"/>
      <c r="H4" s="1187"/>
      <c r="I4" s="1187"/>
    </row>
    <row r="5" spans="1:9" s="52" customFormat="1" ht="23.25" customHeight="1">
      <c r="A5" s="998"/>
      <c r="B5" s="998"/>
      <c r="C5" s="990"/>
      <c r="D5" s="64">
        <v>2007</v>
      </c>
      <c r="E5" s="64">
        <v>2008</v>
      </c>
      <c r="F5" s="64">
        <v>2009</v>
      </c>
      <c r="G5" s="64">
        <v>2010</v>
      </c>
      <c r="H5" s="64">
        <v>2011</v>
      </c>
      <c r="I5" s="64">
        <v>2012</v>
      </c>
    </row>
    <row r="6" spans="1:9" s="63" customFormat="1" ht="8.2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</row>
    <row r="7" spans="1:9" s="52" customFormat="1" ht="22.5" customHeight="1">
      <c r="A7" s="48" t="s">
        <v>404</v>
      </c>
      <c r="B7" s="66" t="s">
        <v>568</v>
      </c>
      <c r="C7" s="65"/>
      <c r="D7" s="65"/>
      <c r="E7" s="65"/>
      <c r="F7" s="65"/>
      <c r="G7" s="65"/>
      <c r="H7" s="65"/>
      <c r="I7" s="65"/>
    </row>
    <row r="8" spans="1:9" s="49" customFormat="1" ht="15" customHeight="1">
      <c r="A8" s="56" t="s">
        <v>497</v>
      </c>
      <c r="B8" s="58" t="s">
        <v>591</v>
      </c>
      <c r="C8" s="45"/>
      <c r="D8" s="45"/>
      <c r="E8" s="45"/>
      <c r="F8" s="45"/>
      <c r="G8" s="45"/>
      <c r="H8" s="45"/>
      <c r="I8" s="45"/>
    </row>
    <row r="9" spans="1:9" s="49" customFormat="1" ht="15" customHeight="1">
      <c r="A9" s="61" t="s">
        <v>573</v>
      </c>
      <c r="B9" s="59" t="s">
        <v>515</v>
      </c>
      <c r="C9" s="45"/>
      <c r="D9" s="45"/>
      <c r="E9" s="45"/>
      <c r="F9" s="45"/>
      <c r="G9" s="45"/>
      <c r="H9" s="45"/>
      <c r="I9" s="45"/>
    </row>
    <row r="10" spans="1:9" s="49" customFormat="1" ht="15" customHeight="1">
      <c r="A10" s="61" t="s">
        <v>574</v>
      </c>
      <c r="B10" s="59" t="s">
        <v>516</v>
      </c>
      <c r="C10" s="45"/>
      <c r="D10" s="45"/>
      <c r="E10" s="45"/>
      <c r="F10" s="45"/>
      <c r="G10" s="45"/>
      <c r="H10" s="45"/>
      <c r="I10" s="45"/>
    </row>
    <row r="11" spans="1:9" s="49" customFormat="1" ht="15" customHeight="1">
      <c r="A11" s="61" t="s">
        <v>575</v>
      </c>
      <c r="B11" s="59" t="s">
        <v>517</v>
      </c>
      <c r="C11" s="45"/>
      <c r="D11" s="45"/>
      <c r="E11" s="45"/>
      <c r="F11" s="45"/>
      <c r="G11" s="45"/>
      <c r="H11" s="45"/>
      <c r="I11" s="45"/>
    </row>
    <row r="12" spans="1:9" s="49" customFormat="1" ht="15" customHeight="1">
      <c r="A12" s="56" t="s">
        <v>503</v>
      </c>
      <c r="B12" s="58" t="s">
        <v>592</v>
      </c>
      <c r="C12" s="45"/>
      <c r="D12" s="45"/>
      <c r="E12" s="45"/>
      <c r="F12" s="45"/>
      <c r="G12" s="45"/>
      <c r="H12" s="45"/>
      <c r="I12" s="45"/>
    </row>
    <row r="13" spans="1:9" s="49" customFormat="1" ht="15" customHeight="1">
      <c r="A13" s="61" t="s">
        <v>576</v>
      </c>
      <c r="B13" s="59" t="s">
        <v>518</v>
      </c>
      <c r="C13" s="45"/>
      <c r="D13" s="45"/>
      <c r="E13" s="45"/>
      <c r="F13" s="45"/>
      <c r="G13" s="45"/>
      <c r="H13" s="45"/>
      <c r="I13" s="45"/>
    </row>
    <row r="14" spans="1:9" s="49" customFormat="1" ht="15" customHeight="1">
      <c r="A14" s="61" t="s">
        <v>577</v>
      </c>
      <c r="B14" s="59" t="s">
        <v>519</v>
      </c>
      <c r="C14" s="45"/>
      <c r="D14" s="45"/>
      <c r="E14" s="45"/>
      <c r="F14" s="45"/>
      <c r="G14" s="45"/>
      <c r="H14" s="45"/>
      <c r="I14" s="45"/>
    </row>
    <row r="15" spans="1:9" s="49" customFormat="1" ht="15" customHeight="1">
      <c r="A15" s="61"/>
      <c r="B15" s="60" t="s">
        <v>520</v>
      </c>
      <c r="C15" s="45"/>
      <c r="D15" s="45"/>
      <c r="E15" s="45"/>
      <c r="F15" s="45"/>
      <c r="G15" s="45"/>
      <c r="H15" s="45"/>
      <c r="I15" s="45"/>
    </row>
    <row r="16" spans="1:9" s="49" customFormat="1" ht="15" customHeight="1">
      <c r="A16" s="61" t="s">
        <v>578</v>
      </c>
      <c r="B16" s="59" t="s">
        <v>492</v>
      </c>
      <c r="C16" s="45"/>
      <c r="D16" s="45"/>
      <c r="E16" s="45"/>
      <c r="F16" s="45"/>
      <c r="G16" s="45"/>
      <c r="H16" s="45"/>
      <c r="I16" s="45"/>
    </row>
    <row r="17" spans="1:9" s="49" customFormat="1" ht="15" customHeight="1">
      <c r="A17" s="56" t="s">
        <v>504</v>
      </c>
      <c r="B17" s="58" t="s">
        <v>521</v>
      </c>
      <c r="C17" s="58"/>
      <c r="D17" s="58"/>
      <c r="E17" s="58"/>
      <c r="F17" s="58"/>
      <c r="G17" s="58"/>
      <c r="H17" s="58"/>
      <c r="I17" s="58"/>
    </row>
    <row r="18" spans="1:9" s="49" customFormat="1" ht="15" customHeight="1">
      <c r="A18" s="61" t="s">
        <v>593</v>
      </c>
      <c r="B18" s="81" t="s">
        <v>595</v>
      </c>
      <c r="C18" s="81"/>
      <c r="D18" s="81"/>
      <c r="E18" s="81"/>
      <c r="F18" s="81"/>
      <c r="G18" s="81"/>
      <c r="H18" s="81"/>
      <c r="I18" s="81"/>
    </row>
    <row r="19" spans="1:9" s="49" customFormat="1" ht="15" customHeight="1">
      <c r="A19" s="61" t="s">
        <v>594</v>
      </c>
      <c r="B19" s="81" t="s">
        <v>596</v>
      </c>
      <c r="C19" s="81"/>
      <c r="D19" s="81"/>
      <c r="E19" s="81"/>
      <c r="F19" s="81"/>
      <c r="G19" s="81"/>
      <c r="H19" s="81"/>
      <c r="I19" s="81"/>
    </row>
    <row r="20" spans="1:9" s="52" customFormat="1" ht="22.5" customHeight="1">
      <c r="A20" s="48">
        <v>2</v>
      </c>
      <c r="B20" s="66" t="s">
        <v>589</v>
      </c>
      <c r="C20" s="65"/>
      <c r="D20" s="65"/>
      <c r="E20" s="65"/>
      <c r="F20" s="65"/>
      <c r="G20" s="65"/>
      <c r="H20" s="65"/>
      <c r="I20" s="65"/>
    </row>
    <row r="21" spans="1:9" s="52" customFormat="1" ht="15" customHeight="1">
      <c r="A21" s="48" t="s">
        <v>506</v>
      </c>
      <c r="B21" s="66" t="s">
        <v>588</v>
      </c>
      <c r="C21" s="65"/>
      <c r="D21" s="65"/>
      <c r="E21" s="65"/>
      <c r="F21" s="65"/>
      <c r="G21" s="65"/>
      <c r="H21" s="65"/>
      <c r="I21" s="65"/>
    </row>
    <row r="22" spans="1:9" s="49" customFormat="1" ht="15" customHeight="1">
      <c r="A22" s="61" t="s">
        <v>570</v>
      </c>
      <c r="B22" s="59" t="s">
        <v>581</v>
      </c>
      <c r="C22" s="45"/>
      <c r="D22" s="45"/>
      <c r="E22" s="45"/>
      <c r="F22" s="45"/>
      <c r="G22" s="45"/>
      <c r="H22" s="45"/>
      <c r="I22" s="45"/>
    </row>
    <row r="23" spans="1:9" s="49" customFormat="1" ht="15" customHeight="1">
      <c r="A23" s="61" t="s">
        <v>571</v>
      </c>
      <c r="B23" s="59" t="s">
        <v>583</v>
      </c>
      <c r="C23" s="45"/>
      <c r="D23" s="45"/>
      <c r="E23" s="45"/>
      <c r="F23" s="45"/>
      <c r="G23" s="45"/>
      <c r="H23" s="45"/>
      <c r="I23" s="45"/>
    </row>
    <row r="24" spans="1:9" s="49" customFormat="1" ht="15" customHeight="1">
      <c r="A24" s="61" t="s">
        <v>572</v>
      </c>
      <c r="B24" s="59" t="s">
        <v>582</v>
      </c>
      <c r="C24" s="45"/>
      <c r="D24" s="45"/>
      <c r="E24" s="45"/>
      <c r="F24" s="45"/>
      <c r="G24" s="45"/>
      <c r="H24" s="45"/>
      <c r="I24" s="45"/>
    </row>
    <row r="25" spans="1:9" s="49" customFormat="1" ht="15" customHeight="1">
      <c r="A25" s="56" t="s">
        <v>507</v>
      </c>
      <c r="B25" s="58" t="s">
        <v>580</v>
      </c>
      <c r="C25" s="45"/>
      <c r="D25" s="45"/>
      <c r="E25" s="45"/>
      <c r="F25" s="45"/>
      <c r="G25" s="45"/>
      <c r="H25" s="45"/>
      <c r="I25" s="45"/>
    </row>
    <row r="26" spans="1:9" s="80" customFormat="1" ht="14.25" customHeight="1">
      <c r="A26" s="56" t="s">
        <v>569</v>
      </c>
      <c r="B26" s="58" t="s">
        <v>579</v>
      </c>
      <c r="C26" s="79"/>
      <c r="D26" s="79"/>
      <c r="E26" s="79"/>
      <c r="F26" s="79"/>
      <c r="G26" s="79"/>
      <c r="H26" s="79"/>
      <c r="I26" s="79"/>
    </row>
    <row r="27" spans="1:9" s="52" customFormat="1" ht="22.5" customHeight="1">
      <c r="A27" s="48" t="s">
        <v>406</v>
      </c>
      <c r="B27" s="66" t="s">
        <v>522</v>
      </c>
      <c r="C27" s="65"/>
      <c r="D27" s="65"/>
      <c r="E27" s="65"/>
      <c r="F27" s="65"/>
      <c r="G27" s="65"/>
      <c r="H27" s="65"/>
      <c r="I27" s="65"/>
    </row>
    <row r="28" spans="1:9" s="74" customFormat="1" ht="22.5" customHeight="1">
      <c r="A28" s="48" t="s">
        <v>394</v>
      </c>
      <c r="B28" s="66" t="s">
        <v>540</v>
      </c>
      <c r="C28" s="73"/>
      <c r="D28" s="73"/>
      <c r="E28" s="73"/>
      <c r="F28" s="73"/>
      <c r="G28" s="73"/>
      <c r="H28" s="73"/>
      <c r="I28" s="73"/>
    </row>
    <row r="29" spans="1:9" s="74" customFormat="1" ht="22.5" customHeight="1">
      <c r="A29" s="48" t="s">
        <v>411</v>
      </c>
      <c r="B29" s="66" t="s">
        <v>541</v>
      </c>
      <c r="C29" s="73"/>
      <c r="D29" s="73"/>
      <c r="E29" s="73"/>
      <c r="F29" s="73"/>
      <c r="G29" s="73"/>
      <c r="H29" s="73"/>
      <c r="I29" s="73"/>
    </row>
    <row r="30" spans="1:9" s="52" customFormat="1" ht="22.5" customHeight="1">
      <c r="A30" s="48" t="s">
        <v>414</v>
      </c>
      <c r="B30" s="66" t="s">
        <v>523</v>
      </c>
      <c r="C30" s="65"/>
      <c r="D30" s="65"/>
      <c r="E30" s="65"/>
      <c r="F30" s="65"/>
      <c r="G30" s="65"/>
      <c r="H30" s="65"/>
      <c r="I30" s="65"/>
    </row>
    <row r="31" spans="1:9" s="49" customFormat="1" ht="15" customHeight="1">
      <c r="A31" s="56" t="s">
        <v>584</v>
      </c>
      <c r="B31" s="57" t="s">
        <v>590</v>
      </c>
      <c r="C31" s="45"/>
      <c r="D31" s="45"/>
      <c r="E31" s="45"/>
      <c r="F31" s="45"/>
      <c r="G31" s="45"/>
      <c r="H31" s="45"/>
      <c r="I31" s="45"/>
    </row>
    <row r="32" spans="1:9" s="49" customFormat="1" ht="28.5" customHeight="1">
      <c r="A32" s="56" t="s">
        <v>585</v>
      </c>
      <c r="B32" s="57" t="s">
        <v>609</v>
      </c>
      <c r="C32" s="45"/>
      <c r="D32" s="45"/>
      <c r="E32" s="45"/>
      <c r="F32" s="45"/>
      <c r="G32" s="45"/>
      <c r="H32" s="45"/>
      <c r="I32" s="45"/>
    </row>
    <row r="33" spans="1:9" s="49" customFormat="1" ht="15" customHeight="1">
      <c r="A33" s="56" t="s">
        <v>586</v>
      </c>
      <c r="B33" s="57" t="s">
        <v>597</v>
      </c>
      <c r="C33" s="45"/>
      <c r="D33" s="45"/>
      <c r="E33" s="45"/>
      <c r="F33" s="45"/>
      <c r="G33" s="45"/>
      <c r="H33" s="45"/>
      <c r="I33" s="45"/>
    </row>
    <row r="34" spans="1:9" s="49" customFormat="1" ht="25.5" customHeight="1">
      <c r="A34" s="56" t="s">
        <v>587</v>
      </c>
      <c r="B34" s="57" t="s">
        <v>598</v>
      </c>
      <c r="C34" s="45"/>
      <c r="D34" s="45"/>
      <c r="E34" s="45"/>
      <c r="F34" s="45"/>
      <c r="G34" s="45"/>
      <c r="H34" s="45"/>
      <c r="I34" s="45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C37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7" sqref="C7"/>
    </sheetView>
  </sheetViews>
  <sheetFormatPr defaultColWidth="9.00390625" defaultRowHeight="12.75"/>
  <cols>
    <col min="1" max="1" width="6.875" style="1" customWidth="1"/>
    <col min="2" max="2" width="39.375" style="1" customWidth="1"/>
    <col min="3" max="3" width="10.875" style="1" customWidth="1"/>
    <col min="4" max="4" width="10.375" style="1" customWidth="1"/>
    <col min="5" max="5" width="11.00390625" style="1" customWidth="1"/>
    <col min="6" max="6" width="10.25390625" style="1" customWidth="1"/>
    <col min="7" max="7" width="12.75390625" style="1" customWidth="1"/>
    <col min="8" max="8" width="10.375" style="1" customWidth="1"/>
    <col min="9" max="9" width="10.25390625" style="1" customWidth="1"/>
    <col min="10" max="10" width="10.00390625" style="1" customWidth="1"/>
    <col min="11" max="11" width="10.375" style="1" customWidth="1"/>
    <col min="12" max="12" width="10.00390625" style="1" customWidth="1"/>
    <col min="13" max="13" width="10.875" style="1" customWidth="1"/>
    <col min="14" max="14" width="10.75390625" style="1" customWidth="1"/>
    <col min="15" max="15" width="10.625" style="1" customWidth="1"/>
    <col min="16" max="16" width="11.625" style="1" customWidth="1"/>
    <col min="17" max="17" width="10.25390625" style="1" customWidth="1"/>
    <col min="18" max="18" width="10.125" style="1" customWidth="1"/>
    <col min="19" max="19" width="10.875" style="1" customWidth="1"/>
    <col min="20" max="20" width="11.00390625" style="1" customWidth="1"/>
    <col min="21" max="21" width="10.625" style="1" customWidth="1"/>
    <col min="22" max="22" width="10.25390625" style="1" customWidth="1"/>
    <col min="23" max="23" width="11.25390625" style="1" customWidth="1"/>
    <col min="24" max="24" width="10.25390625" style="1" customWidth="1"/>
    <col min="25" max="25" width="10.625" style="1" customWidth="1"/>
    <col min="26" max="26" width="11.25390625" style="1" customWidth="1"/>
    <col min="27" max="16384" width="9.125" style="1" customWidth="1"/>
  </cols>
  <sheetData>
    <row r="1" spans="11:25" ht="12.75">
      <c r="K1" s="1" t="s">
        <v>18</v>
      </c>
      <c r="Y1" s="1" t="s">
        <v>18</v>
      </c>
    </row>
    <row r="2" spans="11:25" ht="12.75">
      <c r="K2" s="1" t="s">
        <v>19</v>
      </c>
      <c r="Y2" s="1" t="s">
        <v>19</v>
      </c>
    </row>
    <row r="3" spans="11:25" ht="12.75">
      <c r="K3" s="1" t="s">
        <v>826</v>
      </c>
      <c r="Y3" s="1" t="s">
        <v>826</v>
      </c>
    </row>
    <row r="4" spans="11:25" ht="12.75">
      <c r="K4" s="1" t="s">
        <v>20</v>
      </c>
      <c r="Y4" s="1" t="s">
        <v>20</v>
      </c>
    </row>
    <row r="6" spans="1:12" ht="18">
      <c r="A6" s="1057" t="s">
        <v>157</v>
      </c>
      <c r="B6" s="1057"/>
      <c r="C6" s="1057"/>
      <c r="D6" s="1057"/>
      <c r="E6" s="1057"/>
      <c r="F6" s="1057"/>
      <c r="G6" s="1057"/>
      <c r="H6" s="1057"/>
      <c r="I6" s="1057"/>
      <c r="J6" s="1057"/>
      <c r="K6" s="1057"/>
      <c r="L6" s="1057"/>
    </row>
    <row r="7" spans="7:26" ht="13.5" thickBot="1">
      <c r="G7" s="10"/>
      <c r="L7" s="10" t="s">
        <v>434</v>
      </c>
      <c r="Z7" s="942" t="s">
        <v>434</v>
      </c>
    </row>
    <row r="8" spans="1:26" ht="24.75" customHeight="1" thickBot="1">
      <c r="A8" s="1193" t="s">
        <v>241</v>
      </c>
      <c r="B8" s="1193" t="s">
        <v>393</v>
      </c>
      <c r="C8" s="1191" t="s">
        <v>158</v>
      </c>
      <c r="D8" s="1191" t="s">
        <v>450</v>
      </c>
      <c r="E8" s="1188" t="s">
        <v>159</v>
      </c>
      <c r="F8" s="1189"/>
      <c r="G8" s="1189"/>
      <c r="H8" s="1189"/>
      <c r="I8" s="1189"/>
      <c r="J8" s="1189"/>
      <c r="K8" s="1189"/>
      <c r="L8" s="1190"/>
      <c r="M8" s="1188" t="s">
        <v>159</v>
      </c>
      <c r="N8" s="1189"/>
      <c r="O8" s="1189"/>
      <c r="P8" s="1189"/>
      <c r="Q8" s="1189"/>
      <c r="R8" s="1189"/>
      <c r="S8" s="1189"/>
      <c r="T8" s="1189"/>
      <c r="U8" s="1189"/>
      <c r="V8" s="1189"/>
      <c r="W8" s="1189"/>
      <c r="X8" s="1189"/>
      <c r="Y8" s="1189"/>
      <c r="Z8" s="1190"/>
    </row>
    <row r="9" spans="1:26" ht="30" customHeight="1" thickBot="1">
      <c r="A9" s="1194"/>
      <c r="B9" s="1194"/>
      <c r="C9" s="1192"/>
      <c r="D9" s="1192"/>
      <c r="E9" s="941" t="s">
        <v>192</v>
      </c>
      <c r="F9" s="941" t="s">
        <v>451</v>
      </c>
      <c r="G9" s="941" t="s">
        <v>193</v>
      </c>
      <c r="H9" s="941" t="s">
        <v>194</v>
      </c>
      <c r="I9" s="941" t="s">
        <v>195</v>
      </c>
      <c r="J9" s="941" t="s">
        <v>196</v>
      </c>
      <c r="K9" s="941" t="s">
        <v>197</v>
      </c>
      <c r="L9" s="941" t="s">
        <v>198</v>
      </c>
      <c r="M9" s="941" t="s">
        <v>199</v>
      </c>
      <c r="N9" s="941" t="s">
        <v>200</v>
      </c>
      <c r="O9" s="941" t="s">
        <v>201</v>
      </c>
      <c r="P9" s="941" t="s">
        <v>202</v>
      </c>
      <c r="Q9" s="941" t="s">
        <v>203</v>
      </c>
      <c r="R9" s="941" t="s">
        <v>204</v>
      </c>
      <c r="S9" s="941" t="s">
        <v>205</v>
      </c>
      <c r="T9" s="941" t="s">
        <v>206</v>
      </c>
      <c r="U9" s="941" t="s">
        <v>207</v>
      </c>
      <c r="V9" s="941" t="s">
        <v>208</v>
      </c>
      <c r="W9" s="941" t="s">
        <v>209</v>
      </c>
      <c r="X9" s="941" t="s">
        <v>210</v>
      </c>
      <c r="Y9" s="941" t="s">
        <v>211</v>
      </c>
      <c r="Z9" s="941" t="s">
        <v>212</v>
      </c>
    </row>
    <row r="10" spans="1:26" ht="7.5" customHeight="1" thickBot="1">
      <c r="A10" s="929">
        <v>1</v>
      </c>
      <c r="B10" s="929">
        <v>2</v>
      </c>
      <c r="C10" s="929">
        <v>3</v>
      </c>
      <c r="D10" s="929">
        <v>4</v>
      </c>
      <c r="E10" s="929">
        <v>5</v>
      </c>
      <c r="F10" s="929">
        <v>6</v>
      </c>
      <c r="G10" s="929">
        <v>7</v>
      </c>
      <c r="H10" s="929">
        <v>8</v>
      </c>
      <c r="I10" s="929">
        <v>9</v>
      </c>
      <c r="J10" s="929">
        <v>10</v>
      </c>
      <c r="K10" s="929">
        <v>11</v>
      </c>
      <c r="L10" s="929">
        <v>12</v>
      </c>
      <c r="M10" s="929">
        <v>13</v>
      </c>
      <c r="N10" s="929">
        <v>14</v>
      </c>
      <c r="O10" s="929">
        <v>15</v>
      </c>
      <c r="P10" s="929">
        <v>16</v>
      </c>
      <c r="Q10" s="929">
        <v>17</v>
      </c>
      <c r="R10" s="929">
        <v>18</v>
      </c>
      <c r="S10" s="929">
        <v>19</v>
      </c>
      <c r="T10" s="929">
        <v>20</v>
      </c>
      <c r="U10" s="929">
        <v>21</v>
      </c>
      <c r="V10" s="929">
        <v>22</v>
      </c>
      <c r="W10" s="929">
        <v>23</v>
      </c>
      <c r="X10" s="929">
        <v>24</v>
      </c>
      <c r="Y10" s="929">
        <v>25</v>
      </c>
      <c r="Z10" s="929">
        <v>26</v>
      </c>
    </row>
    <row r="11" spans="1:26" ht="13.5" customHeight="1">
      <c r="A11" s="947" t="s">
        <v>403</v>
      </c>
      <c r="B11" s="930" t="s">
        <v>160</v>
      </c>
      <c r="C11" s="943">
        <f>C12+C16+C17</f>
        <v>38545058</v>
      </c>
      <c r="D11" s="943">
        <f>D12+D16+D17</f>
        <v>35454860</v>
      </c>
      <c r="E11" s="943">
        <f>'Prognoza dł. 8'!F33</f>
        <v>35995394</v>
      </c>
      <c r="F11" s="943">
        <f>'Prognoza dł. 8'!G33</f>
        <v>36627756</v>
      </c>
      <c r="G11" s="943">
        <f>'Prognoza dł. 8'!H33</f>
        <v>37109997</v>
      </c>
      <c r="H11" s="943">
        <f>'Prognoza dł. 8'!I33</f>
        <v>37599803</v>
      </c>
      <c r="I11" s="943">
        <f>'Prognoza dł. 8'!J33</f>
        <v>38097312</v>
      </c>
      <c r="J11" s="943">
        <f>'Prognoza dł. 8'!K33</f>
        <v>38602670</v>
      </c>
      <c r="K11" s="943">
        <f>'Prognoza dł. 8'!L33</f>
        <v>39116023</v>
      </c>
      <c r="L11" s="943">
        <f>'Prognoza dł. 8'!M33</f>
        <v>39637522</v>
      </c>
      <c r="M11" s="943">
        <f>'Prognoza dł. 8'!N33</f>
        <v>40167320</v>
      </c>
      <c r="N11" s="943">
        <f>'Prognoza dł. 8'!O33</f>
        <v>40705574</v>
      </c>
      <c r="O11" s="943">
        <f>'Prognoza dł. 8'!P33</f>
        <v>40897640</v>
      </c>
      <c r="P11" s="943">
        <f>'Prognoza dł. 8'!Q33</f>
        <v>41449740</v>
      </c>
      <c r="Q11" s="943">
        <f>'Prognoza dł. 8'!R33</f>
        <v>42010751</v>
      </c>
      <c r="R11" s="943">
        <f>'Prognoza dł. 8'!S33</f>
        <v>42533736</v>
      </c>
      <c r="S11" s="943">
        <f>'Prognoza dł. 8'!T33</f>
        <v>43112610</v>
      </c>
      <c r="T11" s="943">
        <f>'Prognoza dł. 8'!U33</f>
        <v>43700912</v>
      </c>
      <c r="U11" s="943">
        <f>'Prognoza dł. 8'!V33</f>
        <v>44298821</v>
      </c>
      <c r="V11" s="943">
        <f>'Prognoza dł. 8'!W33</f>
        <v>44906524</v>
      </c>
      <c r="W11" s="943">
        <f>'Prognoza dł. 8'!X33</f>
        <v>45524209</v>
      </c>
      <c r="X11" s="943">
        <f>'Prognoza dł. 8'!Y33</f>
        <v>46152069</v>
      </c>
      <c r="Y11" s="943">
        <f>'Prognoza dł. 8'!Z33</f>
        <v>46790302</v>
      </c>
      <c r="Z11" s="943">
        <f>'Prognoza dł. 8'!AA33</f>
        <v>47439110</v>
      </c>
    </row>
    <row r="12" spans="1:26" ht="13.5" customHeight="1">
      <c r="A12" s="932" t="s">
        <v>161</v>
      </c>
      <c r="B12" s="933" t="s">
        <v>162</v>
      </c>
      <c r="C12" s="939">
        <f aca="true" t="shared" si="0" ref="C12:Z12">SUM(C13:C15)</f>
        <v>10269163</v>
      </c>
      <c r="D12" s="939">
        <f t="shared" si="0"/>
        <v>8699564</v>
      </c>
      <c r="E12" s="939">
        <f t="shared" si="0"/>
        <v>7181639.865000002</v>
      </c>
      <c r="F12" s="939">
        <f t="shared" si="0"/>
        <v>7619624.264325004</v>
      </c>
      <c r="G12" s="939">
        <f t="shared" si="0"/>
        <v>7906011.8656466305</v>
      </c>
      <c r="H12" s="939">
        <f t="shared" si="0"/>
        <v>8198477.324974865</v>
      </c>
      <c r="I12" s="939">
        <f t="shared" si="0"/>
        <v>8497146.28659974</v>
      </c>
      <c r="J12" s="939">
        <f t="shared" si="0"/>
        <v>8802151.383032743</v>
      </c>
      <c r="K12" s="939">
        <f t="shared" si="0"/>
        <v>9113626.234947909</v>
      </c>
      <c r="L12" s="939">
        <f t="shared" si="0"/>
        <v>9431709.451122649</v>
      </c>
      <c r="M12" s="939">
        <f t="shared" si="0"/>
        <v>9756539.628378265</v>
      </c>
      <c r="N12" s="939">
        <f t="shared" si="0"/>
        <v>10088262.351520158</v>
      </c>
      <c r="O12" s="939">
        <f t="shared" si="0"/>
        <v>10072219.193277761</v>
      </c>
      <c r="P12" s="939">
        <f t="shared" si="0"/>
        <v>10414619.714244153</v>
      </c>
      <c r="Q12" s="939">
        <f t="shared" si="0"/>
        <v>10764326.462815378</v>
      </c>
      <c r="R12" s="939">
        <f t="shared" si="0"/>
        <v>11074389.975129455</v>
      </c>
      <c r="S12" s="939">
        <f t="shared" si="0"/>
        <v>11438710.775005106</v>
      </c>
      <c r="T12" s="939">
        <f t="shared" si="0"/>
        <v>11810814.373880133</v>
      </c>
      <c r="U12" s="939">
        <f t="shared" si="0"/>
        <v>12190865.270749535</v>
      </c>
      <c r="V12" s="939">
        <f t="shared" si="0"/>
        <v>12579036.952103287</v>
      </c>
      <c r="W12" s="939">
        <f t="shared" si="0"/>
        <v>12975503.891863804</v>
      </c>
      <c r="X12" s="939">
        <f t="shared" si="0"/>
        <v>13380442.551323127</v>
      </c>
      <c r="Y12" s="939">
        <f t="shared" si="0"/>
        <v>13794038.379079744</v>
      </c>
      <c r="Z12" s="939">
        <f t="shared" si="0"/>
        <v>14216478.810975146</v>
      </c>
    </row>
    <row r="13" spans="1:27" ht="13.5" customHeight="1">
      <c r="A13" s="932" t="s">
        <v>404</v>
      </c>
      <c r="B13" s="933" t="s">
        <v>163</v>
      </c>
      <c r="C13" s="939">
        <v>5922125</v>
      </c>
      <c r="D13" s="939">
        <f>'Dochody-ukł.wykon.'!F287+'Dochody-ukł.wykon.'!F295</f>
        <v>3626964</v>
      </c>
      <c r="E13" s="939">
        <f aca="true" t="shared" si="1" ref="E13:Z13">E11-E17-E16-E15-E14</f>
        <v>2730252.015000002</v>
      </c>
      <c r="F13" s="939">
        <f t="shared" si="1"/>
        <v>3123721.8958250037</v>
      </c>
      <c r="G13" s="939">
        <f t="shared" si="1"/>
        <v>3365150.80346163</v>
      </c>
      <c r="H13" s="939">
        <f t="shared" si="1"/>
        <v>3612207.8521680143</v>
      </c>
      <c r="I13" s="939">
        <f t="shared" si="1"/>
        <v>3865014.109064822</v>
      </c>
      <c r="J13" s="939">
        <f t="shared" si="1"/>
        <v>4123697.5937224757</v>
      </c>
      <c r="K13" s="939">
        <f t="shared" si="1"/>
        <v>4388388.277744538</v>
      </c>
      <c r="L13" s="939">
        <f t="shared" si="1"/>
        <v>4659219.084347244</v>
      </c>
      <c r="M13" s="939">
        <f t="shared" si="1"/>
        <v>4936323.887935106</v>
      </c>
      <c r="N13" s="939">
        <f t="shared" si="1"/>
        <v>5219844.513672568</v>
      </c>
      <c r="O13" s="939">
        <f t="shared" si="1"/>
        <v>5509921.737051696</v>
      </c>
      <c r="P13" s="939">
        <f t="shared" si="1"/>
        <v>5806699.283455826</v>
      </c>
      <c r="Q13" s="939">
        <f t="shared" si="1"/>
        <v>6110326.827719168</v>
      </c>
      <c r="R13" s="939">
        <f t="shared" si="1"/>
        <v>6420955.993682283</v>
      </c>
      <c r="S13" s="939">
        <f t="shared" si="1"/>
        <v>6738742.353743462</v>
      </c>
      <c r="T13" s="939">
        <f t="shared" si="1"/>
        <v>7063846.428405873</v>
      </c>
      <c r="U13" s="939">
        <f t="shared" si="1"/>
        <v>7396427.685820533</v>
      </c>
      <c r="V13" s="939">
        <f t="shared" si="1"/>
        <v>7736654.541324994</v>
      </c>
      <c r="W13" s="939">
        <f t="shared" si="1"/>
        <v>8084697.356977727</v>
      </c>
      <c r="X13" s="939">
        <f t="shared" si="1"/>
        <v>8440728.44108819</v>
      </c>
      <c r="Y13" s="939">
        <f t="shared" si="1"/>
        <v>8804927.047742458</v>
      </c>
      <c r="Z13" s="939">
        <f t="shared" si="1"/>
        <v>9177476.376324486</v>
      </c>
      <c r="AA13"/>
    </row>
    <row r="14" spans="1:26" ht="13.5" customHeight="1">
      <c r="A14" s="932" t="s">
        <v>405</v>
      </c>
      <c r="B14" s="933" t="s">
        <v>164</v>
      </c>
      <c r="C14" s="939">
        <v>1382219</v>
      </c>
      <c r="D14" s="939">
        <f>'Dochody-ukł.wykon.'!F286</f>
        <v>1565915</v>
      </c>
      <c r="E14" s="939">
        <v>909636</v>
      </c>
      <c r="F14" s="939">
        <v>918733</v>
      </c>
      <c r="G14" s="939">
        <v>927920</v>
      </c>
      <c r="H14" s="939">
        <v>937199</v>
      </c>
      <c r="I14" s="939">
        <v>946571</v>
      </c>
      <c r="J14" s="939">
        <v>956037</v>
      </c>
      <c r="K14" s="939">
        <v>965597</v>
      </c>
      <c r="L14" s="939">
        <v>975253</v>
      </c>
      <c r="M14" s="939">
        <v>985006</v>
      </c>
      <c r="N14" s="939">
        <v>994856</v>
      </c>
      <c r="O14" s="939">
        <v>650000</v>
      </c>
      <c r="P14" s="939">
        <v>656500</v>
      </c>
      <c r="Q14" s="939">
        <v>663065</v>
      </c>
      <c r="R14" s="939">
        <v>622590</v>
      </c>
      <c r="S14" s="939">
        <v>628816</v>
      </c>
      <c r="T14" s="939">
        <v>635104</v>
      </c>
      <c r="U14" s="939">
        <v>641455</v>
      </c>
      <c r="V14" s="939">
        <v>647870</v>
      </c>
      <c r="W14" s="939">
        <v>654349</v>
      </c>
      <c r="X14" s="939">
        <v>660892</v>
      </c>
      <c r="Y14" s="939">
        <v>667501</v>
      </c>
      <c r="Z14" s="939">
        <v>674176</v>
      </c>
    </row>
    <row r="15" spans="1:29" ht="13.5" customHeight="1">
      <c r="A15" s="932" t="s">
        <v>406</v>
      </c>
      <c r="B15" s="931" t="s">
        <v>165</v>
      </c>
      <c r="C15" s="940">
        <v>2964819</v>
      </c>
      <c r="D15" s="940">
        <f>'Dochody-ukł.wykon.'!F285</f>
        <v>3506685</v>
      </c>
      <c r="E15" s="940">
        <f>D15*1.01</f>
        <v>3541751.85</v>
      </c>
      <c r="F15" s="940">
        <f aca="true" t="shared" si="2" ref="F15:Z15">E15*1.01</f>
        <v>3577169.3685000003</v>
      </c>
      <c r="G15" s="940">
        <f t="shared" si="2"/>
        <v>3612941.062185</v>
      </c>
      <c r="H15" s="940">
        <f t="shared" si="2"/>
        <v>3649070.47280685</v>
      </c>
      <c r="I15" s="940">
        <f t="shared" si="2"/>
        <v>3685561.1775349183</v>
      </c>
      <c r="J15" s="940">
        <f t="shared" si="2"/>
        <v>3722416.7893102677</v>
      </c>
      <c r="K15" s="940">
        <f t="shared" si="2"/>
        <v>3759640.9572033705</v>
      </c>
      <c r="L15" s="940">
        <f t="shared" si="2"/>
        <v>3797237.366775404</v>
      </c>
      <c r="M15" s="940">
        <f t="shared" si="2"/>
        <v>3835209.7404431584</v>
      </c>
      <c r="N15" s="940">
        <f t="shared" si="2"/>
        <v>3873561.83784759</v>
      </c>
      <c r="O15" s="940">
        <f t="shared" si="2"/>
        <v>3912297.4562260658</v>
      </c>
      <c r="P15" s="940">
        <f t="shared" si="2"/>
        <v>3951420.4307883265</v>
      </c>
      <c r="Q15" s="940">
        <f t="shared" si="2"/>
        <v>3990934.63509621</v>
      </c>
      <c r="R15" s="940">
        <f t="shared" si="2"/>
        <v>4030843.9814471724</v>
      </c>
      <c r="S15" s="940">
        <f t="shared" si="2"/>
        <v>4071152.421261644</v>
      </c>
      <c r="T15" s="940">
        <f t="shared" si="2"/>
        <v>4111863.9454742605</v>
      </c>
      <c r="U15" s="940">
        <f t="shared" si="2"/>
        <v>4152982.584929003</v>
      </c>
      <c r="V15" s="940">
        <f t="shared" si="2"/>
        <v>4194512.410778293</v>
      </c>
      <c r="W15" s="940">
        <f t="shared" si="2"/>
        <v>4236457.534886076</v>
      </c>
      <c r="X15" s="940">
        <f t="shared" si="2"/>
        <v>4278822.110234937</v>
      </c>
      <c r="Y15" s="940">
        <f t="shared" si="2"/>
        <v>4321610.331337286</v>
      </c>
      <c r="Z15" s="940">
        <f t="shared" si="2"/>
        <v>4364826.434650659</v>
      </c>
      <c r="AA15"/>
      <c r="AB15"/>
      <c r="AC15"/>
    </row>
    <row r="16" spans="1:26" ht="13.5" customHeight="1">
      <c r="A16" s="932" t="s">
        <v>166</v>
      </c>
      <c r="B16" s="934" t="s">
        <v>167</v>
      </c>
      <c r="C16" s="939">
        <v>16726387</v>
      </c>
      <c r="D16" s="939">
        <f>'Dochody-ukł.wykon.'!F293</f>
        <v>18658627</v>
      </c>
      <c r="E16" s="939">
        <f aca="true" t="shared" si="3" ref="E16:Z16">D16*1.005</f>
        <v>18751920.134999998</v>
      </c>
      <c r="F16" s="939">
        <f t="shared" si="3"/>
        <v>18845679.735674996</v>
      </c>
      <c r="G16" s="939">
        <f t="shared" si="3"/>
        <v>18939908.13435337</v>
      </c>
      <c r="H16" s="939">
        <f t="shared" si="3"/>
        <v>19034607.675025135</v>
      </c>
      <c r="I16" s="939">
        <f t="shared" si="3"/>
        <v>19129780.71340026</v>
      </c>
      <c r="J16" s="939">
        <f t="shared" si="3"/>
        <v>19225429.616967257</v>
      </c>
      <c r="K16" s="939">
        <f t="shared" si="3"/>
        <v>19321556.76505209</v>
      </c>
      <c r="L16" s="939">
        <f t="shared" si="3"/>
        <v>19418164.54887735</v>
      </c>
      <c r="M16" s="939">
        <f t="shared" si="3"/>
        <v>19515255.371621735</v>
      </c>
      <c r="N16" s="939">
        <f t="shared" si="3"/>
        <v>19612831.64847984</v>
      </c>
      <c r="O16" s="939">
        <f t="shared" si="3"/>
        <v>19710895.80672224</v>
      </c>
      <c r="P16" s="939">
        <f t="shared" si="3"/>
        <v>19809450.285755847</v>
      </c>
      <c r="Q16" s="939">
        <f t="shared" si="3"/>
        <v>19908497.537184622</v>
      </c>
      <c r="R16" s="939">
        <f t="shared" si="3"/>
        <v>20008040.024870545</v>
      </c>
      <c r="S16" s="939">
        <f t="shared" si="3"/>
        <v>20108080.224994894</v>
      </c>
      <c r="T16" s="939">
        <f t="shared" si="3"/>
        <v>20208620.626119867</v>
      </c>
      <c r="U16" s="939">
        <f t="shared" si="3"/>
        <v>20309663.729250465</v>
      </c>
      <c r="V16" s="939">
        <f t="shared" si="3"/>
        <v>20411212.047896713</v>
      </c>
      <c r="W16" s="939">
        <f t="shared" si="3"/>
        <v>20513268.108136196</v>
      </c>
      <c r="X16" s="939">
        <f t="shared" si="3"/>
        <v>20615834.448676873</v>
      </c>
      <c r="Y16" s="939">
        <f t="shared" si="3"/>
        <v>20718913.620920256</v>
      </c>
      <c r="Z16" s="939">
        <f t="shared" si="3"/>
        <v>20822508.189024854</v>
      </c>
    </row>
    <row r="17" spans="1:26" ht="13.5" customHeight="1">
      <c r="A17" s="932" t="s">
        <v>168</v>
      </c>
      <c r="B17" s="933" t="s">
        <v>169</v>
      </c>
      <c r="C17" s="939">
        <v>11549508</v>
      </c>
      <c r="D17" s="939">
        <f>'Dochody-ukł.wykon.'!F288</f>
        <v>8096669</v>
      </c>
      <c r="E17" s="939">
        <v>10061834</v>
      </c>
      <c r="F17" s="939">
        <v>10162452</v>
      </c>
      <c r="G17" s="939">
        <v>10264077</v>
      </c>
      <c r="H17" s="939">
        <v>10366718</v>
      </c>
      <c r="I17" s="939">
        <v>10470385</v>
      </c>
      <c r="J17" s="939">
        <v>10575089</v>
      </c>
      <c r="K17" s="939">
        <v>10680840</v>
      </c>
      <c r="L17" s="939">
        <v>10787648</v>
      </c>
      <c r="M17" s="939">
        <v>10895525</v>
      </c>
      <c r="N17" s="939">
        <v>11004480</v>
      </c>
      <c r="O17" s="939">
        <v>11114525</v>
      </c>
      <c r="P17" s="939">
        <v>11225670</v>
      </c>
      <c r="Q17" s="939">
        <v>11337927</v>
      </c>
      <c r="R17" s="939">
        <v>11451306</v>
      </c>
      <c r="S17" s="939">
        <v>11565819</v>
      </c>
      <c r="T17" s="939">
        <v>11681477</v>
      </c>
      <c r="U17" s="939">
        <v>11798292</v>
      </c>
      <c r="V17" s="939">
        <v>11916275</v>
      </c>
      <c r="W17" s="939">
        <v>12035437</v>
      </c>
      <c r="X17" s="939">
        <v>12155792</v>
      </c>
      <c r="Y17" s="939">
        <v>12277350</v>
      </c>
      <c r="Z17" s="939">
        <v>12400123</v>
      </c>
    </row>
    <row r="18" spans="1:26" ht="13.5" customHeight="1">
      <c r="A18" s="932" t="s">
        <v>408</v>
      </c>
      <c r="B18" s="935" t="s">
        <v>170</v>
      </c>
      <c r="C18" s="944">
        <v>38924107</v>
      </c>
      <c r="D18" s="944">
        <f>'Wydatki wg grup'!E109</f>
        <v>34892013</v>
      </c>
      <c r="E18" s="944">
        <f>35271577+567000</f>
        <v>35838577</v>
      </c>
      <c r="F18" s="944">
        <f>35443935+1000000</f>
        <v>36443935</v>
      </c>
      <c r="G18" s="944">
        <f>35617155+1000000</f>
        <v>36617155</v>
      </c>
      <c r="H18" s="944">
        <f>36191241+1000000</f>
        <v>37191241</v>
      </c>
      <c r="I18" s="944">
        <f>36366197+555500</f>
        <v>36921697</v>
      </c>
      <c r="J18" s="944">
        <f>36542028+120000</f>
        <v>36662028</v>
      </c>
      <c r="K18" s="944">
        <v>36718738</v>
      </c>
      <c r="L18" s="944">
        <v>36896332</v>
      </c>
      <c r="M18" s="944">
        <v>37074813</v>
      </c>
      <c r="N18" s="944">
        <v>37254187</v>
      </c>
      <c r="O18" s="944">
        <v>37434458</v>
      </c>
      <c r="P18" s="944">
        <v>37615631</v>
      </c>
      <c r="Q18" s="944">
        <v>37797709</v>
      </c>
      <c r="R18" s="944">
        <v>37980697</v>
      </c>
      <c r="S18" s="944">
        <v>38164601</v>
      </c>
      <c r="T18" s="944">
        <v>38349424</v>
      </c>
      <c r="U18" s="944">
        <v>38535171</v>
      </c>
      <c r="V18" s="944">
        <v>38721847</v>
      </c>
      <c r="W18" s="944">
        <v>38909456</v>
      </c>
      <c r="X18" s="944">
        <v>39098003</v>
      </c>
      <c r="Y18" s="944">
        <v>39287493</v>
      </c>
      <c r="Z18" s="944">
        <v>39477931</v>
      </c>
    </row>
    <row r="19" spans="1:26" ht="13.5" customHeight="1">
      <c r="A19" s="932" t="s">
        <v>409</v>
      </c>
      <c r="B19" s="935" t="s">
        <v>171</v>
      </c>
      <c r="C19" s="944">
        <f aca="true" t="shared" si="4" ref="C19:Z19">C20+C24+C28+C29+C30</f>
        <v>1274073</v>
      </c>
      <c r="D19" s="944">
        <f t="shared" si="4"/>
        <v>1611132</v>
      </c>
      <c r="E19" s="944">
        <f t="shared" si="4"/>
        <v>1543530</v>
      </c>
      <c r="F19" s="944">
        <f t="shared" si="4"/>
        <v>1674270</v>
      </c>
      <c r="G19" s="944">
        <f t="shared" si="4"/>
        <v>1648310</v>
      </c>
      <c r="H19" s="944">
        <f t="shared" si="4"/>
        <v>1547578</v>
      </c>
      <c r="I19" s="944">
        <f t="shared" si="4"/>
        <v>1521618</v>
      </c>
      <c r="J19" s="944">
        <f t="shared" si="4"/>
        <v>1495658</v>
      </c>
      <c r="K19" s="944">
        <f t="shared" si="4"/>
        <v>1466688</v>
      </c>
      <c r="L19" s="944">
        <f t="shared" si="4"/>
        <v>1443731</v>
      </c>
      <c r="M19" s="944">
        <f t="shared" si="4"/>
        <v>1151719</v>
      </c>
      <c r="N19" s="944">
        <f t="shared" si="4"/>
        <v>1031770</v>
      </c>
      <c r="O19" s="944">
        <f t="shared" si="4"/>
        <v>818016</v>
      </c>
      <c r="P19" s="944">
        <f t="shared" si="4"/>
        <v>783974</v>
      </c>
      <c r="Q19" s="944">
        <f t="shared" si="4"/>
        <v>749933</v>
      </c>
      <c r="R19" s="944">
        <f t="shared" si="4"/>
        <v>715891</v>
      </c>
      <c r="S19" s="944">
        <f t="shared" si="4"/>
        <v>681850</v>
      </c>
      <c r="T19" s="944">
        <f t="shared" si="4"/>
        <v>647808</v>
      </c>
      <c r="U19" s="944">
        <f t="shared" si="4"/>
        <v>613766</v>
      </c>
      <c r="V19" s="944">
        <f t="shared" si="4"/>
        <v>579725</v>
      </c>
      <c r="W19" s="944">
        <f t="shared" si="4"/>
        <v>545683</v>
      </c>
      <c r="X19" s="944">
        <f t="shared" si="4"/>
        <v>511642</v>
      </c>
      <c r="Y19" s="944">
        <f t="shared" si="4"/>
        <v>4307600</v>
      </c>
      <c r="Z19" s="944">
        <f t="shared" si="4"/>
        <v>234499</v>
      </c>
    </row>
    <row r="20" spans="1:26" ht="26.25" customHeight="1">
      <c r="A20" s="932" t="s">
        <v>161</v>
      </c>
      <c r="B20" s="936" t="s">
        <v>172</v>
      </c>
      <c r="C20" s="939">
        <f aca="true" t="shared" si="5" ref="C20:Z20">SUM(C21:C23)</f>
        <v>1274073</v>
      </c>
      <c r="D20" s="939">
        <f t="shared" si="5"/>
        <v>1307244</v>
      </c>
      <c r="E20" s="939">
        <f t="shared" si="5"/>
        <v>1254642</v>
      </c>
      <c r="F20" s="939">
        <f t="shared" si="5"/>
        <v>1385382</v>
      </c>
      <c r="G20" s="939">
        <f t="shared" si="5"/>
        <v>1359422</v>
      </c>
      <c r="H20" s="939">
        <f t="shared" si="5"/>
        <v>1258690</v>
      </c>
      <c r="I20" s="939">
        <f t="shared" si="5"/>
        <v>1232730</v>
      </c>
      <c r="J20" s="939">
        <f t="shared" si="5"/>
        <v>1206770</v>
      </c>
      <c r="K20" s="939">
        <f t="shared" si="5"/>
        <v>1177800</v>
      </c>
      <c r="L20" s="939">
        <f t="shared" si="5"/>
        <v>1154843</v>
      </c>
      <c r="M20" s="939">
        <f t="shared" si="5"/>
        <v>1151719</v>
      </c>
      <c r="N20" s="939">
        <f t="shared" si="5"/>
        <v>1031770</v>
      </c>
      <c r="O20" s="939">
        <f t="shared" si="5"/>
        <v>818016</v>
      </c>
      <c r="P20" s="939">
        <f t="shared" si="5"/>
        <v>783974</v>
      </c>
      <c r="Q20" s="939">
        <f t="shared" si="5"/>
        <v>749933</v>
      </c>
      <c r="R20" s="939">
        <f t="shared" si="5"/>
        <v>715891</v>
      </c>
      <c r="S20" s="939">
        <f t="shared" si="5"/>
        <v>681850</v>
      </c>
      <c r="T20" s="939">
        <f t="shared" si="5"/>
        <v>647808</v>
      </c>
      <c r="U20" s="939">
        <f t="shared" si="5"/>
        <v>613766</v>
      </c>
      <c r="V20" s="939">
        <f t="shared" si="5"/>
        <v>579725</v>
      </c>
      <c r="W20" s="939">
        <f t="shared" si="5"/>
        <v>545683</v>
      </c>
      <c r="X20" s="939">
        <f t="shared" si="5"/>
        <v>511642</v>
      </c>
      <c r="Y20" s="939">
        <f t="shared" si="5"/>
        <v>4307600</v>
      </c>
      <c r="Z20" s="939">
        <f t="shared" si="5"/>
        <v>234499</v>
      </c>
    </row>
    <row r="21" spans="1:26" ht="13.5" customHeight="1">
      <c r="A21" s="932" t="s">
        <v>404</v>
      </c>
      <c r="B21" s="933" t="s">
        <v>173</v>
      </c>
      <c r="C21" s="939">
        <f>'Żródła finans.'!D27+'Żródła finans.'!D28</f>
        <v>674073</v>
      </c>
      <c r="D21" s="939">
        <f>'Żródła finans.'!E27+'Żródła finans.'!E28</f>
        <v>547847</v>
      </c>
      <c r="E21" s="939">
        <v>510292</v>
      </c>
      <c r="F21" s="939">
        <v>666992</v>
      </c>
      <c r="G21" s="939">
        <v>666992</v>
      </c>
      <c r="H21" s="939">
        <v>592220</v>
      </c>
      <c r="I21" s="939">
        <v>592220</v>
      </c>
      <c r="J21" s="939">
        <v>592220</v>
      </c>
      <c r="K21" s="939">
        <v>592220</v>
      </c>
      <c r="L21" s="939">
        <v>592220</v>
      </c>
      <c r="M21" s="939">
        <v>592220</v>
      </c>
      <c r="N21" s="939">
        <v>591920</v>
      </c>
      <c r="O21" s="939">
        <v>425520</v>
      </c>
      <c r="P21" s="939">
        <v>425520</v>
      </c>
      <c r="Q21" s="939">
        <v>425520</v>
      </c>
      <c r="R21" s="939">
        <v>425520</v>
      </c>
      <c r="S21" s="939">
        <v>425520</v>
      </c>
      <c r="T21" s="939">
        <v>425520</v>
      </c>
      <c r="U21" s="939">
        <v>425520</v>
      </c>
      <c r="V21" s="939">
        <v>425520</v>
      </c>
      <c r="W21" s="939">
        <v>425520</v>
      </c>
      <c r="X21" s="939">
        <v>425520</v>
      </c>
      <c r="Y21" s="939">
        <v>4255520</v>
      </c>
      <c r="Z21" s="939">
        <v>225480</v>
      </c>
    </row>
    <row r="22" spans="1:26" ht="24" customHeight="1">
      <c r="A22" s="932" t="s">
        <v>405</v>
      </c>
      <c r="B22" s="936" t="s">
        <v>174</v>
      </c>
      <c r="C22" s="933"/>
      <c r="D22" s="933"/>
      <c r="E22" s="933"/>
      <c r="F22" s="933"/>
      <c r="G22" s="933"/>
      <c r="H22" s="933"/>
      <c r="I22" s="933"/>
      <c r="J22" s="933"/>
      <c r="K22" s="933"/>
      <c r="L22" s="933"/>
      <c r="M22" s="933"/>
      <c r="N22" s="933"/>
      <c r="O22" s="933"/>
      <c r="P22" s="933"/>
      <c r="Q22" s="933"/>
      <c r="R22" s="933"/>
      <c r="S22" s="933"/>
      <c r="T22" s="933"/>
      <c r="U22" s="933"/>
      <c r="V22" s="933"/>
      <c r="W22" s="933"/>
      <c r="X22" s="933"/>
      <c r="Y22" s="933"/>
      <c r="Z22" s="933"/>
    </row>
    <row r="23" spans="1:26" ht="13.5" customHeight="1">
      <c r="A23" s="932" t="s">
        <v>406</v>
      </c>
      <c r="B23" s="933" t="s">
        <v>175</v>
      </c>
      <c r="C23" s="939">
        <v>600000</v>
      </c>
      <c r="D23" s="939">
        <f>'WYDATKI ukł.wyk.'!F211</f>
        <v>759397</v>
      </c>
      <c r="E23" s="939">
        <v>744350</v>
      </c>
      <c r="F23" s="939">
        <v>718390</v>
      </c>
      <c r="G23" s="939">
        <v>692430</v>
      </c>
      <c r="H23" s="939">
        <v>666470</v>
      </c>
      <c r="I23" s="939">
        <v>640510</v>
      </c>
      <c r="J23" s="939">
        <v>614550</v>
      </c>
      <c r="K23" s="939">
        <v>585580</v>
      </c>
      <c r="L23" s="939">
        <v>562623</v>
      </c>
      <c r="M23" s="939">
        <v>559499</v>
      </c>
      <c r="N23" s="939">
        <v>439850</v>
      </c>
      <c r="O23" s="939">
        <v>392496</v>
      </c>
      <c r="P23" s="939">
        <v>358454</v>
      </c>
      <c r="Q23" s="939">
        <v>324413</v>
      </c>
      <c r="R23" s="939">
        <v>290371</v>
      </c>
      <c r="S23" s="939">
        <v>256330</v>
      </c>
      <c r="T23" s="939">
        <v>222288</v>
      </c>
      <c r="U23" s="939">
        <v>188246</v>
      </c>
      <c r="V23" s="939">
        <v>154205</v>
      </c>
      <c r="W23" s="939">
        <v>120163</v>
      </c>
      <c r="X23" s="939">
        <v>86122</v>
      </c>
      <c r="Y23" s="939">
        <v>52080</v>
      </c>
      <c r="Z23" s="939">
        <v>9019</v>
      </c>
    </row>
    <row r="24" spans="1:26" ht="22.5" customHeight="1">
      <c r="A24" s="932" t="s">
        <v>166</v>
      </c>
      <c r="B24" s="936" t="s">
        <v>176</v>
      </c>
      <c r="C24" s="933"/>
      <c r="D24" s="933"/>
      <c r="E24" s="933"/>
      <c r="F24" s="933"/>
      <c r="G24" s="933"/>
      <c r="H24" s="933"/>
      <c r="I24" s="933"/>
      <c r="J24" s="933"/>
      <c r="K24" s="933"/>
      <c r="L24" s="933"/>
      <c r="M24" s="933"/>
      <c r="N24" s="933"/>
      <c r="O24" s="933"/>
      <c r="P24" s="933"/>
      <c r="Q24" s="933"/>
      <c r="R24" s="933"/>
      <c r="S24" s="933"/>
      <c r="T24" s="933"/>
      <c r="U24" s="933"/>
      <c r="V24" s="933"/>
      <c r="W24" s="933"/>
      <c r="X24" s="933"/>
      <c r="Y24" s="933"/>
      <c r="Z24" s="933"/>
    </row>
    <row r="25" spans="1:26" ht="13.5" customHeight="1">
      <c r="A25" s="932" t="s">
        <v>404</v>
      </c>
      <c r="B25" s="933" t="s">
        <v>173</v>
      </c>
      <c r="C25" s="933"/>
      <c r="D25" s="933"/>
      <c r="E25" s="933"/>
      <c r="F25" s="933"/>
      <c r="G25" s="933"/>
      <c r="H25" s="933"/>
      <c r="I25" s="933"/>
      <c r="J25" s="933"/>
      <c r="K25" s="933"/>
      <c r="L25" s="933"/>
      <c r="M25" s="933"/>
      <c r="N25" s="933"/>
      <c r="O25" s="933"/>
      <c r="P25" s="933"/>
      <c r="Q25" s="933"/>
      <c r="R25" s="933"/>
      <c r="S25" s="933"/>
      <c r="T25" s="933"/>
      <c r="U25" s="933"/>
      <c r="V25" s="933"/>
      <c r="W25" s="933"/>
      <c r="X25" s="933"/>
      <c r="Y25" s="933"/>
      <c r="Z25" s="933"/>
    </row>
    <row r="26" spans="1:26" ht="49.5" customHeight="1">
      <c r="A26" s="932" t="s">
        <v>405</v>
      </c>
      <c r="B26" s="936" t="s">
        <v>174</v>
      </c>
      <c r="C26" s="933"/>
      <c r="D26" s="933"/>
      <c r="E26" s="933"/>
      <c r="F26" s="933"/>
      <c r="G26" s="933"/>
      <c r="H26" s="933"/>
      <c r="I26" s="933"/>
      <c r="J26" s="933"/>
      <c r="K26" s="933"/>
      <c r="L26" s="933"/>
      <c r="M26" s="933"/>
      <c r="N26" s="933"/>
      <c r="O26" s="933"/>
      <c r="P26" s="933"/>
      <c r="Q26" s="933"/>
      <c r="R26" s="933"/>
      <c r="S26" s="933"/>
      <c r="T26" s="933"/>
      <c r="U26" s="933"/>
      <c r="V26" s="933"/>
      <c r="W26" s="933"/>
      <c r="X26" s="933"/>
      <c r="Y26" s="933"/>
      <c r="Z26" s="933"/>
    </row>
    <row r="27" spans="1:26" ht="13.5" customHeight="1">
      <c r="A27" s="932" t="s">
        <v>406</v>
      </c>
      <c r="B27" s="933" t="s">
        <v>175</v>
      </c>
      <c r="C27" s="939"/>
      <c r="D27" s="933"/>
      <c r="E27" s="933"/>
      <c r="F27" s="933"/>
      <c r="G27" s="933"/>
      <c r="H27" s="933"/>
      <c r="I27" s="933"/>
      <c r="J27" s="933"/>
      <c r="K27" s="933"/>
      <c r="L27" s="933"/>
      <c r="M27" s="933"/>
      <c r="N27" s="933"/>
      <c r="O27" s="933"/>
      <c r="P27" s="933"/>
      <c r="Q27" s="933"/>
      <c r="R27" s="933"/>
      <c r="S27" s="933"/>
      <c r="T27" s="933"/>
      <c r="U27" s="933"/>
      <c r="V27" s="933"/>
      <c r="W27" s="933"/>
      <c r="X27" s="933"/>
      <c r="Y27" s="933"/>
      <c r="Z27" s="933"/>
    </row>
    <row r="28" spans="1:26" ht="13.5" customHeight="1">
      <c r="A28" s="932" t="s">
        <v>168</v>
      </c>
      <c r="B28" s="933" t="s">
        <v>177</v>
      </c>
      <c r="C28" s="939"/>
      <c r="D28" s="939">
        <f>'WYDATKI ukł.wyk.'!F215</f>
        <v>288888</v>
      </c>
      <c r="E28" s="939">
        <v>288888</v>
      </c>
      <c r="F28" s="939">
        <v>288888</v>
      </c>
      <c r="G28" s="939">
        <v>288888</v>
      </c>
      <c r="H28" s="939">
        <v>288888</v>
      </c>
      <c r="I28" s="939">
        <v>288888</v>
      </c>
      <c r="J28" s="939">
        <v>288888</v>
      </c>
      <c r="K28" s="939">
        <v>288888</v>
      </c>
      <c r="L28" s="939">
        <v>288888</v>
      </c>
      <c r="M28" s="933"/>
      <c r="N28" s="933"/>
      <c r="O28" s="933"/>
      <c r="P28" s="933"/>
      <c r="Q28" s="933"/>
      <c r="R28" s="933"/>
      <c r="S28" s="933"/>
      <c r="T28" s="933"/>
      <c r="U28" s="933"/>
      <c r="V28" s="933"/>
      <c r="W28" s="933"/>
      <c r="X28" s="933"/>
      <c r="Y28" s="933"/>
      <c r="Z28" s="933"/>
    </row>
    <row r="29" spans="1:26" ht="13.5" customHeight="1">
      <c r="A29" s="932" t="s">
        <v>178</v>
      </c>
      <c r="B29" s="933" t="s">
        <v>179</v>
      </c>
      <c r="C29" s="933"/>
      <c r="D29" s="933"/>
      <c r="E29" s="933"/>
      <c r="F29" s="933"/>
      <c r="G29" s="933"/>
      <c r="H29" s="933"/>
      <c r="I29" s="933"/>
      <c r="J29" s="933"/>
      <c r="K29" s="933"/>
      <c r="L29" s="933"/>
      <c r="M29" s="933"/>
      <c r="N29" s="933"/>
      <c r="O29" s="933"/>
      <c r="P29" s="933"/>
      <c r="Q29" s="933"/>
      <c r="R29" s="933"/>
      <c r="S29" s="933"/>
      <c r="T29" s="933"/>
      <c r="U29" s="933"/>
      <c r="V29" s="933"/>
      <c r="W29" s="933"/>
      <c r="X29" s="933"/>
      <c r="Y29" s="933"/>
      <c r="Z29" s="933"/>
    </row>
    <row r="30" spans="1:26" ht="13.5" customHeight="1">
      <c r="A30" s="932" t="s">
        <v>126</v>
      </c>
      <c r="B30" s="933" t="s">
        <v>127</v>
      </c>
      <c r="C30" s="939"/>
      <c r="D30" s="939">
        <f>'Żródła finans.'!E30</f>
        <v>15000</v>
      </c>
      <c r="E30" s="933"/>
      <c r="F30" s="933"/>
      <c r="G30" s="933"/>
      <c r="H30" s="933"/>
      <c r="I30" s="933"/>
      <c r="J30" s="933"/>
      <c r="K30" s="933"/>
      <c r="L30" s="933"/>
      <c r="M30" s="933"/>
      <c r="N30" s="933"/>
      <c r="O30" s="933"/>
      <c r="P30" s="933"/>
      <c r="Q30" s="933"/>
      <c r="R30" s="933"/>
      <c r="S30" s="933"/>
      <c r="T30" s="933"/>
      <c r="U30" s="933"/>
      <c r="V30" s="933"/>
      <c r="W30" s="933"/>
      <c r="X30" s="933"/>
      <c r="Y30" s="933"/>
      <c r="Z30" s="933"/>
    </row>
    <row r="31" spans="1:26" ht="13.5" customHeight="1">
      <c r="A31" s="932" t="s">
        <v>431</v>
      </c>
      <c r="B31" s="935" t="s">
        <v>180</v>
      </c>
      <c r="C31" s="944">
        <f>C11-C18</f>
        <v>-379049</v>
      </c>
      <c r="D31" s="944">
        <f>D11-D18</f>
        <v>562847</v>
      </c>
      <c r="E31" s="944">
        <f aca="true" t="shared" si="6" ref="E31:Z31">E11-E18</f>
        <v>156817</v>
      </c>
      <c r="F31" s="944">
        <f t="shared" si="6"/>
        <v>183821</v>
      </c>
      <c r="G31" s="944">
        <f t="shared" si="6"/>
        <v>492842</v>
      </c>
      <c r="H31" s="944">
        <f t="shared" si="6"/>
        <v>408562</v>
      </c>
      <c r="I31" s="944">
        <f t="shared" si="6"/>
        <v>1175615</v>
      </c>
      <c r="J31" s="944">
        <f t="shared" si="6"/>
        <v>1940642</v>
      </c>
      <c r="K31" s="944">
        <f t="shared" si="6"/>
        <v>2397285</v>
      </c>
      <c r="L31" s="944">
        <f t="shared" si="6"/>
        <v>2741190</v>
      </c>
      <c r="M31" s="944">
        <f>M11-M18</f>
        <v>3092507</v>
      </c>
      <c r="N31" s="944">
        <f t="shared" si="6"/>
        <v>3451387</v>
      </c>
      <c r="O31" s="944">
        <f t="shared" si="6"/>
        <v>3463182</v>
      </c>
      <c r="P31" s="944">
        <f t="shared" si="6"/>
        <v>3834109</v>
      </c>
      <c r="Q31" s="944">
        <f t="shared" si="6"/>
        <v>4213042</v>
      </c>
      <c r="R31" s="944">
        <f t="shared" si="6"/>
        <v>4553039</v>
      </c>
      <c r="S31" s="944">
        <f t="shared" si="6"/>
        <v>4948009</v>
      </c>
      <c r="T31" s="944">
        <f>T11-T18</f>
        <v>5351488</v>
      </c>
      <c r="U31" s="944">
        <f t="shared" si="6"/>
        <v>5763650</v>
      </c>
      <c r="V31" s="944">
        <f t="shared" si="6"/>
        <v>6184677</v>
      </c>
      <c r="W31" s="944">
        <f t="shared" si="6"/>
        <v>6614753</v>
      </c>
      <c r="X31" s="944">
        <f>X11-X18</f>
        <v>7054066</v>
      </c>
      <c r="Y31" s="944">
        <f t="shared" si="6"/>
        <v>7502809</v>
      </c>
      <c r="Z31" s="944">
        <f t="shared" si="6"/>
        <v>7961179</v>
      </c>
    </row>
    <row r="32" spans="1:26" ht="13.5" customHeight="1">
      <c r="A32" s="932" t="s">
        <v>181</v>
      </c>
      <c r="B32" s="935" t="s">
        <v>182</v>
      </c>
      <c r="C32" s="944">
        <f>'Prognoza dł. 8'!D32</f>
        <v>11443563</v>
      </c>
      <c r="D32" s="944">
        <f>'Prognoza dł. 8'!E32</f>
        <v>10895716</v>
      </c>
      <c r="E32" s="944">
        <f>'Prognoza dł. 8'!F32</f>
        <v>10385424</v>
      </c>
      <c r="F32" s="944">
        <f>'Prognoza dł. 8'!G32</f>
        <v>9718432</v>
      </c>
      <c r="G32" s="944">
        <f>'Prognoza dł. 8'!H32</f>
        <v>9051440</v>
      </c>
      <c r="H32" s="944">
        <f>'Prognoza dł. 8'!I32</f>
        <v>8459220</v>
      </c>
      <c r="I32" s="944">
        <f>'Prognoza dł. 8'!J32</f>
        <v>7867000</v>
      </c>
      <c r="J32" s="944">
        <f>'Prognoza dł. 8'!K32</f>
        <v>7274780</v>
      </c>
      <c r="K32" s="944">
        <f>'Prognoza dł. 8'!L32</f>
        <v>6682560</v>
      </c>
      <c r="L32" s="944">
        <f>'Prognoza dł. 8'!M32</f>
        <v>6090340</v>
      </c>
      <c r="M32" s="944">
        <f>'Prognoza dł. 8'!N32</f>
        <v>5498120</v>
      </c>
      <c r="N32" s="944">
        <f>'Prognoza dł. 8'!O32</f>
        <v>4906200</v>
      </c>
      <c r="O32" s="944">
        <f>'Prognoza dł. 8'!P32</f>
        <v>4480680</v>
      </c>
      <c r="P32" s="944">
        <f>'Prognoza dł. 8'!Q32</f>
        <v>4055160</v>
      </c>
      <c r="Q32" s="944">
        <f>'Prognoza dł. 8'!R32</f>
        <v>3629640</v>
      </c>
      <c r="R32" s="944">
        <f>'Prognoza dł. 8'!S32</f>
        <v>3204120</v>
      </c>
      <c r="S32" s="944">
        <f>'Prognoza dł. 8'!T32</f>
        <v>2778600</v>
      </c>
      <c r="T32" s="944">
        <f>'Prognoza dł. 8'!U32</f>
        <v>2353080</v>
      </c>
      <c r="U32" s="944">
        <f>'Prognoza dł. 8'!V32</f>
        <v>1927560</v>
      </c>
      <c r="V32" s="944">
        <f>'Prognoza dł. 8'!W32</f>
        <v>1502040</v>
      </c>
      <c r="W32" s="944">
        <f>'Prognoza dł. 8'!X32</f>
        <v>1076520</v>
      </c>
      <c r="X32" s="944">
        <f>'Prognoza dł. 8'!Y32</f>
        <v>651000</v>
      </c>
      <c r="Y32" s="944">
        <f>'Prognoza dł. 8'!Z32</f>
        <v>225480</v>
      </c>
      <c r="Z32" s="944">
        <f>'Prognoza dł. 8'!AA32</f>
        <v>0</v>
      </c>
    </row>
    <row r="33" spans="1:26" ht="50.25" customHeight="1">
      <c r="A33" s="932" t="s">
        <v>404</v>
      </c>
      <c r="B33" s="936" t="s">
        <v>183</v>
      </c>
      <c r="C33" s="933"/>
      <c r="D33" s="933"/>
      <c r="E33" s="933"/>
      <c r="F33" s="933"/>
      <c r="G33" s="933"/>
      <c r="H33" s="933"/>
      <c r="I33" s="933"/>
      <c r="J33" s="933"/>
      <c r="K33" s="933"/>
      <c r="L33" s="933"/>
      <c r="M33" s="933"/>
      <c r="N33" s="933"/>
      <c r="O33" s="933"/>
      <c r="P33" s="933"/>
      <c r="Q33" s="933"/>
      <c r="R33" s="933"/>
      <c r="S33" s="933"/>
      <c r="T33" s="933"/>
      <c r="U33" s="933"/>
      <c r="V33" s="933"/>
      <c r="W33" s="933"/>
      <c r="X33" s="933"/>
      <c r="Y33" s="933"/>
      <c r="Z33" s="933"/>
    </row>
    <row r="34" spans="1:26" ht="20.25" customHeight="1">
      <c r="A34" s="932" t="s">
        <v>184</v>
      </c>
      <c r="B34" s="935" t="s">
        <v>188</v>
      </c>
      <c r="C34" s="945">
        <f>C32/C11*100</f>
        <v>29.688794345568244</v>
      </c>
      <c r="D34" s="945">
        <f>D32/D11*100</f>
        <v>30.731234025462236</v>
      </c>
      <c r="E34" s="945">
        <f aca="true" t="shared" si="7" ref="E34:Z34">E32/E11*100</f>
        <v>28.85209146481353</v>
      </c>
      <c r="F34" s="945">
        <f t="shared" si="7"/>
        <v>26.53297133463486</v>
      </c>
      <c r="G34" s="945">
        <f t="shared" si="7"/>
        <v>24.39084002081703</v>
      </c>
      <c r="H34" s="945">
        <f t="shared" si="7"/>
        <v>22.498043407301896</v>
      </c>
      <c r="I34" s="945">
        <f t="shared" si="7"/>
        <v>20.649750827564947</v>
      </c>
      <c r="J34" s="945">
        <f t="shared" si="7"/>
        <v>18.84527676453468</v>
      </c>
      <c r="K34" s="945">
        <f t="shared" si="7"/>
        <v>17.083945369395042</v>
      </c>
      <c r="L34" s="945">
        <f t="shared" si="7"/>
        <v>15.36508765608506</v>
      </c>
      <c r="M34" s="945">
        <f t="shared" si="7"/>
        <v>13.688042916480361</v>
      </c>
      <c r="N34" s="945">
        <f t="shared" si="7"/>
        <v>12.052894770627729</v>
      </c>
      <c r="O34" s="945">
        <f t="shared" si="7"/>
        <v>10.9558399946794</v>
      </c>
      <c r="P34" s="945">
        <f t="shared" si="7"/>
        <v>9.78331830308224</v>
      </c>
      <c r="Q34" s="945">
        <f t="shared" si="7"/>
        <v>8.63978841987376</v>
      </c>
      <c r="R34" s="945">
        <f t="shared" si="7"/>
        <v>7.533126175419906</v>
      </c>
      <c r="S34" s="945">
        <f t="shared" si="7"/>
        <v>6.44498210616337</v>
      </c>
      <c r="T34" s="945">
        <f t="shared" si="7"/>
        <v>5.38451005324557</v>
      </c>
      <c r="U34" s="945">
        <f t="shared" si="7"/>
        <v>4.351267046136511</v>
      </c>
      <c r="V34" s="945">
        <f t="shared" si="7"/>
        <v>3.3448146643458756</v>
      </c>
      <c r="W34" s="945">
        <f t="shared" si="7"/>
        <v>2.36471983511015</v>
      </c>
      <c r="X34" s="945">
        <f t="shared" si="7"/>
        <v>1.4105543133938372</v>
      </c>
      <c r="Y34" s="945">
        <f t="shared" si="7"/>
        <v>0.4818947310919259</v>
      </c>
      <c r="Z34" s="945">
        <f t="shared" si="7"/>
        <v>0</v>
      </c>
    </row>
    <row r="35" spans="1:26" ht="26.25" customHeight="1">
      <c r="A35" s="932" t="s">
        <v>185</v>
      </c>
      <c r="B35" s="937" t="s">
        <v>189</v>
      </c>
      <c r="C35" s="945">
        <f>C21/C11*100</f>
        <v>1.7487922835658982</v>
      </c>
      <c r="D35" s="945">
        <f>D21/D11*100</f>
        <v>1.5451957785195034</v>
      </c>
      <c r="E35" s="945">
        <f aca="true" t="shared" si="8" ref="E35:Z35">E21/E11*100</f>
        <v>1.4176591593913377</v>
      </c>
      <c r="F35" s="945">
        <f t="shared" si="8"/>
        <v>1.8210015377409416</v>
      </c>
      <c r="G35" s="945">
        <f t="shared" si="8"/>
        <v>1.7973377901377894</v>
      </c>
      <c r="H35" s="945">
        <f t="shared" si="8"/>
        <v>1.575061443805969</v>
      </c>
      <c r="I35" s="945">
        <f t="shared" si="8"/>
        <v>1.5544928734079717</v>
      </c>
      <c r="J35" s="945">
        <f t="shared" si="8"/>
        <v>1.5341425865102076</v>
      </c>
      <c r="K35" s="945">
        <f t="shared" si="8"/>
        <v>1.5140087222057312</v>
      </c>
      <c r="L35" s="945">
        <f t="shared" si="8"/>
        <v>1.49408936310398</v>
      </c>
      <c r="M35" s="945">
        <f t="shared" si="8"/>
        <v>1.4743826573443288</v>
      </c>
      <c r="N35" s="945">
        <f t="shared" si="8"/>
        <v>1.4541497437181452</v>
      </c>
      <c r="O35" s="945">
        <f t="shared" si="8"/>
        <v>1.0404512338609269</v>
      </c>
      <c r="P35" s="945">
        <f t="shared" si="8"/>
        <v>1.0265926879155334</v>
      </c>
      <c r="Q35" s="945">
        <f t="shared" si="8"/>
        <v>1.0128835830618692</v>
      </c>
      <c r="R35" s="945">
        <f t="shared" si="8"/>
        <v>1.0004294003235457</v>
      </c>
      <c r="S35" s="945">
        <f t="shared" si="8"/>
        <v>0.9869966118961482</v>
      </c>
      <c r="T35" s="945">
        <f t="shared" si="8"/>
        <v>0.9737096562195315</v>
      </c>
      <c r="U35" s="945">
        <f t="shared" si="8"/>
        <v>0.9605673252568053</v>
      </c>
      <c r="V35" s="945">
        <f t="shared" si="8"/>
        <v>0.947568331051408</v>
      </c>
      <c r="W35" s="945">
        <f t="shared" si="8"/>
        <v>0.9347114630811048</v>
      </c>
      <c r="X35" s="945">
        <f t="shared" si="8"/>
        <v>0.9219955014367829</v>
      </c>
      <c r="Y35" s="945">
        <f t="shared" si="8"/>
        <v>9.094876113430514</v>
      </c>
      <c r="Z35" s="945">
        <f t="shared" si="8"/>
        <v>0.47530402657216797</v>
      </c>
    </row>
    <row r="36" spans="1:26" ht="25.5" customHeight="1">
      <c r="A36" s="932" t="s">
        <v>186</v>
      </c>
      <c r="B36" s="937" t="s">
        <v>190</v>
      </c>
      <c r="C36" s="945">
        <f>C32/C11*100</f>
        <v>29.688794345568244</v>
      </c>
      <c r="D36" s="945">
        <f>D32/D11*100</f>
        <v>30.731234025462236</v>
      </c>
      <c r="E36" s="945">
        <f aca="true" t="shared" si="9" ref="E36:Z36">E32/E11*100</f>
        <v>28.85209146481353</v>
      </c>
      <c r="F36" s="945">
        <f t="shared" si="9"/>
        <v>26.53297133463486</v>
      </c>
      <c r="G36" s="945">
        <f t="shared" si="9"/>
        <v>24.39084002081703</v>
      </c>
      <c r="H36" s="945">
        <f t="shared" si="9"/>
        <v>22.498043407301896</v>
      </c>
      <c r="I36" s="945">
        <f t="shared" si="9"/>
        <v>20.649750827564947</v>
      </c>
      <c r="J36" s="945">
        <f t="shared" si="9"/>
        <v>18.84527676453468</v>
      </c>
      <c r="K36" s="945">
        <f t="shared" si="9"/>
        <v>17.083945369395042</v>
      </c>
      <c r="L36" s="945">
        <f t="shared" si="9"/>
        <v>15.36508765608506</v>
      </c>
      <c r="M36" s="945">
        <f t="shared" si="9"/>
        <v>13.688042916480361</v>
      </c>
      <c r="N36" s="945">
        <f t="shared" si="9"/>
        <v>12.052894770627729</v>
      </c>
      <c r="O36" s="945">
        <f t="shared" si="9"/>
        <v>10.9558399946794</v>
      </c>
      <c r="P36" s="945">
        <f t="shared" si="9"/>
        <v>9.78331830308224</v>
      </c>
      <c r="Q36" s="945">
        <f t="shared" si="9"/>
        <v>8.63978841987376</v>
      </c>
      <c r="R36" s="945">
        <f t="shared" si="9"/>
        <v>7.533126175419906</v>
      </c>
      <c r="S36" s="945">
        <f t="shared" si="9"/>
        <v>6.44498210616337</v>
      </c>
      <c r="T36" s="945">
        <f t="shared" si="9"/>
        <v>5.38451005324557</v>
      </c>
      <c r="U36" s="945">
        <f t="shared" si="9"/>
        <v>4.351267046136511</v>
      </c>
      <c r="V36" s="945">
        <f t="shared" si="9"/>
        <v>3.3448146643458756</v>
      </c>
      <c r="W36" s="945">
        <f t="shared" si="9"/>
        <v>2.36471983511015</v>
      </c>
      <c r="X36" s="945">
        <f t="shared" si="9"/>
        <v>1.4105543133938372</v>
      </c>
      <c r="Y36" s="945">
        <f t="shared" si="9"/>
        <v>0.4818947310919259</v>
      </c>
      <c r="Z36" s="945">
        <f t="shared" si="9"/>
        <v>0</v>
      </c>
    </row>
    <row r="37" spans="1:26" ht="25.5" customHeight="1" thickBot="1">
      <c r="A37" s="948" t="s">
        <v>187</v>
      </c>
      <c r="B37" s="938" t="s">
        <v>191</v>
      </c>
      <c r="C37" s="946">
        <f>C21/C11*100</f>
        <v>1.7487922835658982</v>
      </c>
      <c r="D37" s="946">
        <f>D21/D11*100</f>
        <v>1.5451957785195034</v>
      </c>
      <c r="E37" s="946">
        <f aca="true" t="shared" si="10" ref="E37:Z37">E21/E11*100</f>
        <v>1.4176591593913377</v>
      </c>
      <c r="F37" s="946">
        <f t="shared" si="10"/>
        <v>1.8210015377409416</v>
      </c>
      <c r="G37" s="946">
        <f t="shared" si="10"/>
        <v>1.7973377901377894</v>
      </c>
      <c r="H37" s="946">
        <f t="shared" si="10"/>
        <v>1.575061443805969</v>
      </c>
      <c r="I37" s="946">
        <f t="shared" si="10"/>
        <v>1.5544928734079717</v>
      </c>
      <c r="J37" s="946">
        <f t="shared" si="10"/>
        <v>1.5341425865102076</v>
      </c>
      <c r="K37" s="946">
        <f t="shared" si="10"/>
        <v>1.5140087222057312</v>
      </c>
      <c r="L37" s="946">
        <f t="shared" si="10"/>
        <v>1.49408936310398</v>
      </c>
      <c r="M37" s="946">
        <f t="shared" si="10"/>
        <v>1.4743826573443288</v>
      </c>
      <c r="N37" s="946">
        <f t="shared" si="10"/>
        <v>1.4541497437181452</v>
      </c>
      <c r="O37" s="946">
        <f t="shared" si="10"/>
        <v>1.0404512338609269</v>
      </c>
      <c r="P37" s="946">
        <f t="shared" si="10"/>
        <v>1.0265926879155334</v>
      </c>
      <c r="Q37" s="946">
        <f t="shared" si="10"/>
        <v>1.0128835830618692</v>
      </c>
      <c r="R37" s="946">
        <f t="shared" si="10"/>
        <v>1.0004294003235457</v>
      </c>
      <c r="S37" s="946">
        <f t="shared" si="10"/>
        <v>0.9869966118961482</v>
      </c>
      <c r="T37" s="946">
        <f t="shared" si="10"/>
        <v>0.9737096562195315</v>
      </c>
      <c r="U37" s="946">
        <f t="shared" si="10"/>
        <v>0.9605673252568053</v>
      </c>
      <c r="V37" s="946">
        <f t="shared" si="10"/>
        <v>0.947568331051408</v>
      </c>
      <c r="W37" s="946">
        <f t="shared" si="10"/>
        <v>0.9347114630811048</v>
      </c>
      <c r="X37" s="946">
        <f t="shared" si="10"/>
        <v>0.9219955014367829</v>
      </c>
      <c r="Y37" s="946">
        <f t="shared" si="10"/>
        <v>9.094876113430514</v>
      </c>
      <c r="Z37" s="946">
        <f t="shared" si="10"/>
        <v>0.47530402657216797</v>
      </c>
    </row>
  </sheetData>
  <mergeCells count="7">
    <mergeCell ref="A6:L6"/>
    <mergeCell ref="E8:L8"/>
    <mergeCell ref="M8:Z8"/>
    <mergeCell ref="C8:C9"/>
    <mergeCell ref="B8:B9"/>
    <mergeCell ref="A8:A9"/>
    <mergeCell ref="D8:D9"/>
  </mergeCells>
  <printOptions horizontalCentered="1" verticalCentered="1"/>
  <pageMargins left="0.1968503937007874" right="0.3937007874015748" top="0.25" bottom="0.59" header="0.17" footer="0.19"/>
  <pageSetup fitToHeight="2" fitToWidth="2" horizontalDpi="600" verticalDpi="600" orientation="landscape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29"/>
  <sheetViews>
    <sheetView workbookViewId="0" topLeftCell="A181">
      <selection activeCell="C200" sqref="C20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1.75390625" style="0" customWidth="1"/>
    <col min="4" max="5" width="11.25390625" style="0" customWidth="1"/>
    <col min="6" max="6" width="9.875" style="0" customWidth="1"/>
  </cols>
  <sheetData>
    <row r="1" spans="1:6" ht="18">
      <c r="A1" s="866"/>
      <c r="B1" s="1032" t="s">
        <v>610</v>
      </c>
      <c r="C1" s="1032"/>
      <c r="D1" s="1032"/>
      <c r="E1" s="1032"/>
      <c r="F1" s="866"/>
    </row>
    <row r="2" spans="1:6" ht="18">
      <c r="A2" s="866"/>
      <c r="B2" s="867"/>
      <c r="C2" s="867"/>
      <c r="D2" s="867"/>
      <c r="E2" s="866"/>
      <c r="F2" s="866"/>
    </row>
    <row r="3" spans="1:7" ht="13.5" thickBot="1">
      <c r="A3" s="869"/>
      <c r="B3" s="866"/>
      <c r="C3" s="866"/>
      <c r="D3" s="866"/>
      <c r="E3" s="868" t="s">
        <v>448</v>
      </c>
      <c r="F3" s="869"/>
      <c r="G3" s="866"/>
    </row>
    <row r="4" spans="1:6" s="871" customFormat="1" ht="15" customHeight="1">
      <c r="A4" s="1033" t="s">
        <v>395</v>
      </c>
      <c r="B4" s="1001" t="s">
        <v>543</v>
      </c>
      <c r="C4" s="870" t="s">
        <v>259</v>
      </c>
      <c r="D4" s="870" t="s">
        <v>829</v>
      </c>
      <c r="E4" s="999" t="s">
        <v>454</v>
      </c>
      <c r="F4" s="1028" t="s">
        <v>260</v>
      </c>
    </row>
    <row r="5" spans="1:6" s="871" customFormat="1" ht="15" customHeight="1">
      <c r="A5" s="1034"/>
      <c r="B5" s="1002"/>
      <c r="C5" s="82"/>
      <c r="D5" s="82" t="s">
        <v>21</v>
      </c>
      <c r="E5" s="1002"/>
      <c r="F5" s="1029"/>
    </row>
    <row r="6" spans="1:6" s="53" customFormat="1" ht="7.5" customHeight="1">
      <c r="A6" s="872">
        <v>1</v>
      </c>
      <c r="B6" s="21">
        <v>2</v>
      </c>
      <c r="C6" s="21">
        <v>3</v>
      </c>
      <c r="D6" s="21">
        <v>4</v>
      </c>
      <c r="E6" s="21">
        <v>5</v>
      </c>
      <c r="F6" s="873">
        <v>6</v>
      </c>
    </row>
    <row r="7" spans="1:6" ht="13.5" customHeight="1" thickBot="1">
      <c r="A7" s="422" t="s">
        <v>616</v>
      </c>
      <c r="B7" s="886"/>
      <c r="C7" s="423" t="s">
        <v>617</v>
      </c>
      <c r="D7" s="887">
        <f>D8+D11</f>
        <v>60646</v>
      </c>
      <c r="E7" s="887">
        <f>E8+E11</f>
        <v>43013</v>
      </c>
      <c r="F7" s="888">
        <f aca="true" t="shared" si="0" ref="F7:F38">E7/D7</f>
        <v>0.7092471061570426</v>
      </c>
    </row>
    <row r="8" spans="1:6" ht="13.5" customHeight="1">
      <c r="A8" s="979"/>
      <c r="B8" s="424" t="s">
        <v>619</v>
      </c>
      <c r="C8" s="425" t="s">
        <v>261</v>
      </c>
      <c r="D8" s="889">
        <f>D9</f>
        <v>44000</v>
      </c>
      <c r="E8" s="889">
        <f>E9</f>
        <v>25000</v>
      </c>
      <c r="F8" s="890">
        <f t="shared" si="0"/>
        <v>0.5681818181818182</v>
      </c>
    </row>
    <row r="9" spans="1:6" ht="13.5" customHeight="1">
      <c r="A9" s="891"/>
      <c r="B9" s="394"/>
      <c r="C9" s="874" t="s">
        <v>262</v>
      </c>
      <c r="D9" s="892">
        <f>D10</f>
        <v>44000</v>
      </c>
      <c r="E9" s="892">
        <f>E10</f>
        <v>25000</v>
      </c>
      <c r="F9" s="893">
        <f t="shared" si="0"/>
        <v>0.5681818181818182</v>
      </c>
    </row>
    <row r="10" spans="1:6" ht="13.5" customHeight="1">
      <c r="A10" s="891"/>
      <c r="B10" s="895"/>
      <c r="C10" s="895" t="s">
        <v>263</v>
      </c>
      <c r="D10" s="892">
        <f>'Dochody-ukł.wykon.'!E14</f>
        <v>44000</v>
      </c>
      <c r="E10" s="892">
        <f>'Dochody-ukł.wykon.'!F14</f>
        <v>25000</v>
      </c>
      <c r="F10" s="896">
        <f t="shared" si="0"/>
        <v>0.5681818181818182</v>
      </c>
    </row>
    <row r="11" spans="1:6" ht="13.5" customHeight="1">
      <c r="A11" s="891"/>
      <c r="B11" s="875" t="s">
        <v>620</v>
      </c>
      <c r="C11" s="897" t="s">
        <v>264</v>
      </c>
      <c r="D11" s="898">
        <f>D13</f>
        <v>16646</v>
      </c>
      <c r="E11" s="898">
        <f>E13</f>
        <v>18013</v>
      </c>
      <c r="F11" s="899">
        <f t="shared" si="0"/>
        <v>1.0821218310705274</v>
      </c>
    </row>
    <row r="12" spans="1:6" ht="13.5" customHeight="1">
      <c r="A12" s="891"/>
      <c r="B12" s="876"/>
      <c r="C12" s="895" t="s">
        <v>265</v>
      </c>
      <c r="D12" s="892">
        <f>D13</f>
        <v>16646</v>
      </c>
      <c r="E12" s="892">
        <f>E13</f>
        <v>18013</v>
      </c>
      <c r="F12" s="896">
        <f t="shared" si="0"/>
        <v>1.0821218310705274</v>
      </c>
    </row>
    <row r="13" spans="1:6" ht="13.5" customHeight="1">
      <c r="A13" s="891"/>
      <c r="B13" s="900"/>
      <c r="C13" s="895" t="s">
        <v>266</v>
      </c>
      <c r="D13" s="892">
        <f>'Dochody-ukł.wykon.'!E18</f>
        <v>16646</v>
      </c>
      <c r="E13" s="892">
        <f>'Dochody-ukł.wykon.'!F18</f>
        <v>18013</v>
      </c>
      <c r="F13" s="896">
        <f t="shared" si="0"/>
        <v>1.0821218310705274</v>
      </c>
    </row>
    <row r="14" spans="1:6" ht="13.5" customHeight="1" thickBot="1">
      <c r="A14" s="978" t="s">
        <v>622</v>
      </c>
      <c r="B14" s="901"/>
      <c r="C14" s="175" t="s">
        <v>623</v>
      </c>
      <c r="D14" s="902">
        <f>D15</f>
        <v>188635</v>
      </c>
      <c r="E14" s="902">
        <f>E15</f>
        <v>188635</v>
      </c>
      <c r="F14" s="903">
        <f t="shared" si="0"/>
        <v>1</v>
      </c>
    </row>
    <row r="15" spans="1:6" ht="13.5" customHeight="1">
      <c r="A15" s="979"/>
      <c r="B15" s="878" t="s">
        <v>624</v>
      </c>
      <c r="C15" s="904" t="s">
        <v>267</v>
      </c>
      <c r="D15" s="889">
        <f>D16</f>
        <v>188635</v>
      </c>
      <c r="E15" s="889">
        <f>E16</f>
        <v>188635</v>
      </c>
      <c r="F15" s="890">
        <f t="shared" si="0"/>
        <v>1</v>
      </c>
    </row>
    <row r="16" spans="1:6" ht="13.5" customHeight="1">
      <c r="A16" s="891"/>
      <c r="B16" s="900"/>
      <c r="C16" s="895" t="s">
        <v>268</v>
      </c>
      <c r="D16" s="892">
        <f>'Dochody-ukł.wykon.'!E23</f>
        <v>188635</v>
      </c>
      <c r="E16" s="892">
        <f>'Dochody-ukł.wykon.'!F23</f>
        <v>188635</v>
      </c>
      <c r="F16" s="896">
        <f t="shared" si="0"/>
        <v>1</v>
      </c>
    </row>
    <row r="17" spans="1:6" ht="13.5" customHeight="1" thickBot="1">
      <c r="A17" s="978" t="s">
        <v>269</v>
      </c>
      <c r="B17" s="901"/>
      <c r="C17" s="905" t="s">
        <v>627</v>
      </c>
      <c r="D17" s="902">
        <f>D18+D24+D28</f>
        <v>567382</v>
      </c>
      <c r="E17" s="902">
        <f>E18+E24+E28</f>
        <v>134880</v>
      </c>
      <c r="F17" s="903">
        <f t="shared" si="0"/>
        <v>0.23772343852994984</v>
      </c>
    </row>
    <row r="18" spans="1:6" ht="13.5" customHeight="1">
      <c r="A18" s="891"/>
      <c r="B18" s="878" t="s">
        <v>270</v>
      </c>
      <c r="C18" s="904" t="s">
        <v>271</v>
      </c>
      <c r="D18" s="889">
        <f>D19+D22</f>
        <v>391127</v>
      </c>
      <c r="E18" s="889">
        <f>E19+E22</f>
        <v>134880</v>
      </c>
      <c r="F18" s="890">
        <f t="shared" si="0"/>
        <v>0.34484962684754566</v>
      </c>
    </row>
    <row r="19" spans="1:6" ht="13.5" customHeight="1">
      <c r="A19" s="891"/>
      <c r="B19" s="876"/>
      <c r="C19" s="895" t="s">
        <v>265</v>
      </c>
      <c r="D19" s="892">
        <f>D20+D21</f>
        <v>366127</v>
      </c>
      <c r="E19" s="892">
        <f>E20+E21</f>
        <v>134880</v>
      </c>
      <c r="F19" s="906">
        <f t="shared" si="0"/>
        <v>0.36839675850183135</v>
      </c>
    </row>
    <row r="20" spans="1:6" ht="13.5" customHeight="1">
      <c r="A20" s="891"/>
      <c r="B20" s="907"/>
      <c r="C20" s="908" t="s">
        <v>272</v>
      </c>
      <c r="D20" s="909">
        <f>SUM('Dochody-ukł.wykon.'!E28)</f>
        <v>36000</v>
      </c>
      <c r="E20" s="909">
        <f>SUM('Dochody-ukł.wykon.'!F28)</f>
        <v>32880</v>
      </c>
      <c r="F20" s="906">
        <f t="shared" si="0"/>
        <v>0.9133333333333333</v>
      </c>
    </row>
    <row r="21" spans="1:6" ht="13.5" customHeight="1">
      <c r="A21" s="891"/>
      <c r="B21" s="907"/>
      <c r="C21" s="908" t="s">
        <v>273</v>
      </c>
      <c r="D21" s="909">
        <f>'Dochody-ukł.wykon.'!E27+'Dochody-ukł.wykon.'!E30</f>
        <v>330127</v>
      </c>
      <c r="E21" s="909">
        <f>'Dochody-ukł.wykon.'!F27+'Dochody-ukł.wykon.'!F30</f>
        <v>102000</v>
      </c>
      <c r="F21" s="906">
        <f t="shared" si="0"/>
        <v>0.3089720016842003</v>
      </c>
    </row>
    <row r="22" spans="1:6" ht="13.5" customHeight="1">
      <c r="A22" s="891"/>
      <c r="B22" s="907"/>
      <c r="C22" s="908" t="s">
        <v>274</v>
      </c>
      <c r="D22" s="909">
        <f>D23</f>
        <v>25000</v>
      </c>
      <c r="E22" s="909">
        <f>E23</f>
        <v>0</v>
      </c>
      <c r="F22" s="906">
        <f t="shared" si="0"/>
        <v>0</v>
      </c>
    </row>
    <row r="23" spans="1:6" ht="13.5" customHeight="1">
      <c r="A23" s="891"/>
      <c r="B23" s="907"/>
      <c r="C23" s="908" t="s">
        <v>275</v>
      </c>
      <c r="D23" s="909">
        <f>'Dochody-ukł.wykon.'!E31</f>
        <v>25000</v>
      </c>
      <c r="E23" s="909">
        <f>'Dochody-ukł.wykon.'!F31</f>
        <v>0</v>
      </c>
      <c r="F23" s="906">
        <f t="shared" si="0"/>
        <v>0</v>
      </c>
    </row>
    <row r="24" spans="1:6" ht="13.5" customHeight="1">
      <c r="A24" s="891"/>
      <c r="B24" s="875" t="s">
        <v>276</v>
      </c>
      <c r="C24" s="897" t="s">
        <v>277</v>
      </c>
      <c r="D24" s="898">
        <f>D26+D27</f>
        <v>170000</v>
      </c>
      <c r="E24" s="898">
        <f>E26+E27</f>
        <v>0</v>
      </c>
      <c r="F24" s="899">
        <f t="shared" si="0"/>
        <v>0</v>
      </c>
    </row>
    <row r="25" spans="1:6" ht="13.5" customHeight="1">
      <c r="A25" s="891"/>
      <c r="B25" s="876"/>
      <c r="C25" s="908" t="s">
        <v>262</v>
      </c>
      <c r="D25" s="892">
        <f>D26+D27</f>
        <v>170000</v>
      </c>
      <c r="E25" s="892">
        <f>E26+E27</f>
        <v>0</v>
      </c>
      <c r="F25" s="896">
        <f t="shared" si="0"/>
        <v>0</v>
      </c>
    </row>
    <row r="26" spans="1:6" ht="13.5" customHeight="1">
      <c r="A26" s="891"/>
      <c r="B26" s="900"/>
      <c r="C26" s="908" t="s">
        <v>278</v>
      </c>
      <c r="D26" s="892">
        <f>'Dochody-ukł.wykon.'!E35</f>
        <v>20000</v>
      </c>
      <c r="E26" s="892">
        <f>'Dochody-ukł.wykon.'!F35</f>
        <v>0</v>
      </c>
      <c r="F26" s="896">
        <f t="shared" si="0"/>
        <v>0</v>
      </c>
    </row>
    <row r="27" spans="1:6" ht="13.5" customHeight="1">
      <c r="A27" s="891"/>
      <c r="B27" s="907"/>
      <c r="C27" s="908" t="s">
        <v>279</v>
      </c>
      <c r="D27" s="909">
        <f>'Dochody-ukł.wykon.'!E37</f>
        <v>150000</v>
      </c>
      <c r="E27" s="909">
        <f>'Dochody-ukł.wykon.'!F37</f>
        <v>0</v>
      </c>
      <c r="F27" s="906">
        <f t="shared" si="0"/>
        <v>0</v>
      </c>
    </row>
    <row r="28" spans="1:6" ht="13.5" customHeight="1">
      <c r="A28" s="891"/>
      <c r="B28" s="875" t="s">
        <v>280</v>
      </c>
      <c r="C28" s="897" t="s">
        <v>264</v>
      </c>
      <c r="D28" s="898">
        <f>D30</f>
        <v>6255</v>
      </c>
      <c r="E28" s="898">
        <f>E30</f>
        <v>0</v>
      </c>
      <c r="F28" s="899">
        <f t="shared" si="0"/>
        <v>0</v>
      </c>
    </row>
    <row r="29" spans="1:6" ht="13.5" customHeight="1">
      <c r="A29" s="891"/>
      <c r="B29" s="876"/>
      <c r="C29" s="895" t="s">
        <v>265</v>
      </c>
      <c r="D29" s="892">
        <f>D30</f>
        <v>6255</v>
      </c>
      <c r="E29" s="892">
        <f>E30</f>
        <v>0</v>
      </c>
      <c r="F29" s="896">
        <f t="shared" si="0"/>
        <v>0</v>
      </c>
    </row>
    <row r="30" spans="1:6" ht="13.5" customHeight="1">
      <c r="A30" s="891"/>
      <c r="B30" s="900"/>
      <c r="C30" s="910" t="s">
        <v>281</v>
      </c>
      <c r="D30" s="892">
        <f>'Dochody-ukł.wykon.'!E41</f>
        <v>6255</v>
      </c>
      <c r="E30" s="892">
        <f>'Dochody-ukł.wykon.'!F41</f>
        <v>0</v>
      </c>
      <c r="F30" s="896">
        <f t="shared" si="0"/>
        <v>0</v>
      </c>
    </row>
    <row r="31" spans="1:6" ht="13.5" customHeight="1" thickBot="1">
      <c r="A31" s="978" t="s">
        <v>282</v>
      </c>
      <c r="B31" s="901"/>
      <c r="C31" s="905" t="s">
        <v>283</v>
      </c>
      <c r="D31" s="902">
        <f>D32</f>
        <v>1605753</v>
      </c>
      <c r="E31" s="902">
        <f>E32</f>
        <v>1652172</v>
      </c>
      <c r="F31" s="903">
        <f t="shared" si="0"/>
        <v>1.0289079329137172</v>
      </c>
    </row>
    <row r="32" spans="1:6" ht="13.5" customHeight="1">
      <c r="A32" s="891"/>
      <c r="B32" s="878" t="s">
        <v>284</v>
      </c>
      <c r="C32" s="904" t="s">
        <v>285</v>
      </c>
      <c r="D32" s="889">
        <f>D33+D36+D38</f>
        <v>1605753</v>
      </c>
      <c r="E32" s="889">
        <f>E33+E36+E38</f>
        <v>1652172</v>
      </c>
      <c r="F32" s="890">
        <f t="shared" si="0"/>
        <v>1.0289079329137172</v>
      </c>
    </row>
    <row r="33" spans="1:6" ht="13.5" customHeight="1">
      <c r="A33" s="891"/>
      <c r="B33" s="876"/>
      <c r="C33" s="895" t="s">
        <v>265</v>
      </c>
      <c r="D33" s="892">
        <f>D34+D35</f>
        <v>1562613</v>
      </c>
      <c r="E33" s="892">
        <f>E34+E35</f>
        <v>1626172</v>
      </c>
      <c r="F33" s="896">
        <f t="shared" si="0"/>
        <v>1.0406748183971335</v>
      </c>
    </row>
    <row r="34" spans="1:6" ht="13.5" customHeight="1">
      <c r="A34" s="891"/>
      <c r="B34" s="876"/>
      <c r="C34" s="908" t="s">
        <v>272</v>
      </c>
      <c r="D34" s="892">
        <f>'Dochody-ukł.wykon.'!E45+'Dochody-ukł.wykon.'!E48+'Dochody-ukł.wykon.'!E50</f>
        <v>1497125</v>
      </c>
      <c r="E34" s="892">
        <f>'Dochody-ukł.wykon.'!F45+'Dochody-ukł.wykon.'!F48+'Dochody-ukł.wykon.'!F50</f>
        <v>1515022</v>
      </c>
      <c r="F34" s="896">
        <f t="shared" si="0"/>
        <v>1.0119542456374717</v>
      </c>
    </row>
    <row r="35" spans="1:6" ht="13.5" customHeight="1">
      <c r="A35" s="891"/>
      <c r="B35" s="876"/>
      <c r="C35" s="910" t="s">
        <v>273</v>
      </c>
      <c r="D35" s="892">
        <f>'Dochody-ukł.wykon.'!E47+'Dochody-ukł.wykon.'!E51+'Dochody-ukł.wykon.'!E54+'Dochody-ukł.wykon.'!E60</f>
        <v>65488</v>
      </c>
      <c r="E35" s="892">
        <f>'Dochody-ukł.wykon.'!F47+'Dochody-ukł.wykon.'!F51+'Dochody-ukł.wykon.'!F54+'Dochody-ukł.wykon.'!F60</f>
        <v>111150</v>
      </c>
      <c r="F35" s="896">
        <f t="shared" si="0"/>
        <v>1.6972575128267775</v>
      </c>
    </row>
    <row r="36" spans="1:6" ht="13.5" customHeight="1">
      <c r="A36" s="891"/>
      <c r="B36" s="876"/>
      <c r="C36" s="910" t="s">
        <v>274</v>
      </c>
      <c r="D36" s="892">
        <f>D37</f>
        <v>41000</v>
      </c>
      <c r="E36" s="892">
        <f>E37</f>
        <v>26000</v>
      </c>
      <c r="F36" s="896">
        <f t="shared" si="0"/>
        <v>0.6341463414634146</v>
      </c>
    </row>
    <row r="37" spans="1:6" ht="13.5" customHeight="1">
      <c r="A37" s="891"/>
      <c r="B37" s="876"/>
      <c r="C37" s="895" t="s">
        <v>286</v>
      </c>
      <c r="D37" s="892">
        <f>'Dochody-ukł.wykon.'!E52</f>
        <v>41000</v>
      </c>
      <c r="E37" s="892">
        <f>'Dochody-ukł.wykon.'!F52</f>
        <v>26000</v>
      </c>
      <c r="F37" s="896">
        <f t="shared" si="0"/>
        <v>0.6341463414634146</v>
      </c>
    </row>
    <row r="38" spans="1:6" ht="13.5" customHeight="1">
      <c r="A38" s="891"/>
      <c r="B38" s="907"/>
      <c r="C38" s="908" t="s">
        <v>287</v>
      </c>
      <c r="D38" s="909">
        <f>'Dochody-ukł.wykon.'!E57+'Dochody-ukł.wykon.'!E59</f>
        <v>2140</v>
      </c>
      <c r="E38" s="909">
        <f>'Dochody-ukł.wykon.'!F57+'Dochody-ukł.wykon.'!F59</f>
        <v>0</v>
      </c>
      <c r="F38" s="896">
        <f t="shared" si="0"/>
        <v>0</v>
      </c>
    </row>
    <row r="39" spans="1:6" ht="13.5" customHeight="1" thickBot="1">
      <c r="A39" s="978" t="s">
        <v>288</v>
      </c>
      <c r="B39" s="879"/>
      <c r="C39" s="905" t="s">
        <v>289</v>
      </c>
      <c r="D39" s="902">
        <f>D40+D43+D46</f>
        <v>269553</v>
      </c>
      <c r="E39" s="902">
        <f>E40+E43+E46</f>
        <v>262864</v>
      </c>
      <c r="F39" s="911">
        <f aca="true" t="shared" si="1" ref="F39:F65">E39/D39</f>
        <v>0.9751848430549837</v>
      </c>
    </row>
    <row r="40" spans="1:6" ht="13.5" customHeight="1">
      <c r="A40" s="980"/>
      <c r="B40" s="878" t="s">
        <v>290</v>
      </c>
      <c r="C40" s="881" t="s">
        <v>291</v>
      </c>
      <c r="D40" s="889">
        <f>D41</f>
        <v>40000</v>
      </c>
      <c r="E40" s="889">
        <f>E41</f>
        <v>40000</v>
      </c>
      <c r="F40" s="890">
        <f t="shared" si="1"/>
        <v>1</v>
      </c>
    </row>
    <row r="41" spans="1:6" ht="13.5" customHeight="1">
      <c r="A41" s="891"/>
      <c r="B41" s="900"/>
      <c r="C41" s="895" t="s">
        <v>262</v>
      </c>
      <c r="D41" s="892">
        <f>D42</f>
        <v>40000</v>
      </c>
      <c r="E41" s="892">
        <f>E42</f>
        <v>40000</v>
      </c>
      <c r="F41" s="896">
        <f t="shared" si="1"/>
        <v>1</v>
      </c>
    </row>
    <row r="42" spans="1:6" ht="13.5" customHeight="1">
      <c r="A42" s="891"/>
      <c r="B42" s="907"/>
      <c r="C42" s="908" t="s">
        <v>292</v>
      </c>
      <c r="D42" s="909">
        <f>'Dochody-ukł.wykon.'!E64</f>
        <v>40000</v>
      </c>
      <c r="E42" s="909">
        <f>'Dochody-ukł.wykon.'!F64</f>
        <v>40000</v>
      </c>
      <c r="F42" s="896">
        <f t="shared" si="1"/>
        <v>1</v>
      </c>
    </row>
    <row r="43" spans="1:6" ht="13.5" customHeight="1">
      <c r="A43" s="891"/>
      <c r="B43" s="875" t="s">
        <v>293</v>
      </c>
      <c r="C43" s="897" t="s">
        <v>294</v>
      </c>
      <c r="D43" s="898">
        <f>D44</f>
        <v>22000</v>
      </c>
      <c r="E43" s="898">
        <f>E44</f>
        <v>14000</v>
      </c>
      <c r="F43" s="896">
        <f t="shared" si="1"/>
        <v>0.6363636363636364</v>
      </c>
    </row>
    <row r="44" spans="1:6" ht="13.5" customHeight="1">
      <c r="A44" s="891"/>
      <c r="B44" s="900"/>
      <c r="C44" s="895" t="s">
        <v>262</v>
      </c>
      <c r="D44" s="892">
        <f>D45</f>
        <v>22000</v>
      </c>
      <c r="E44" s="892">
        <f>E45</f>
        <v>14000</v>
      </c>
      <c r="F44" s="896">
        <f t="shared" si="1"/>
        <v>0.6363636363636364</v>
      </c>
    </row>
    <row r="45" spans="1:6" ht="13.5" customHeight="1">
      <c r="A45" s="891"/>
      <c r="B45" s="907"/>
      <c r="C45" s="908" t="s">
        <v>292</v>
      </c>
      <c r="D45" s="909">
        <f>'Dochody-ukł.wykon.'!E68</f>
        <v>22000</v>
      </c>
      <c r="E45" s="909">
        <f>'Dochody-ukł.wykon.'!F68</f>
        <v>14000</v>
      </c>
      <c r="F45" s="896">
        <f t="shared" si="1"/>
        <v>0.6363636363636364</v>
      </c>
    </row>
    <row r="46" spans="1:6" ht="13.5" customHeight="1">
      <c r="A46" s="891"/>
      <c r="B46" s="875" t="s">
        <v>295</v>
      </c>
      <c r="C46" s="897" t="s">
        <v>297</v>
      </c>
      <c r="D46" s="898">
        <f>D47</f>
        <v>207553</v>
      </c>
      <c r="E46" s="898">
        <f>E47</f>
        <v>208864</v>
      </c>
      <c r="F46" s="912">
        <f t="shared" si="1"/>
        <v>1.006316458928563</v>
      </c>
    </row>
    <row r="47" spans="1:6" ht="13.5" customHeight="1">
      <c r="A47" s="891"/>
      <c r="B47" s="900"/>
      <c r="C47" s="895" t="s">
        <v>262</v>
      </c>
      <c r="D47" s="892">
        <f>D48</f>
        <v>207553</v>
      </c>
      <c r="E47" s="892">
        <f>E48</f>
        <v>208864</v>
      </c>
      <c r="F47" s="896">
        <f t="shared" si="1"/>
        <v>1.006316458928563</v>
      </c>
    </row>
    <row r="48" spans="1:6" ht="13.5" customHeight="1">
      <c r="A48" s="891"/>
      <c r="B48" s="907"/>
      <c r="C48" s="908" t="s">
        <v>292</v>
      </c>
      <c r="D48" s="909">
        <f>'Dochody-ukł.wykon.'!E72</f>
        <v>207553</v>
      </c>
      <c r="E48" s="909">
        <f>'Dochody-ukł.wykon.'!F72</f>
        <v>208864</v>
      </c>
      <c r="F48" s="896">
        <f t="shared" si="1"/>
        <v>1.006316458928563</v>
      </c>
    </row>
    <row r="49" spans="1:6" ht="13.5" customHeight="1" thickBot="1">
      <c r="A49" s="978" t="s">
        <v>298</v>
      </c>
      <c r="B49" s="901"/>
      <c r="C49" s="905" t="s">
        <v>299</v>
      </c>
      <c r="D49" s="902">
        <f>D50+D53+D56+D59</f>
        <v>1622451</v>
      </c>
      <c r="E49" s="902">
        <f>E50+E53+E56+E59</f>
        <v>1248136</v>
      </c>
      <c r="F49" s="911">
        <f t="shared" si="1"/>
        <v>0.7692904130848944</v>
      </c>
    </row>
    <row r="50" spans="1:6" ht="13.5" customHeight="1">
      <c r="A50" s="979"/>
      <c r="B50" s="878" t="s">
        <v>300</v>
      </c>
      <c r="C50" s="904" t="s">
        <v>301</v>
      </c>
      <c r="D50" s="889">
        <f>D51</f>
        <v>154421</v>
      </c>
      <c r="E50" s="889">
        <f>E51</f>
        <v>154421</v>
      </c>
      <c r="F50" s="890">
        <f t="shared" si="1"/>
        <v>1</v>
      </c>
    </row>
    <row r="51" spans="1:6" ht="13.5" customHeight="1">
      <c r="A51" s="891"/>
      <c r="B51" s="900"/>
      <c r="C51" s="895" t="s">
        <v>262</v>
      </c>
      <c r="D51" s="892">
        <f>D52</f>
        <v>154421</v>
      </c>
      <c r="E51" s="892">
        <f>E52</f>
        <v>154421</v>
      </c>
      <c r="F51" s="896">
        <f t="shared" si="1"/>
        <v>1</v>
      </c>
    </row>
    <row r="52" spans="1:6" ht="13.5" customHeight="1">
      <c r="A52" s="891"/>
      <c r="B52" s="907"/>
      <c r="C52" s="908" t="s">
        <v>292</v>
      </c>
      <c r="D52" s="909">
        <f>'Dochody-ukł.wykon.'!E78</f>
        <v>154421</v>
      </c>
      <c r="E52" s="909">
        <f>'Dochody-ukł.wykon.'!F78</f>
        <v>154421</v>
      </c>
      <c r="F52" s="896">
        <f t="shared" si="1"/>
        <v>1</v>
      </c>
    </row>
    <row r="53" spans="1:6" ht="13.5" customHeight="1">
      <c r="A53" s="891"/>
      <c r="B53" s="875" t="s">
        <v>302</v>
      </c>
      <c r="C53" s="897" t="s">
        <v>303</v>
      </c>
      <c r="D53" s="898">
        <f>D54</f>
        <v>1422031</v>
      </c>
      <c r="E53" s="898">
        <f>E54</f>
        <v>1076715</v>
      </c>
      <c r="F53" s="912">
        <f t="shared" si="1"/>
        <v>0.7571670378493859</v>
      </c>
    </row>
    <row r="54" spans="1:6" ht="13.5" customHeight="1">
      <c r="A54" s="891"/>
      <c r="B54" s="900"/>
      <c r="C54" s="895" t="s">
        <v>265</v>
      </c>
      <c r="D54" s="892">
        <f>D55</f>
        <v>1422031</v>
      </c>
      <c r="E54" s="892">
        <f>E55</f>
        <v>1076715</v>
      </c>
      <c r="F54" s="896">
        <f t="shared" si="1"/>
        <v>0.7571670378493859</v>
      </c>
    </row>
    <row r="55" spans="1:6" ht="13.5" customHeight="1">
      <c r="A55" s="891"/>
      <c r="B55" s="907"/>
      <c r="C55" s="908" t="s">
        <v>281</v>
      </c>
      <c r="D55" s="909">
        <f>SUM('Dochody-ukł.wykon.'!E82:E88)</f>
        <v>1422031</v>
      </c>
      <c r="E55" s="909">
        <f>SUM('Dochody-ukł.wykon.'!F82:F88)</f>
        <v>1076715</v>
      </c>
      <c r="F55" s="896">
        <f t="shared" si="1"/>
        <v>0.7571670378493859</v>
      </c>
    </row>
    <row r="56" spans="1:6" ht="13.5" customHeight="1">
      <c r="A56" s="891"/>
      <c r="B56" s="875" t="s">
        <v>304</v>
      </c>
      <c r="C56" s="897" t="s">
        <v>305</v>
      </c>
      <c r="D56" s="898">
        <f>D57</f>
        <v>15999</v>
      </c>
      <c r="E56" s="898">
        <f>E57</f>
        <v>17000</v>
      </c>
      <c r="F56" s="912">
        <f t="shared" si="1"/>
        <v>1.06256641040065</v>
      </c>
    </row>
    <row r="57" spans="1:6" ht="13.5" customHeight="1">
      <c r="A57" s="891"/>
      <c r="B57" s="900"/>
      <c r="C57" s="895" t="s">
        <v>262</v>
      </c>
      <c r="D57" s="892">
        <f>D58</f>
        <v>15999</v>
      </c>
      <c r="E57" s="892">
        <f>E58</f>
        <v>17000</v>
      </c>
      <c r="F57" s="896">
        <f t="shared" si="1"/>
        <v>1.06256641040065</v>
      </c>
    </row>
    <row r="58" spans="1:6" ht="13.5" customHeight="1">
      <c r="A58" s="891"/>
      <c r="B58" s="907"/>
      <c r="C58" s="908" t="s">
        <v>292</v>
      </c>
      <c r="D58" s="909">
        <f>'Dochody-ukł.wykon.'!E91</f>
        <v>15999</v>
      </c>
      <c r="E58" s="909">
        <f>'Dochody-ukł.wykon.'!F91</f>
        <v>17000</v>
      </c>
      <c r="F58" s="896">
        <f t="shared" si="1"/>
        <v>1.06256641040065</v>
      </c>
    </row>
    <row r="59" spans="1:6" ht="13.5" customHeight="1">
      <c r="A59" s="891"/>
      <c r="B59" s="875" t="s">
        <v>306</v>
      </c>
      <c r="C59" s="897" t="s">
        <v>264</v>
      </c>
      <c r="D59" s="898">
        <f>D60</f>
        <v>30000</v>
      </c>
      <c r="E59" s="898">
        <f>E60</f>
        <v>0</v>
      </c>
      <c r="F59" s="912">
        <f t="shared" si="1"/>
        <v>0</v>
      </c>
    </row>
    <row r="60" spans="1:6" ht="13.5" customHeight="1">
      <c r="A60" s="891"/>
      <c r="B60" s="900"/>
      <c r="C60" s="895" t="s">
        <v>265</v>
      </c>
      <c r="D60" s="892">
        <f>D61</f>
        <v>30000</v>
      </c>
      <c r="E60" s="892">
        <f>E61</f>
        <v>0</v>
      </c>
      <c r="F60" s="896">
        <f t="shared" si="1"/>
        <v>0</v>
      </c>
    </row>
    <row r="61" spans="1:6" ht="13.5" customHeight="1">
      <c r="A61" s="891"/>
      <c r="B61" s="907"/>
      <c r="C61" s="908" t="s">
        <v>281</v>
      </c>
      <c r="D61" s="909">
        <f>'Dochody-ukł.wykon.'!E95</f>
        <v>30000</v>
      </c>
      <c r="E61" s="909">
        <f>'Dochody-ukł.wykon.'!F95</f>
        <v>0</v>
      </c>
      <c r="F61" s="896">
        <f t="shared" si="1"/>
        <v>0</v>
      </c>
    </row>
    <row r="62" spans="1:6" ht="24.75" customHeight="1" thickBot="1">
      <c r="A62" s="978" t="s">
        <v>307</v>
      </c>
      <c r="B62" s="913"/>
      <c r="C62" s="914" t="s">
        <v>308</v>
      </c>
      <c r="D62" s="902">
        <f aca="true" t="shared" si="2" ref="D62:E64">D63</f>
        <v>18109</v>
      </c>
      <c r="E62" s="902">
        <f t="shared" si="2"/>
        <v>0</v>
      </c>
      <c r="F62" s="911">
        <f t="shared" si="1"/>
        <v>0</v>
      </c>
    </row>
    <row r="63" spans="1:6" ht="21" customHeight="1">
      <c r="A63" s="979"/>
      <c r="B63" s="878" t="s">
        <v>309</v>
      </c>
      <c r="C63" s="915" t="s">
        <v>310</v>
      </c>
      <c r="D63" s="889">
        <f t="shared" si="2"/>
        <v>18109</v>
      </c>
      <c r="E63" s="889">
        <f t="shared" si="2"/>
        <v>0</v>
      </c>
      <c r="F63" s="890">
        <f t="shared" si="1"/>
        <v>0</v>
      </c>
    </row>
    <row r="64" spans="1:6" ht="13.5" customHeight="1">
      <c r="A64" s="891"/>
      <c r="B64" s="900"/>
      <c r="C64" s="895" t="s">
        <v>262</v>
      </c>
      <c r="D64" s="892">
        <f t="shared" si="2"/>
        <v>18109</v>
      </c>
      <c r="E64" s="892">
        <f t="shared" si="2"/>
        <v>0</v>
      </c>
      <c r="F64" s="896">
        <f t="shared" si="1"/>
        <v>0</v>
      </c>
    </row>
    <row r="65" spans="1:6" ht="13.5" customHeight="1">
      <c r="A65" s="891"/>
      <c r="B65" s="907"/>
      <c r="C65" s="908" t="s">
        <v>292</v>
      </c>
      <c r="D65" s="909">
        <f>'Dochody-ukł.wykon.'!E101</f>
        <v>18109</v>
      </c>
      <c r="E65" s="909">
        <f>'Dochody-ukł.wykon.'!F101</f>
        <v>0</v>
      </c>
      <c r="F65" s="896">
        <f t="shared" si="1"/>
        <v>0</v>
      </c>
    </row>
    <row r="66" spans="1:6" ht="13.5" customHeight="1" thickBot="1">
      <c r="A66" s="978" t="s">
        <v>311</v>
      </c>
      <c r="B66" s="879"/>
      <c r="C66" s="905" t="s">
        <v>312</v>
      </c>
      <c r="D66" s="902">
        <f aca="true" t="shared" si="3" ref="D66:E68">D67</f>
        <v>0</v>
      </c>
      <c r="E66" s="902">
        <f t="shared" si="3"/>
        <v>1000</v>
      </c>
      <c r="F66" s="911">
        <v>0</v>
      </c>
    </row>
    <row r="67" spans="1:6" ht="13.5" customHeight="1">
      <c r="A67" s="980"/>
      <c r="B67" s="878" t="s">
        <v>313</v>
      </c>
      <c r="C67" s="904" t="s">
        <v>314</v>
      </c>
      <c r="D67" s="889">
        <f t="shared" si="3"/>
        <v>0</v>
      </c>
      <c r="E67" s="889">
        <f t="shared" si="3"/>
        <v>1000</v>
      </c>
      <c r="F67" s="890">
        <v>0</v>
      </c>
    </row>
    <row r="68" spans="1:6" ht="13.5" customHeight="1">
      <c r="A68" s="891"/>
      <c r="B68" s="900"/>
      <c r="C68" s="895" t="s">
        <v>262</v>
      </c>
      <c r="D68" s="892">
        <f t="shared" si="3"/>
        <v>0</v>
      </c>
      <c r="E68" s="892">
        <f t="shared" si="3"/>
        <v>1000</v>
      </c>
      <c r="F68" s="896">
        <v>0</v>
      </c>
    </row>
    <row r="69" spans="1:6" ht="13.5" customHeight="1">
      <c r="A69" s="891"/>
      <c r="B69" s="907"/>
      <c r="C69" s="908" t="s">
        <v>292</v>
      </c>
      <c r="D69" s="909">
        <f>'Dochody-ukł.wykon.'!E106</f>
        <v>0</v>
      </c>
      <c r="E69" s="909">
        <f>'Dochody-ukł.wykon.'!F106</f>
        <v>1000</v>
      </c>
      <c r="F69" s="896">
        <v>0</v>
      </c>
    </row>
    <row r="70" spans="1:6" ht="22.5" customHeight="1" thickBot="1">
      <c r="A70" s="978" t="s">
        <v>315</v>
      </c>
      <c r="B70" s="879"/>
      <c r="C70" s="914" t="s">
        <v>316</v>
      </c>
      <c r="D70" s="902">
        <f aca="true" t="shared" si="4" ref="D70:E72">D71</f>
        <v>3005856</v>
      </c>
      <c r="E70" s="902">
        <f t="shared" si="4"/>
        <v>3506685</v>
      </c>
      <c r="F70" s="911">
        <f aca="true" t="shared" si="5" ref="F70:F101">E70/D70</f>
        <v>1.1666177621283256</v>
      </c>
    </row>
    <row r="71" spans="1:6" ht="21" customHeight="1">
      <c r="A71" s="882"/>
      <c r="B71" s="878" t="s">
        <v>317</v>
      </c>
      <c r="C71" s="916" t="s">
        <v>318</v>
      </c>
      <c r="D71" s="889">
        <f t="shared" si="4"/>
        <v>3005856</v>
      </c>
      <c r="E71" s="889">
        <f t="shared" si="4"/>
        <v>3506685</v>
      </c>
      <c r="F71" s="890">
        <f t="shared" si="5"/>
        <v>1.1666177621283256</v>
      </c>
    </row>
    <row r="72" spans="1:6" ht="13.5" customHeight="1">
      <c r="A72" s="894"/>
      <c r="B72" s="900"/>
      <c r="C72" s="895" t="s">
        <v>265</v>
      </c>
      <c r="D72" s="892">
        <f t="shared" si="4"/>
        <v>3005856</v>
      </c>
      <c r="E72" s="892">
        <f t="shared" si="4"/>
        <v>3506685</v>
      </c>
      <c r="F72" s="896">
        <f t="shared" si="5"/>
        <v>1.1666177621283256</v>
      </c>
    </row>
    <row r="73" spans="1:6" ht="13.5" customHeight="1">
      <c r="A73" s="894"/>
      <c r="B73" s="907"/>
      <c r="C73" s="908" t="s">
        <v>983</v>
      </c>
      <c r="D73" s="909">
        <f>'Dochody-ukł.wykon.'!E113+'Dochody-ukł.wykon.'!E114</f>
        <v>3005856</v>
      </c>
      <c r="E73" s="909">
        <f>'Dochody-ukł.wykon.'!F113+'Dochody-ukł.wykon.'!F114</f>
        <v>3506685</v>
      </c>
      <c r="F73" s="896">
        <f t="shared" si="5"/>
        <v>1.1666177621283256</v>
      </c>
    </row>
    <row r="74" spans="1:6" ht="13.5" customHeight="1" thickBot="1">
      <c r="A74" s="877" t="s">
        <v>319</v>
      </c>
      <c r="B74" s="879"/>
      <c r="C74" s="905" t="s">
        <v>320</v>
      </c>
      <c r="D74" s="902">
        <f>D75+D77+D79+D81+D84</f>
        <v>16114710</v>
      </c>
      <c r="E74" s="902">
        <f>E75+E77+E79+E81+E84</f>
        <v>18686243</v>
      </c>
      <c r="F74" s="911">
        <f t="shared" si="5"/>
        <v>1.1595767469597653</v>
      </c>
    </row>
    <row r="75" spans="1:6" ht="13.5" customHeight="1">
      <c r="A75" s="980"/>
      <c r="B75" s="878" t="s">
        <v>321</v>
      </c>
      <c r="C75" s="904" t="s">
        <v>322</v>
      </c>
      <c r="D75" s="889">
        <f>D76</f>
        <v>10509635</v>
      </c>
      <c r="E75" s="889">
        <f>E76</f>
        <v>10980133</v>
      </c>
      <c r="F75" s="890">
        <f t="shared" si="5"/>
        <v>1.0447682531315312</v>
      </c>
    </row>
    <row r="76" spans="1:6" ht="13.5" customHeight="1">
      <c r="A76" s="880"/>
      <c r="B76" s="876"/>
      <c r="C76" s="895" t="s">
        <v>323</v>
      </c>
      <c r="D76" s="892">
        <f>'Dochody-ukł.wykon.'!E118</f>
        <v>10509635</v>
      </c>
      <c r="E76" s="892">
        <f>'Dochody-ukł.wykon.'!F118</f>
        <v>10980133</v>
      </c>
      <c r="F76" s="896">
        <f t="shared" si="5"/>
        <v>1.0447682531315312</v>
      </c>
    </row>
    <row r="77" spans="1:6" ht="13.5" customHeight="1">
      <c r="A77" s="880"/>
      <c r="B77" s="875" t="s">
        <v>324</v>
      </c>
      <c r="C77" s="897" t="s">
        <v>325</v>
      </c>
      <c r="D77" s="898">
        <f>D78</f>
        <v>150000</v>
      </c>
      <c r="E77" s="898">
        <f>E78</f>
        <v>0</v>
      </c>
      <c r="F77" s="912">
        <f t="shared" si="5"/>
        <v>0</v>
      </c>
    </row>
    <row r="78" spans="1:6" ht="13.5" customHeight="1">
      <c r="A78" s="880"/>
      <c r="B78" s="876"/>
      <c r="C78" s="895" t="s">
        <v>323</v>
      </c>
      <c r="D78" s="892">
        <f>'Dochody-ukł.wykon.'!E121</f>
        <v>150000</v>
      </c>
      <c r="E78" s="892">
        <f>'Dochody-ukł.wykon.'!F121</f>
        <v>0</v>
      </c>
      <c r="F78" s="896">
        <f t="shared" si="5"/>
        <v>0</v>
      </c>
    </row>
    <row r="79" spans="1:6" ht="13.5" customHeight="1">
      <c r="A79" s="880"/>
      <c r="B79" s="875" t="s">
        <v>326</v>
      </c>
      <c r="C79" s="917" t="s">
        <v>327</v>
      </c>
      <c r="D79" s="898">
        <f>D80</f>
        <v>3563513</v>
      </c>
      <c r="E79" s="898">
        <f>E80</f>
        <v>4612480</v>
      </c>
      <c r="F79" s="912">
        <f t="shared" si="5"/>
        <v>1.2943631747660245</v>
      </c>
    </row>
    <row r="80" spans="1:6" ht="13.5" customHeight="1">
      <c r="A80" s="880"/>
      <c r="B80" s="876"/>
      <c r="C80" s="895" t="s">
        <v>323</v>
      </c>
      <c r="D80" s="892">
        <f>'Dochody-ukł.wykon.'!E124</f>
        <v>3563513</v>
      </c>
      <c r="E80" s="892">
        <f>'Dochody-ukł.wykon.'!F124</f>
        <v>4612480</v>
      </c>
      <c r="F80" s="896">
        <f t="shared" si="5"/>
        <v>1.2943631747660245</v>
      </c>
    </row>
    <row r="81" spans="1:6" ht="13.5" customHeight="1">
      <c r="A81" s="880"/>
      <c r="B81" s="875" t="s">
        <v>328</v>
      </c>
      <c r="C81" s="897" t="s">
        <v>329</v>
      </c>
      <c r="D81" s="898">
        <f>D82</f>
        <v>42324</v>
      </c>
      <c r="E81" s="898">
        <f>E82</f>
        <v>27616</v>
      </c>
      <c r="F81" s="912">
        <f t="shared" si="5"/>
        <v>0.6524903128248748</v>
      </c>
    </row>
    <row r="82" spans="1:6" ht="13.5" customHeight="1">
      <c r="A82" s="880"/>
      <c r="B82" s="876"/>
      <c r="C82" s="895" t="s">
        <v>265</v>
      </c>
      <c r="D82" s="892">
        <f>D83</f>
        <v>42324</v>
      </c>
      <c r="E82" s="892">
        <f>E83</f>
        <v>27616</v>
      </c>
      <c r="F82" s="896">
        <f t="shared" si="5"/>
        <v>0.6524903128248748</v>
      </c>
    </row>
    <row r="83" spans="1:6" ht="13.5" customHeight="1">
      <c r="A83" s="880"/>
      <c r="B83" s="883"/>
      <c r="C83" s="908" t="s">
        <v>281</v>
      </c>
      <c r="D83" s="909">
        <f>'Dochody-ukł.wykon.'!E127</f>
        <v>42324</v>
      </c>
      <c r="E83" s="909">
        <f>'Dochody-ukł.wykon.'!F127</f>
        <v>27616</v>
      </c>
      <c r="F83" s="896">
        <f t="shared" si="5"/>
        <v>0.6524903128248748</v>
      </c>
    </row>
    <row r="84" spans="1:6" ht="13.5" customHeight="1">
      <c r="A84" s="880"/>
      <c r="B84" s="875" t="s">
        <v>330</v>
      </c>
      <c r="C84" s="917" t="s">
        <v>331</v>
      </c>
      <c r="D84" s="898">
        <f>D85</f>
        <v>1849238</v>
      </c>
      <c r="E84" s="898">
        <f>E85</f>
        <v>3066014</v>
      </c>
      <c r="F84" s="912">
        <f t="shared" si="5"/>
        <v>1.6579877765868969</v>
      </c>
    </row>
    <row r="85" spans="1:6" ht="13.5" customHeight="1">
      <c r="A85" s="880"/>
      <c r="B85" s="876"/>
      <c r="C85" s="895" t="s">
        <v>323</v>
      </c>
      <c r="D85" s="892">
        <f>'Dochody-ukł.wykon.'!E130</f>
        <v>1849238</v>
      </c>
      <c r="E85" s="892">
        <f>'Dochody-ukł.wykon.'!F130</f>
        <v>3066014</v>
      </c>
      <c r="F85" s="896">
        <f t="shared" si="5"/>
        <v>1.6579877765868969</v>
      </c>
    </row>
    <row r="86" spans="1:6" ht="13.5" customHeight="1" thickBot="1">
      <c r="A86" s="978" t="s">
        <v>332</v>
      </c>
      <c r="B86" s="884"/>
      <c r="C86" s="918" t="s">
        <v>333</v>
      </c>
      <c r="D86" s="919">
        <f>D87+D93+D99+D102+D106</f>
        <v>857596</v>
      </c>
      <c r="E86" s="919">
        <f>E87+E93+E99+E102+E106</f>
        <v>21000</v>
      </c>
      <c r="F86" s="911">
        <f t="shared" si="5"/>
        <v>0.02448705451051544</v>
      </c>
    </row>
    <row r="87" spans="1:6" ht="13.5" customHeight="1">
      <c r="A87" s="980"/>
      <c r="B87" s="878" t="s">
        <v>844</v>
      </c>
      <c r="C87" s="904" t="s">
        <v>334</v>
      </c>
      <c r="D87" s="889">
        <f>D88+D90+D91</f>
        <v>702922</v>
      </c>
      <c r="E87" s="889">
        <f>E88+E90+E91</f>
        <v>2000</v>
      </c>
      <c r="F87" s="890">
        <f t="shared" si="5"/>
        <v>0.002845265904325089</v>
      </c>
    </row>
    <row r="88" spans="1:6" ht="13.5" customHeight="1">
      <c r="A88" s="880"/>
      <c r="B88" s="876"/>
      <c r="C88" s="895" t="s">
        <v>265</v>
      </c>
      <c r="D88" s="892">
        <f>D89</f>
        <v>676022</v>
      </c>
      <c r="E88" s="892">
        <f>E89</f>
        <v>2000</v>
      </c>
      <c r="F88" s="896">
        <f t="shared" si="5"/>
        <v>0.0029584835996461652</v>
      </c>
    </row>
    <row r="89" spans="1:6" ht="13.5" customHeight="1">
      <c r="A89" s="880"/>
      <c r="B89" s="876"/>
      <c r="C89" s="908" t="s">
        <v>281</v>
      </c>
      <c r="D89" s="892">
        <f>'Dochody-ukł.wykon.'!E134+'Dochody-ukł.wykon.'!E135</f>
        <v>676022</v>
      </c>
      <c r="E89" s="892">
        <f>'Dochody-ukł.wykon.'!F134+'Dochody-ukł.wykon.'!F135</f>
        <v>2000</v>
      </c>
      <c r="F89" s="896">
        <f t="shared" si="5"/>
        <v>0.0029584835996461652</v>
      </c>
    </row>
    <row r="90" spans="1:6" ht="13.5" customHeight="1">
      <c r="A90" s="880"/>
      <c r="B90" s="876"/>
      <c r="C90" s="895" t="s">
        <v>335</v>
      </c>
      <c r="D90" s="892">
        <f>'Dochody-ukł.wykon.'!E137</f>
        <v>1900</v>
      </c>
      <c r="E90" s="892">
        <f>'Dochody-ukł.wykon.'!F137</f>
        <v>0</v>
      </c>
      <c r="F90" s="896">
        <f t="shared" si="5"/>
        <v>0</v>
      </c>
    </row>
    <row r="91" spans="1:6" ht="13.5" customHeight="1">
      <c r="A91" s="880"/>
      <c r="B91" s="876"/>
      <c r="C91" s="895" t="s">
        <v>336</v>
      </c>
      <c r="D91" s="892">
        <f>D92</f>
        <v>25000</v>
      </c>
      <c r="E91" s="892">
        <f>E92</f>
        <v>0</v>
      </c>
      <c r="F91" s="896">
        <f t="shared" si="5"/>
        <v>0</v>
      </c>
    </row>
    <row r="92" spans="1:6" ht="13.5" customHeight="1">
      <c r="A92" s="880"/>
      <c r="B92" s="876"/>
      <c r="C92" s="895" t="s">
        <v>337</v>
      </c>
      <c r="D92" s="892">
        <f>'Dochody-ukł.wykon.'!E138</f>
        <v>25000</v>
      </c>
      <c r="E92" s="892">
        <f>'Dochody-ukł.wykon.'!F138</f>
        <v>0</v>
      </c>
      <c r="F92" s="896">
        <f t="shared" si="5"/>
        <v>0</v>
      </c>
    </row>
    <row r="93" spans="1:6" ht="13.5" customHeight="1">
      <c r="A93" s="880"/>
      <c r="B93" s="885" t="s">
        <v>845</v>
      </c>
      <c r="C93" s="920" t="s">
        <v>338</v>
      </c>
      <c r="D93" s="921">
        <f>D94+D97</f>
        <v>55409</v>
      </c>
      <c r="E93" s="921">
        <f>E94+E97</f>
        <v>0</v>
      </c>
      <c r="F93" s="912">
        <f t="shared" si="5"/>
        <v>0</v>
      </c>
    </row>
    <row r="94" spans="1:6" ht="13.5" customHeight="1">
      <c r="A94" s="880"/>
      <c r="B94" s="876"/>
      <c r="C94" s="895" t="s">
        <v>265</v>
      </c>
      <c r="D94" s="892">
        <f>D95+D96</f>
        <v>45409</v>
      </c>
      <c r="E94" s="892">
        <f>E95+E96</f>
        <v>0</v>
      </c>
      <c r="F94" s="896">
        <f t="shared" si="5"/>
        <v>0</v>
      </c>
    </row>
    <row r="95" spans="1:6" ht="13.5" customHeight="1">
      <c r="A95" s="880"/>
      <c r="B95" s="876"/>
      <c r="C95" s="895" t="s">
        <v>984</v>
      </c>
      <c r="D95" s="892">
        <f>'Dochody-ukł.wykon.'!E142</f>
        <v>3500</v>
      </c>
      <c r="E95" s="892">
        <f>'Dochody-ukł.wykon.'!F142</f>
        <v>0</v>
      </c>
      <c r="F95" s="896">
        <f t="shared" si="5"/>
        <v>0</v>
      </c>
    </row>
    <row r="96" spans="1:6" ht="13.5" customHeight="1">
      <c r="A96" s="880"/>
      <c r="B96" s="876"/>
      <c r="C96" s="908" t="s">
        <v>281</v>
      </c>
      <c r="D96" s="892">
        <f>'Dochody-ukł.wykon.'!E144+'Dochody-ukł.wykon.'!E145+'Dochody-ukł.wykon.'!E146+'Dochody-ukł.wykon.'!E147</f>
        <v>41909</v>
      </c>
      <c r="E96" s="892">
        <f>'Dochody-ukł.wykon.'!F144+'Dochody-ukł.wykon.'!F145+'Dochody-ukł.wykon.'!F146+'Dochody-ukł.wykon.'!F147</f>
        <v>0</v>
      </c>
      <c r="F96" s="896">
        <f t="shared" si="5"/>
        <v>0</v>
      </c>
    </row>
    <row r="97" spans="1:6" ht="13.5" customHeight="1">
      <c r="A97" s="880"/>
      <c r="B97" s="876"/>
      <c r="C97" s="895" t="s">
        <v>336</v>
      </c>
      <c r="D97" s="892">
        <f>D98</f>
        <v>10000</v>
      </c>
      <c r="E97" s="892">
        <f>E98</f>
        <v>0</v>
      </c>
      <c r="F97" s="896">
        <f t="shared" si="5"/>
        <v>0</v>
      </c>
    </row>
    <row r="98" spans="1:6" ht="13.5" customHeight="1">
      <c r="A98" s="880"/>
      <c r="B98" s="876"/>
      <c r="C98" s="895" t="s">
        <v>337</v>
      </c>
      <c r="D98" s="892">
        <f>'Dochody-ukł.wykon.'!E149</f>
        <v>10000</v>
      </c>
      <c r="E98" s="892">
        <f>'Dochody-ukł.wykon.'!F149</f>
        <v>0</v>
      </c>
      <c r="F98" s="896">
        <f t="shared" si="5"/>
        <v>0</v>
      </c>
    </row>
    <row r="99" spans="1:6" ht="13.5" customHeight="1">
      <c r="A99" s="880"/>
      <c r="B99" s="885" t="s">
        <v>947</v>
      </c>
      <c r="C99" s="920" t="s">
        <v>339</v>
      </c>
      <c r="D99" s="921">
        <f>D100</f>
        <v>3967</v>
      </c>
      <c r="E99" s="921">
        <f>E100</f>
        <v>0</v>
      </c>
      <c r="F99" s="912">
        <f t="shared" si="5"/>
        <v>0</v>
      </c>
    </row>
    <row r="100" spans="1:6" ht="13.5" customHeight="1">
      <c r="A100" s="880"/>
      <c r="B100" s="256"/>
      <c r="C100" s="895" t="s">
        <v>265</v>
      </c>
      <c r="D100" s="892">
        <f>D101</f>
        <v>3967</v>
      </c>
      <c r="E100" s="892">
        <f>E101</f>
        <v>0</v>
      </c>
      <c r="F100" s="896">
        <f t="shared" si="5"/>
        <v>0</v>
      </c>
    </row>
    <row r="101" spans="1:6" ht="13.5" customHeight="1">
      <c r="A101" s="880"/>
      <c r="B101" s="876"/>
      <c r="C101" s="908" t="s">
        <v>281</v>
      </c>
      <c r="D101" s="892">
        <f>'Dochody-ukł.wykon.'!E152</f>
        <v>3967</v>
      </c>
      <c r="E101" s="892">
        <f>'Dochody-ukł.wykon.'!F152</f>
        <v>0</v>
      </c>
      <c r="F101" s="896">
        <f t="shared" si="5"/>
        <v>0</v>
      </c>
    </row>
    <row r="102" spans="1:6" ht="13.5" customHeight="1">
      <c r="A102" s="880"/>
      <c r="B102" s="885" t="s">
        <v>847</v>
      </c>
      <c r="C102" s="920" t="s">
        <v>264</v>
      </c>
      <c r="D102" s="921">
        <f>D103+D105</f>
        <v>73984</v>
      </c>
      <c r="E102" s="921">
        <f>E103+E105</f>
        <v>0</v>
      </c>
      <c r="F102" s="912">
        <f aca="true" t="shared" si="6" ref="F102:F133">E102/D102</f>
        <v>0</v>
      </c>
    </row>
    <row r="103" spans="1:6" ht="13.5" customHeight="1">
      <c r="A103" s="880"/>
      <c r="B103" s="876"/>
      <c r="C103" s="895" t="s">
        <v>265</v>
      </c>
      <c r="D103" s="892">
        <f>D104</f>
        <v>12074</v>
      </c>
      <c r="E103" s="892">
        <f>E104</f>
        <v>0</v>
      </c>
      <c r="F103" s="896">
        <f t="shared" si="6"/>
        <v>0</v>
      </c>
    </row>
    <row r="104" spans="1:6" ht="13.5" customHeight="1">
      <c r="A104" s="880"/>
      <c r="B104" s="876"/>
      <c r="C104" s="908" t="s">
        <v>281</v>
      </c>
      <c r="D104" s="892">
        <f>'Dochody-ukł.wykon.'!E155</f>
        <v>12074</v>
      </c>
      <c r="E104" s="892">
        <f>'Dochody-ukł.wykon.'!F155</f>
        <v>0</v>
      </c>
      <c r="F104" s="896">
        <f t="shared" si="6"/>
        <v>0</v>
      </c>
    </row>
    <row r="105" spans="1:6" ht="13.5" customHeight="1">
      <c r="A105" s="880"/>
      <c r="B105" s="876"/>
      <c r="C105" s="895" t="s">
        <v>335</v>
      </c>
      <c r="D105" s="892">
        <f>'Dochody-ukł.wykon.'!E156</f>
        <v>61910</v>
      </c>
      <c r="E105" s="892">
        <f>'Dochody-ukł.wykon.'!F156</f>
        <v>0</v>
      </c>
      <c r="F105" s="896">
        <f t="shared" si="6"/>
        <v>0</v>
      </c>
    </row>
    <row r="106" spans="1:6" ht="13.5" customHeight="1">
      <c r="A106" s="880"/>
      <c r="B106" s="875" t="s">
        <v>848</v>
      </c>
      <c r="C106" s="897" t="s">
        <v>340</v>
      </c>
      <c r="D106" s="898">
        <f>D107</f>
        <v>21314</v>
      </c>
      <c r="E106" s="898">
        <f>E107</f>
        <v>19000</v>
      </c>
      <c r="F106" s="912">
        <f t="shared" si="6"/>
        <v>0.8914328610303087</v>
      </c>
    </row>
    <row r="107" spans="1:6" ht="13.5" customHeight="1">
      <c r="A107" s="880"/>
      <c r="B107" s="876"/>
      <c r="C107" s="895" t="s">
        <v>265</v>
      </c>
      <c r="D107" s="892">
        <f>D108</f>
        <v>21314</v>
      </c>
      <c r="E107" s="892">
        <f>E108</f>
        <v>19000</v>
      </c>
      <c r="F107" s="896">
        <f t="shared" si="6"/>
        <v>0.8914328610303087</v>
      </c>
    </row>
    <row r="108" spans="1:6" ht="13.5" customHeight="1">
      <c r="A108" s="880"/>
      <c r="B108" s="883"/>
      <c r="C108" s="908" t="s">
        <v>281</v>
      </c>
      <c r="D108" s="909">
        <f>'Dochody-ukł.wykon.'!E160</f>
        <v>21314</v>
      </c>
      <c r="E108" s="909">
        <f>'Dochody-ukł.wykon.'!F160</f>
        <v>19000</v>
      </c>
      <c r="F108" s="896">
        <f t="shared" si="6"/>
        <v>0.8914328610303087</v>
      </c>
    </row>
    <row r="109" spans="1:6" ht="13.5" customHeight="1" thickBot="1">
      <c r="A109" s="978" t="s">
        <v>341</v>
      </c>
      <c r="B109" s="879"/>
      <c r="C109" s="905" t="s">
        <v>342</v>
      </c>
      <c r="D109" s="902">
        <f aca="true" t="shared" si="7" ref="D109:E111">D110</f>
        <v>364093</v>
      </c>
      <c r="E109" s="902">
        <f t="shared" si="7"/>
        <v>571098</v>
      </c>
      <c r="F109" s="903">
        <f t="shared" si="6"/>
        <v>1.568549793596691</v>
      </c>
    </row>
    <row r="110" spans="1:6" ht="13.5" customHeight="1">
      <c r="A110" s="980"/>
      <c r="B110" s="878" t="s">
        <v>849</v>
      </c>
      <c r="C110" s="904" t="s">
        <v>343</v>
      </c>
      <c r="D110" s="889">
        <f t="shared" si="7"/>
        <v>364093</v>
      </c>
      <c r="E110" s="889">
        <f t="shared" si="7"/>
        <v>571098</v>
      </c>
      <c r="F110" s="890">
        <f t="shared" si="6"/>
        <v>1.568549793596691</v>
      </c>
    </row>
    <row r="111" spans="1:6" ht="13.5" customHeight="1">
      <c r="A111" s="880"/>
      <c r="B111" s="876"/>
      <c r="C111" s="895" t="s">
        <v>262</v>
      </c>
      <c r="D111" s="892">
        <f t="shared" si="7"/>
        <v>364093</v>
      </c>
      <c r="E111" s="892">
        <f t="shared" si="7"/>
        <v>571098</v>
      </c>
      <c r="F111" s="896">
        <f t="shared" si="6"/>
        <v>1.568549793596691</v>
      </c>
    </row>
    <row r="112" spans="1:6" ht="13.5" customHeight="1">
      <c r="A112" s="880"/>
      <c r="B112" s="883"/>
      <c r="C112" s="895" t="s">
        <v>337</v>
      </c>
      <c r="D112" s="909">
        <f>'Dochody-ukł.wykon.'!E164+'Dochody-ukł.wykon.'!E166+'Dochody-ukł.wykon.'!E168+'Dochody-ukł.wykon.'!E170</f>
        <v>364093</v>
      </c>
      <c r="E112" s="909">
        <f>'Dochody-ukł.wykon.'!F164+'Dochody-ukł.wykon.'!F166+'Dochody-ukł.wykon.'!F168+'Dochody-ukł.wykon.'!F170</f>
        <v>571098</v>
      </c>
      <c r="F112" s="906">
        <f t="shared" si="6"/>
        <v>1.568549793596691</v>
      </c>
    </row>
    <row r="113" spans="1:6" ht="13.5" customHeight="1" thickBot="1">
      <c r="A113" s="978" t="s">
        <v>344</v>
      </c>
      <c r="B113" s="879"/>
      <c r="C113" s="905" t="s">
        <v>345</v>
      </c>
      <c r="D113" s="902">
        <f>D114+D117+D120</f>
        <v>2603106</v>
      </c>
      <c r="E113" s="902">
        <f>E114+E117+E120</f>
        <v>3242925</v>
      </c>
      <c r="F113" s="903">
        <f t="shared" si="6"/>
        <v>1.2457906055304702</v>
      </c>
    </row>
    <row r="114" spans="1:6" ht="13.5" customHeight="1">
      <c r="A114" s="980"/>
      <c r="B114" s="878" t="s">
        <v>346</v>
      </c>
      <c r="C114" s="904" t="s">
        <v>347</v>
      </c>
      <c r="D114" s="889">
        <f>D115</f>
        <v>58681</v>
      </c>
      <c r="E114" s="889">
        <f>E115</f>
        <v>0</v>
      </c>
      <c r="F114" s="890">
        <f t="shared" si="6"/>
        <v>0</v>
      </c>
    </row>
    <row r="115" spans="1:6" ht="13.5" customHeight="1">
      <c r="A115" s="880"/>
      <c r="B115" s="876"/>
      <c r="C115" s="895" t="s">
        <v>262</v>
      </c>
      <c r="D115" s="892">
        <f>D116</f>
        <v>58681</v>
      </c>
      <c r="E115" s="892">
        <f>E116</f>
        <v>0</v>
      </c>
      <c r="F115" s="896">
        <f t="shared" si="6"/>
        <v>0</v>
      </c>
    </row>
    <row r="116" spans="1:6" ht="13.5" customHeight="1">
      <c r="A116" s="880"/>
      <c r="B116" s="883"/>
      <c r="C116" s="908" t="s">
        <v>348</v>
      </c>
      <c r="D116" s="909">
        <f>'Dochody-ukł.wykon.'!E175</f>
        <v>58681</v>
      </c>
      <c r="E116" s="909">
        <f>'Dochody-ukł.wykon.'!F175</f>
        <v>0</v>
      </c>
      <c r="F116" s="906">
        <f t="shared" si="6"/>
        <v>0</v>
      </c>
    </row>
    <row r="117" spans="1:6" ht="13.5" customHeight="1">
      <c r="A117" s="880"/>
      <c r="B117" s="875" t="s">
        <v>349</v>
      </c>
      <c r="C117" s="897" t="s">
        <v>350</v>
      </c>
      <c r="D117" s="898">
        <f>D118</f>
        <v>15425</v>
      </c>
      <c r="E117" s="898">
        <f>E118</f>
        <v>4925</v>
      </c>
      <c r="F117" s="899">
        <f t="shared" si="6"/>
        <v>0.3192868719611021</v>
      </c>
    </row>
    <row r="118" spans="1:6" ht="13.5" customHeight="1">
      <c r="A118" s="880"/>
      <c r="B118" s="876"/>
      <c r="C118" s="895" t="s">
        <v>262</v>
      </c>
      <c r="D118" s="892">
        <f>D119</f>
        <v>15425</v>
      </c>
      <c r="E118" s="892">
        <f>E119</f>
        <v>4925</v>
      </c>
      <c r="F118" s="896">
        <f t="shared" si="6"/>
        <v>0.3192868719611021</v>
      </c>
    </row>
    <row r="119" spans="1:6" ht="13.5" customHeight="1">
      <c r="A119" s="880"/>
      <c r="B119" s="883"/>
      <c r="C119" s="895" t="s">
        <v>337</v>
      </c>
      <c r="D119" s="909">
        <f>'Dochody-ukł.wykon.'!E179</f>
        <v>15425</v>
      </c>
      <c r="E119" s="909">
        <f>'Dochody-ukł.wykon.'!F179</f>
        <v>4925</v>
      </c>
      <c r="F119" s="906">
        <f t="shared" si="6"/>
        <v>0.3192868719611021</v>
      </c>
    </row>
    <row r="120" spans="1:6" ht="21.75" customHeight="1">
      <c r="A120" s="880"/>
      <c r="B120" s="875" t="s">
        <v>351</v>
      </c>
      <c r="C120" s="917" t="s">
        <v>352</v>
      </c>
      <c r="D120" s="898">
        <f>D121</f>
        <v>2529000</v>
      </c>
      <c r="E120" s="898">
        <f>E121</f>
        <v>3238000</v>
      </c>
      <c r="F120" s="899">
        <f t="shared" si="6"/>
        <v>1.280347963621985</v>
      </c>
    </row>
    <row r="121" spans="1:6" ht="13.5" customHeight="1">
      <c r="A121" s="880"/>
      <c r="B121" s="876"/>
      <c r="C121" s="895" t="s">
        <v>262</v>
      </c>
      <c r="D121" s="892">
        <f>D122</f>
        <v>2529000</v>
      </c>
      <c r="E121" s="892">
        <f>E122</f>
        <v>3238000</v>
      </c>
      <c r="F121" s="896">
        <f t="shared" si="6"/>
        <v>1.280347963621985</v>
      </c>
    </row>
    <row r="122" spans="1:6" ht="13.5" customHeight="1">
      <c r="A122" s="880"/>
      <c r="B122" s="883"/>
      <c r="C122" s="908" t="s">
        <v>292</v>
      </c>
      <c r="D122" s="909">
        <f>'Dochody-ukł.wykon.'!E184</f>
        <v>2529000</v>
      </c>
      <c r="E122" s="909">
        <f>'Dochody-ukł.wykon.'!F184</f>
        <v>3238000</v>
      </c>
      <c r="F122" s="906">
        <f t="shared" si="6"/>
        <v>1.280347963621985</v>
      </c>
    </row>
    <row r="123" spans="1:6" ht="13.5" customHeight="1" thickBot="1">
      <c r="A123" s="978" t="s">
        <v>353</v>
      </c>
      <c r="B123" s="879"/>
      <c r="C123" s="905" t="s">
        <v>850</v>
      </c>
      <c r="D123" s="902">
        <f>D124+D131+D136+D141+D146+D152+D157</f>
        <v>5414242</v>
      </c>
      <c r="E123" s="902">
        <f>E124+E131+E136+E141+E146+E152+E157</f>
        <v>4997172</v>
      </c>
      <c r="F123" s="903">
        <f t="shared" si="6"/>
        <v>0.9229679796359306</v>
      </c>
    </row>
    <row r="124" spans="1:6" ht="13.5" customHeight="1">
      <c r="A124" s="980"/>
      <c r="B124" s="876" t="s">
        <v>354</v>
      </c>
      <c r="C124" s="895" t="s">
        <v>355</v>
      </c>
      <c r="D124" s="892">
        <f>D125+D128</f>
        <v>462080</v>
      </c>
      <c r="E124" s="892">
        <f>E125+E128</f>
        <v>314304</v>
      </c>
      <c r="F124" s="906">
        <f t="shared" si="6"/>
        <v>0.6801939058171745</v>
      </c>
    </row>
    <row r="125" spans="1:6" ht="13.5" customHeight="1">
      <c r="A125" s="880"/>
      <c r="B125" s="883"/>
      <c r="C125" s="895" t="s">
        <v>265</v>
      </c>
      <c r="D125" s="909">
        <f>D126+D127</f>
        <v>23120</v>
      </c>
      <c r="E125" s="909">
        <f>E126+E127</f>
        <v>3000</v>
      </c>
      <c r="F125" s="906">
        <f t="shared" si="6"/>
        <v>0.12975778546712802</v>
      </c>
    </row>
    <row r="126" spans="1:6" ht="13.5" customHeight="1">
      <c r="A126" s="880"/>
      <c r="B126" s="883"/>
      <c r="C126" s="908" t="s">
        <v>272</v>
      </c>
      <c r="D126" s="909">
        <f>'Dochody-ukł.wykon.'!E189</f>
        <v>622</v>
      </c>
      <c r="E126" s="909">
        <f>'Dochody-ukł.wykon.'!F189</f>
        <v>0</v>
      </c>
      <c r="F126" s="906">
        <f t="shared" si="6"/>
        <v>0</v>
      </c>
    </row>
    <row r="127" spans="1:6" ht="13.5" customHeight="1">
      <c r="A127" s="880"/>
      <c r="B127" s="883"/>
      <c r="C127" s="908" t="s">
        <v>273</v>
      </c>
      <c r="D127" s="909">
        <f>'Dochody-ukł.wykon.'!E190+'Dochody-ukł.wykon.'!E191</f>
        <v>22498</v>
      </c>
      <c r="E127" s="909">
        <f>'Dochody-ukł.wykon.'!F190+'Dochody-ukł.wykon.'!F191</f>
        <v>3000</v>
      </c>
      <c r="F127" s="906">
        <f t="shared" si="6"/>
        <v>0.13334518623877678</v>
      </c>
    </row>
    <row r="128" spans="1:6" ht="13.5" customHeight="1">
      <c r="A128" s="880"/>
      <c r="B128" s="883"/>
      <c r="C128" s="895" t="s">
        <v>274</v>
      </c>
      <c r="D128" s="909">
        <f>D129+D130</f>
        <v>438960</v>
      </c>
      <c r="E128" s="909">
        <f>E129+E130</f>
        <v>311304</v>
      </c>
      <c r="F128" s="906">
        <f t="shared" si="6"/>
        <v>0.7091853471842537</v>
      </c>
    </row>
    <row r="129" spans="1:6" ht="13.5" customHeight="1">
      <c r="A129" s="880"/>
      <c r="B129" s="883"/>
      <c r="C129" s="908" t="s">
        <v>348</v>
      </c>
      <c r="D129" s="909">
        <f>'Dochody-ukł.wykon.'!E192</f>
        <v>3000</v>
      </c>
      <c r="E129" s="909">
        <f>'Dochody-ukł.wykon.'!F192</f>
        <v>0</v>
      </c>
      <c r="F129" s="906">
        <f t="shared" si="6"/>
        <v>0</v>
      </c>
    </row>
    <row r="130" spans="1:6" ht="13.5" customHeight="1">
      <c r="A130" s="880"/>
      <c r="B130" s="883"/>
      <c r="C130" s="895" t="s">
        <v>337</v>
      </c>
      <c r="D130" s="909">
        <f>'Dochody-ukł.wykon.'!E194</f>
        <v>435960</v>
      </c>
      <c r="E130" s="909">
        <f>'Dochody-ukł.wykon.'!F194</f>
        <v>311304</v>
      </c>
      <c r="F130" s="906">
        <f t="shared" si="6"/>
        <v>0.7140655105973025</v>
      </c>
    </row>
    <row r="131" spans="1:6" ht="13.5" customHeight="1">
      <c r="A131" s="880"/>
      <c r="B131" s="875" t="s">
        <v>851</v>
      </c>
      <c r="C131" s="920" t="s">
        <v>356</v>
      </c>
      <c r="D131" s="898">
        <f>D132+D134</f>
        <v>4271052</v>
      </c>
      <c r="E131" s="898">
        <f>E132+E134</f>
        <v>4267452</v>
      </c>
      <c r="F131" s="899">
        <f t="shared" si="6"/>
        <v>0.9991571163263758</v>
      </c>
    </row>
    <row r="132" spans="1:6" ht="13.5" customHeight="1">
      <c r="A132" s="880"/>
      <c r="B132" s="876"/>
      <c r="C132" s="895" t="s">
        <v>265</v>
      </c>
      <c r="D132" s="892">
        <f>D133</f>
        <v>1704128</v>
      </c>
      <c r="E132" s="892">
        <f>E133</f>
        <v>1843452</v>
      </c>
      <c r="F132" s="896">
        <f t="shared" si="6"/>
        <v>1.0817567694445487</v>
      </c>
    </row>
    <row r="133" spans="1:6" ht="13.5" customHeight="1">
      <c r="A133" s="880"/>
      <c r="B133" s="883"/>
      <c r="C133" s="908" t="s">
        <v>281</v>
      </c>
      <c r="D133" s="909">
        <f>'Dochody-ukł.wykon.'!E198+'Dochody-ukł.wykon.'!E199</f>
        <v>1704128</v>
      </c>
      <c r="E133" s="909">
        <f>'Dochody-ukł.wykon.'!F198+'Dochody-ukł.wykon.'!F199</f>
        <v>1843452</v>
      </c>
      <c r="F133" s="906">
        <f t="shared" si="6"/>
        <v>1.0817567694445487</v>
      </c>
    </row>
    <row r="134" spans="1:6" ht="13.5" customHeight="1">
      <c r="A134" s="880"/>
      <c r="B134" s="883"/>
      <c r="C134" s="895" t="s">
        <v>274</v>
      </c>
      <c r="D134" s="909">
        <f>D135</f>
        <v>2566924</v>
      </c>
      <c r="E134" s="909">
        <f>E135</f>
        <v>2424000</v>
      </c>
      <c r="F134" s="906">
        <f aca="true" t="shared" si="8" ref="F134:F165">E134/D134</f>
        <v>0.9443209070467221</v>
      </c>
    </row>
    <row r="135" spans="1:6" ht="13.5" customHeight="1">
      <c r="A135" s="880"/>
      <c r="B135" s="883"/>
      <c r="C135" s="908" t="s">
        <v>348</v>
      </c>
      <c r="D135" s="909">
        <f>'Dochody-ukł.wykon.'!E200</f>
        <v>2566924</v>
      </c>
      <c r="E135" s="909">
        <f>'Dochody-ukł.wykon.'!F200</f>
        <v>2424000</v>
      </c>
      <c r="F135" s="906">
        <f t="shared" si="8"/>
        <v>0.9443209070467221</v>
      </c>
    </row>
    <row r="136" spans="1:6" ht="13.5" customHeight="1">
      <c r="A136" s="880"/>
      <c r="B136" s="875" t="s">
        <v>853</v>
      </c>
      <c r="C136" s="920" t="s">
        <v>357</v>
      </c>
      <c r="D136" s="898">
        <f>D137+D139</f>
        <v>253094</v>
      </c>
      <c r="E136" s="898">
        <f>E137+E139</f>
        <v>332704</v>
      </c>
      <c r="F136" s="899">
        <f t="shared" si="8"/>
        <v>1.3145471642946889</v>
      </c>
    </row>
    <row r="137" spans="1:6" ht="13.5" customHeight="1">
      <c r="A137" s="880"/>
      <c r="B137" s="876"/>
      <c r="C137" s="895" t="s">
        <v>265</v>
      </c>
      <c r="D137" s="892">
        <f>D138</f>
        <v>11594</v>
      </c>
      <c r="E137" s="892">
        <f>E138</f>
        <v>8704</v>
      </c>
      <c r="F137" s="896">
        <f t="shared" si="8"/>
        <v>0.750733137829912</v>
      </c>
    </row>
    <row r="138" spans="1:6" ht="13.5" customHeight="1">
      <c r="A138" s="880"/>
      <c r="B138" s="883"/>
      <c r="C138" s="908" t="s">
        <v>281</v>
      </c>
      <c r="D138" s="909">
        <f>'Dochody-ukł.wykon.'!E204+'Dochody-ukł.wykon.'!E205</f>
        <v>11594</v>
      </c>
      <c r="E138" s="909">
        <f>'Dochody-ukł.wykon.'!F204+'Dochody-ukł.wykon.'!F205</f>
        <v>8704</v>
      </c>
      <c r="F138" s="906">
        <f t="shared" si="8"/>
        <v>0.750733137829912</v>
      </c>
    </row>
    <row r="139" spans="1:6" ht="13.5" customHeight="1">
      <c r="A139" s="880"/>
      <c r="B139" s="883"/>
      <c r="C139" s="895" t="s">
        <v>274</v>
      </c>
      <c r="D139" s="909">
        <f>D140</f>
        <v>241500</v>
      </c>
      <c r="E139" s="909">
        <f>E140</f>
        <v>324000</v>
      </c>
      <c r="F139" s="906">
        <f t="shared" si="8"/>
        <v>1.3416149068322982</v>
      </c>
    </row>
    <row r="140" spans="1:6" ht="13.5" customHeight="1">
      <c r="A140" s="880"/>
      <c r="B140" s="883"/>
      <c r="C140" s="908" t="s">
        <v>292</v>
      </c>
      <c r="D140" s="909">
        <f>'Dochody-ukł.wykon.'!E206</f>
        <v>241500</v>
      </c>
      <c r="E140" s="909">
        <f>'Dochody-ukł.wykon.'!F206</f>
        <v>324000</v>
      </c>
      <c r="F140" s="906">
        <f t="shared" si="8"/>
        <v>1.3416149068322982</v>
      </c>
    </row>
    <row r="141" spans="1:6" ht="13.5" customHeight="1">
      <c r="A141" s="880"/>
      <c r="B141" s="875" t="s">
        <v>854</v>
      </c>
      <c r="C141" s="920" t="s">
        <v>358</v>
      </c>
      <c r="D141" s="898">
        <f>D142+D144</f>
        <v>57100</v>
      </c>
      <c r="E141" s="898">
        <f>E142+E144</f>
        <v>56600</v>
      </c>
      <c r="F141" s="899">
        <f t="shared" si="8"/>
        <v>0.9912434325744308</v>
      </c>
    </row>
    <row r="142" spans="1:6" ht="13.5" customHeight="1">
      <c r="A142" s="880"/>
      <c r="B142" s="876"/>
      <c r="C142" s="895" t="s">
        <v>265</v>
      </c>
      <c r="D142" s="892">
        <f>D143</f>
        <v>500</v>
      </c>
      <c r="E142" s="892">
        <f>E143</f>
        <v>0</v>
      </c>
      <c r="F142" s="896">
        <f t="shared" si="8"/>
        <v>0</v>
      </c>
    </row>
    <row r="143" spans="1:6" ht="13.5" customHeight="1">
      <c r="A143" s="880"/>
      <c r="B143" s="883"/>
      <c r="C143" s="908" t="s">
        <v>281</v>
      </c>
      <c r="D143" s="909">
        <f>'Dochody-ukł.wykon.'!E210</f>
        <v>500</v>
      </c>
      <c r="E143" s="909">
        <f>'Dochody-ukł.wykon.'!F210</f>
        <v>0</v>
      </c>
      <c r="F143" s="906">
        <f t="shared" si="8"/>
        <v>0</v>
      </c>
    </row>
    <row r="144" spans="1:6" ht="13.5" customHeight="1">
      <c r="A144" s="880"/>
      <c r="B144" s="883"/>
      <c r="C144" s="895" t="s">
        <v>274</v>
      </c>
      <c r="D144" s="909">
        <f>D145</f>
        <v>56600</v>
      </c>
      <c r="E144" s="909">
        <f>E145</f>
        <v>56600</v>
      </c>
      <c r="F144" s="906">
        <f t="shared" si="8"/>
        <v>1</v>
      </c>
    </row>
    <row r="145" spans="1:6" ht="13.5" customHeight="1">
      <c r="A145" s="880"/>
      <c r="B145" s="883"/>
      <c r="C145" s="895" t="s">
        <v>337</v>
      </c>
      <c r="D145" s="909">
        <f>'Dochody-ukł.wykon.'!E211</f>
        <v>56600</v>
      </c>
      <c r="E145" s="909">
        <f>'Dochody-ukł.wykon.'!F211</f>
        <v>56600</v>
      </c>
      <c r="F145" s="906">
        <f t="shared" si="8"/>
        <v>1</v>
      </c>
    </row>
    <row r="146" spans="1:6" ht="13.5" customHeight="1">
      <c r="A146" s="880"/>
      <c r="B146" s="875" t="s">
        <v>855</v>
      </c>
      <c r="C146" s="920" t="s">
        <v>359</v>
      </c>
      <c r="D146" s="898">
        <f>D147+D149</f>
        <v>56700</v>
      </c>
      <c r="E146" s="898">
        <f>E147+E149</f>
        <v>5000</v>
      </c>
      <c r="F146" s="899">
        <f t="shared" si="8"/>
        <v>0.08818342151675485</v>
      </c>
    </row>
    <row r="147" spans="1:6" ht="13.5" customHeight="1">
      <c r="A147" s="880"/>
      <c r="B147" s="876"/>
      <c r="C147" s="895" t="s">
        <v>265</v>
      </c>
      <c r="D147" s="892">
        <f>D148</f>
        <v>10700</v>
      </c>
      <c r="E147" s="892">
        <f>E148</f>
        <v>5000</v>
      </c>
      <c r="F147" s="896">
        <f t="shared" si="8"/>
        <v>0.4672897196261682</v>
      </c>
    </row>
    <row r="148" spans="1:6" ht="13.5" customHeight="1">
      <c r="A148" s="880"/>
      <c r="B148" s="883"/>
      <c r="C148" s="908" t="s">
        <v>281</v>
      </c>
      <c r="D148" s="909">
        <f>'Dochody-ukł.wykon.'!E215</f>
        <v>10700</v>
      </c>
      <c r="E148" s="909">
        <f>'Dochody-ukł.wykon.'!F215</f>
        <v>5000</v>
      </c>
      <c r="F148" s="906">
        <f t="shared" si="8"/>
        <v>0.4672897196261682</v>
      </c>
    </row>
    <row r="149" spans="1:6" ht="13.5" customHeight="1">
      <c r="A149" s="880"/>
      <c r="B149" s="883"/>
      <c r="C149" s="895" t="s">
        <v>274</v>
      </c>
      <c r="D149" s="909">
        <f>D150+D151</f>
        <v>46000</v>
      </c>
      <c r="E149" s="909">
        <f>E150+E151</f>
        <v>0</v>
      </c>
      <c r="F149" s="906">
        <f t="shared" si="8"/>
        <v>0</v>
      </c>
    </row>
    <row r="150" spans="1:6" ht="13.5" customHeight="1">
      <c r="A150" s="880"/>
      <c r="B150" s="883"/>
      <c r="C150" s="895" t="s">
        <v>360</v>
      </c>
      <c r="D150" s="909">
        <f>'Dochody-ukł.wykon.'!E216</f>
        <v>40000</v>
      </c>
      <c r="E150" s="909">
        <f>'Dochody-ukł.wykon.'!F216</f>
        <v>0</v>
      </c>
      <c r="F150" s="906">
        <f t="shared" si="8"/>
        <v>0</v>
      </c>
    </row>
    <row r="151" spans="1:6" ht="13.5" customHeight="1">
      <c r="A151" s="880"/>
      <c r="B151" s="883"/>
      <c r="C151" s="895" t="s">
        <v>361</v>
      </c>
      <c r="D151" s="909">
        <f>'Dochody-ukł.wykon.'!E218</f>
        <v>6000</v>
      </c>
      <c r="E151" s="909">
        <f>'Dochody-ukł.wykon.'!F218</f>
        <v>0</v>
      </c>
      <c r="F151" s="906">
        <f t="shared" si="8"/>
        <v>0</v>
      </c>
    </row>
    <row r="152" spans="1:6" ht="24" customHeight="1">
      <c r="A152" s="880"/>
      <c r="B152" s="875" t="s">
        <v>856</v>
      </c>
      <c r="C152" s="922" t="s">
        <v>362</v>
      </c>
      <c r="D152" s="898">
        <f>D153+D155</f>
        <v>134216</v>
      </c>
      <c r="E152" s="898">
        <f>E153+E155</f>
        <v>21112</v>
      </c>
      <c r="F152" s="899">
        <f t="shared" si="8"/>
        <v>0.15729868272039102</v>
      </c>
    </row>
    <row r="153" spans="1:6" ht="13.5" customHeight="1">
      <c r="A153" s="880"/>
      <c r="B153" s="876"/>
      <c r="C153" s="895" t="s">
        <v>265</v>
      </c>
      <c r="D153" s="892">
        <f>D154</f>
        <v>34216</v>
      </c>
      <c r="E153" s="892">
        <f>E154</f>
        <v>21112</v>
      </c>
      <c r="F153" s="896">
        <f t="shared" si="8"/>
        <v>0.6170212765957447</v>
      </c>
    </row>
    <row r="154" spans="1:6" ht="13.5" customHeight="1">
      <c r="A154" s="880"/>
      <c r="B154" s="883"/>
      <c r="C154" s="908" t="s">
        <v>281</v>
      </c>
      <c r="D154" s="909">
        <f>'Dochody-ukł.wykon.'!E222</f>
        <v>34216</v>
      </c>
      <c r="E154" s="909">
        <f>'Dochody-ukł.wykon.'!F222</f>
        <v>21112</v>
      </c>
      <c r="F154" s="906">
        <f t="shared" si="8"/>
        <v>0.6170212765957447</v>
      </c>
    </row>
    <row r="155" spans="1:6" ht="13.5" customHeight="1">
      <c r="A155" s="880"/>
      <c r="B155" s="883"/>
      <c r="C155" s="895" t="s">
        <v>274</v>
      </c>
      <c r="D155" s="909">
        <f>D156</f>
        <v>100000</v>
      </c>
      <c r="E155" s="909">
        <f>E156</f>
        <v>0</v>
      </c>
      <c r="F155" s="906">
        <f t="shared" si="8"/>
        <v>0</v>
      </c>
    </row>
    <row r="156" spans="1:6" ht="13.5" customHeight="1">
      <c r="A156" s="880"/>
      <c r="B156" s="883"/>
      <c r="C156" s="895" t="s">
        <v>360</v>
      </c>
      <c r="D156" s="909">
        <f>'Dochody-ukł.wykon.'!E223</f>
        <v>100000</v>
      </c>
      <c r="E156" s="909">
        <f>'Dochody-ukł.wykon.'!F223</f>
        <v>0</v>
      </c>
      <c r="F156" s="906">
        <f t="shared" si="8"/>
        <v>0</v>
      </c>
    </row>
    <row r="157" spans="1:6" ht="13.5" customHeight="1">
      <c r="A157" s="880"/>
      <c r="B157" s="875" t="s">
        <v>363</v>
      </c>
      <c r="C157" s="920" t="s">
        <v>264</v>
      </c>
      <c r="D157" s="898">
        <f>D158</f>
        <v>180000</v>
      </c>
      <c r="E157" s="898">
        <f>E158</f>
        <v>0</v>
      </c>
      <c r="F157" s="899">
        <f t="shared" si="8"/>
        <v>0</v>
      </c>
    </row>
    <row r="158" spans="1:6" ht="13.5" customHeight="1">
      <c r="A158" s="880"/>
      <c r="B158" s="876"/>
      <c r="C158" s="895" t="s">
        <v>262</v>
      </c>
      <c r="D158" s="892">
        <f>D159+D160</f>
        <v>180000</v>
      </c>
      <c r="E158" s="892">
        <f>E159+E160</f>
        <v>0</v>
      </c>
      <c r="F158" s="896">
        <f t="shared" si="8"/>
        <v>0</v>
      </c>
    </row>
    <row r="159" spans="1:6" ht="13.5" customHeight="1">
      <c r="A159" s="880"/>
      <c r="B159" s="883"/>
      <c r="C159" s="895" t="s">
        <v>360</v>
      </c>
      <c r="D159" s="909">
        <f>'Dochody-ukł.wykon.'!E227</f>
        <v>160000</v>
      </c>
      <c r="E159" s="909">
        <f>'Dochody-ukł.wykon.'!F227</f>
        <v>0</v>
      </c>
      <c r="F159" s="906">
        <f t="shared" si="8"/>
        <v>0</v>
      </c>
    </row>
    <row r="160" spans="1:6" ht="13.5" customHeight="1">
      <c r="A160" s="880"/>
      <c r="B160" s="883"/>
      <c r="C160" s="895" t="s">
        <v>337</v>
      </c>
      <c r="D160" s="909">
        <f>'Dochody-ukł.wykon.'!E229</f>
        <v>20000</v>
      </c>
      <c r="E160" s="909">
        <f>'Dochody-ukł.wykon.'!F229</f>
        <v>0</v>
      </c>
      <c r="F160" s="906">
        <f t="shared" si="8"/>
        <v>0</v>
      </c>
    </row>
    <row r="161" spans="1:6" ht="13.5" customHeight="1" thickBot="1">
      <c r="A161" s="978" t="s">
        <v>364</v>
      </c>
      <c r="B161" s="879"/>
      <c r="C161" s="918" t="s">
        <v>365</v>
      </c>
      <c r="D161" s="902">
        <f>D162+D165+D168+D174+D177</f>
        <v>3865411</v>
      </c>
      <c r="E161" s="902">
        <f>E162+E165+E168+E174+E177</f>
        <v>571577</v>
      </c>
      <c r="F161" s="903">
        <f t="shared" si="8"/>
        <v>0.14786965732751317</v>
      </c>
    </row>
    <row r="162" spans="1:6" ht="13.5" customHeight="1">
      <c r="A162" s="980"/>
      <c r="B162" s="878" t="s">
        <v>366</v>
      </c>
      <c r="C162" s="904" t="s">
        <v>367</v>
      </c>
      <c r="D162" s="889">
        <f>D163</f>
        <v>274325</v>
      </c>
      <c r="E162" s="889">
        <f>E163</f>
        <v>320000</v>
      </c>
      <c r="F162" s="890">
        <f t="shared" si="8"/>
        <v>1.166499589902488</v>
      </c>
    </row>
    <row r="163" spans="1:6" ht="13.5" customHeight="1">
      <c r="A163" s="880"/>
      <c r="B163" s="876"/>
      <c r="C163" s="895" t="s">
        <v>262</v>
      </c>
      <c r="D163" s="892">
        <f>D164</f>
        <v>274325</v>
      </c>
      <c r="E163" s="892">
        <f>E164</f>
        <v>320000</v>
      </c>
      <c r="F163" s="896">
        <f t="shared" si="8"/>
        <v>1.166499589902488</v>
      </c>
    </row>
    <row r="164" spans="1:6" ht="13.5" customHeight="1">
      <c r="A164" s="880"/>
      <c r="B164" s="883"/>
      <c r="C164" s="895" t="s">
        <v>368</v>
      </c>
      <c r="D164" s="909">
        <f>'Dochody-ukł.wykon.'!E234</f>
        <v>274325</v>
      </c>
      <c r="E164" s="909">
        <f>'Dochody-ukł.wykon.'!F234</f>
        <v>320000</v>
      </c>
      <c r="F164" s="906">
        <f t="shared" si="8"/>
        <v>1.166499589902488</v>
      </c>
    </row>
    <row r="165" spans="1:6" ht="21.75" customHeight="1">
      <c r="A165" s="880"/>
      <c r="B165" s="875" t="s">
        <v>369</v>
      </c>
      <c r="C165" s="922" t="s">
        <v>370</v>
      </c>
      <c r="D165" s="898">
        <f>D166</f>
        <v>51225</v>
      </c>
      <c r="E165" s="898">
        <f>E166</f>
        <v>45000</v>
      </c>
      <c r="F165" s="899">
        <f t="shared" si="8"/>
        <v>0.8784773060029283</v>
      </c>
    </row>
    <row r="166" spans="1:6" ht="13.5" customHeight="1">
      <c r="A166" s="880"/>
      <c r="B166" s="876"/>
      <c r="C166" s="895" t="s">
        <v>265</v>
      </c>
      <c r="D166" s="892">
        <f>D167</f>
        <v>51225</v>
      </c>
      <c r="E166" s="892">
        <f>E167</f>
        <v>45000</v>
      </c>
      <c r="F166" s="896">
        <f aca="true" t="shared" si="9" ref="F166:F179">E166/D166</f>
        <v>0.8784773060029283</v>
      </c>
    </row>
    <row r="167" spans="1:6" ht="13.5" customHeight="1">
      <c r="A167" s="880"/>
      <c r="B167" s="883"/>
      <c r="C167" s="908" t="s">
        <v>281</v>
      </c>
      <c r="D167" s="909">
        <f>'Dochody-ukł.wykon.'!E238</f>
        <v>51225</v>
      </c>
      <c r="E167" s="909">
        <f>'Dochody-ukł.wykon.'!F238</f>
        <v>45000</v>
      </c>
      <c r="F167" s="906">
        <f t="shared" si="9"/>
        <v>0.8784773060029283</v>
      </c>
    </row>
    <row r="168" spans="1:6" ht="13.5" customHeight="1">
      <c r="A168" s="880"/>
      <c r="B168" s="875" t="s">
        <v>371</v>
      </c>
      <c r="C168" s="920" t="s">
        <v>372</v>
      </c>
      <c r="D168" s="898">
        <f>D169+D171+D173</f>
        <v>2289264</v>
      </c>
      <c r="E168" s="898">
        <f>E169+E171+E173</f>
        <v>0</v>
      </c>
      <c r="F168" s="899">
        <f t="shared" si="9"/>
        <v>0</v>
      </c>
    </row>
    <row r="169" spans="1:6" ht="13.5" customHeight="1">
      <c r="A169" s="880"/>
      <c r="B169" s="876"/>
      <c r="C169" s="895" t="s">
        <v>265</v>
      </c>
      <c r="D169" s="892">
        <f>D170</f>
        <v>215000</v>
      </c>
      <c r="E169" s="892">
        <f>E170</f>
        <v>0</v>
      </c>
      <c r="F169" s="896">
        <f t="shared" si="9"/>
        <v>0</v>
      </c>
    </row>
    <row r="170" spans="1:6" ht="13.5" customHeight="1">
      <c r="A170" s="880"/>
      <c r="B170" s="883"/>
      <c r="C170" s="908" t="s">
        <v>281</v>
      </c>
      <c r="D170" s="909">
        <f>'Dochody-ukł.wykon.'!E241+'Dochody-ukł.wykon.'!E242</f>
        <v>215000</v>
      </c>
      <c r="E170" s="909">
        <f>'Dochody-ukł.wykon.'!F241+'Dochody-ukł.wykon.'!F242</f>
        <v>0</v>
      </c>
      <c r="F170" s="906">
        <f t="shared" si="9"/>
        <v>0</v>
      </c>
    </row>
    <row r="171" spans="1:6" ht="13.5" customHeight="1">
      <c r="A171" s="880"/>
      <c r="B171" s="883"/>
      <c r="C171" s="895" t="s">
        <v>274</v>
      </c>
      <c r="D171" s="909">
        <f>D172</f>
        <v>1402362</v>
      </c>
      <c r="E171" s="909">
        <f>E172</f>
        <v>0</v>
      </c>
      <c r="F171" s="906">
        <f t="shared" si="9"/>
        <v>0</v>
      </c>
    </row>
    <row r="172" spans="1:6" ht="13.5" customHeight="1">
      <c r="A172" s="880"/>
      <c r="B172" s="883"/>
      <c r="C172" s="895" t="s">
        <v>337</v>
      </c>
      <c r="D172" s="909">
        <f>'Dochody-ukł.wykon.'!E243</f>
        <v>1402362</v>
      </c>
      <c r="E172" s="909">
        <f>'Dochody-ukł.wykon.'!F243</f>
        <v>0</v>
      </c>
      <c r="F172" s="906">
        <f t="shared" si="9"/>
        <v>0</v>
      </c>
    </row>
    <row r="173" spans="1:6" ht="13.5" customHeight="1">
      <c r="A173" s="880"/>
      <c r="B173" s="883"/>
      <c r="C173" s="895" t="s">
        <v>287</v>
      </c>
      <c r="D173" s="909">
        <f>'Dochody-ukł.wykon.'!E245</f>
        <v>671902</v>
      </c>
      <c r="E173" s="909">
        <f>'Dochody-ukł.wykon.'!F245</f>
        <v>0</v>
      </c>
      <c r="F173" s="906">
        <f t="shared" si="9"/>
        <v>0</v>
      </c>
    </row>
    <row r="174" spans="1:6" ht="13.5" customHeight="1">
      <c r="A174" s="880"/>
      <c r="B174" s="875" t="s">
        <v>373</v>
      </c>
      <c r="C174" s="920" t="s">
        <v>379</v>
      </c>
      <c r="D174" s="898">
        <f>D175</f>
        <v>5745</v>
      </c>
      <c r="E174" s="898">
        <f>E175</f>
        <v>0</v>
      </c>
      <c r="F174" s="899">
        <f t="shared" si="9"/>
        <v>0</v>
      </c>
    </row>
    <row r="175" spans="1:6" ht="13.5" customHeight="1">
      <c r="A175" s="880"/>
      <c r="B175" s="876"/>
      <c r="C175" s="895" t="s">
        <v>262</v>
      </c>
      <c r="D175" s="892">
        <f>D176</f>
        <v>5745</v>
      </c>
      <c r="E175" s="892">
        <f>E176</f>
        <v>0</v>
      </c>
      <c r="F175" s="896">
        <f t="shared" si="9"/>
        <v>0</v>
      </c>
    </row>
    <row r="176" spans="1:6" ht="13.5" customHeight="1">
      <c r="A176" s="880"/>
      <c r="B176" s="883"/>
      <c r="C176" s="895" t="s">
        <v>368</v>
      </c>
      <c r="D176" s="909">
        <f>'Dochody-ukł.wykon.'!E249</f>
        <v>5745</v>
      </c>
      <c r="E176" s="909">
        <f>'Dochody-ukł.wykon.'!F249</f>
        <v>0</v>
      </c>
      <c r="F176" s="906">
        <f t="shared" si="9"/>
        <v>0</v>
      </c>
    </row>
    <row r="177" spans="1:6" ht="13.5" customHeight="1">
      <c r="A177" s="880"/>
      <c r="B177" s="875" t="s">
        <v>380</v>
      </c>
      <c r="C177" s="920" t="s">
        <v>264</v>
      </c>
      <c r="D177" s="898">
        <f>D178</f>
        <v>1244852</v>
      </c>
      <c r="E177" s="898">
        <f>E178</f>
        <v>206577</v>
      </c>
      <c r="F177" s="906">
        <f t="shared" si="9"/>
        <v>0.16594502800332891</v>
      </c>
    </row>
    <row r="178" spans="1:6" ht="13.5" customHeight="1">
      <c r="A178" s="880"/>
      <c r="B178" s="876"/>
      <c r="C178" s="895" t="s">
        <v>262</v>
      </c>
      <c r="D178" s="892">
        <f>D179</f>
        <v>1244852</v>
      </c>
      <c r="E178" s="892">
        <f>E179</f>
        <v>206577</v>
      </c>
      <c r="F178" s="906">
        <f t="shared" si="9"/>
        <v>0.16594502800332891</v>
      </c>
    </row>
    <row r="179" spans="1:6" ht="13.5" customHeight="1">
      <c r="A179" s="880"/>
      <c r="B179" s="883"/>
      <c r="C179" s="895" t="s">
        <v>381</v>
      </c>
      <c r="D179" s="909">
        <f>'Dochody-ukł.wykon.'!E253+'Dochody-ukł.wykon.'!E255</f>
        <v>1244852</v>
      </c>
      <c r="E179" s="909">
        <f>'Dochody-ukł.wykon.'!F253+'Dochody-ukł.wykon.'!F255</f>
        <v>206577</v>
      </c>
      <c r="F179" s="906">
        <f t="shared" si="9"/>
        <v>0.16594502800332891</v>
      </c>
    </row>
    <row r="180" spans="1:6" ht="13.5" customHeight="1" thickBot="1">
      <c r="A180" s="978" t="s">
        <v>382</v>
      </c>
      <c r="B180" s="879"/>
      <c r="C180" s="918" t="s">
        <v>784</v>
      </c>
      <c r="D180" s="902">
        <f>D181+D184+D187+D191</f>
        <v>968256</v>
      </c>
      <c r="E180" s="902">
        <f>E181+E184+E187+E191</f>
        <v>327460</v>
      </c>
      <c r="F180" s="903">
        <f aca="true" t="shared" si="10" ref="F180:F190">E180/D180</f>
        <v>0.33819568378610615</v>
      </c>
    </row>
    <row r="181" spans="1:6" ht="23.25" customHeight="1">
      <c r="A181" s="980"/>
      <c r="B181" s="878" t="s">
        <v>383</v>
      </c>
      <c r="C181" s="915" t="s">
        <v>384</v>
      </c>
      <c r="D181" s="889">
        <f>D182</f>
        <v>775</v>
      </c>
      <c r="E181" s="889">
        <f>E182</f>
        <v>0</v>
      </c>
      <c r="F181" s="890">
        <f t="shared" si="10"/>
        <v>0</v>
      </c>
    </row>
    <row r="182" spans="1:6" ht="13.5" customHeight="1">
      <c r="A182" s="880"/>
      <c r="B182" s="876"/>
      <c r="C182" s="895" t="s">
        <v>265</v>
      </c>
      <c r="D182" s="892">
        <f>D183</f>
        <v>775</v>
      </c>
      <c r="E182" s="892">
        <f>E183</f>
        <v>0</v>
      </c>
      <c r="F182" s="896">
        <f t="shared" si="10"/>
        <v>0</v>
      </c>
    </row>
    <row r="183" spans="1:6" ht="13.5" customHeight="1">
      <c r="A183" s="880"/>
      <c r="B183" s="883"/>
      <c r="C183" s="908" t="s">
        <v>281</v>
      </c>
      <c r="D183" s="909">
        <f>'Dochody-ukł.wykon.'!E260</f>
        <v>775</v>
      </c>
      <c r="E183" s="909">
        <f>'Dochody-ukł.wykon.'!F260</f>
        <v>0</v>
      </c>
      <c r="F183" s="906">
        <f t="shared" si="10"/>
        <v>0</v>
      </c>
    </row>
    <row r="184" spans="1:6" ht="13.5" customHeight="1">
      <c r="A184" s="880"/>
      <c r="B184" s="875" t="s">
        <v>392</v>
      </c>
      <c r="C184" s="920" t="s">
        <v>386</v>
      </c>
      <c r="D184" s="898">
        <f>D185</f>
        <v>139793</v>
      </c>
      <c r="E184" s="898">
        <f>E185</f>
        <v>111580</v>
      </c>
      <c r="F184" s="899">
        <f t="shared" si="10"/>
        <v>0.798180166388875</v>
      </c>
    </row>
    <row r="185" spans="1:6" ht="13.5" customHeight="1">
      <c r="A185" s="880"/>
      <c r="B185" s="876"/>
      <c r="C185" s="895" t="s">
        <v>265</v>
      </c>
      <c r="D185" s="892">
        <f>D186</f>
        <v>139793</v>
      </c>
      <c r="E185" s="892">
        <f>E186</f>
        <v>111580</v>
      </c>
      <c r="F185" s="896">
        <f t="shared" si="10"/>
        <v>0.798180166388875</v>
      </c>
    </row>
    <row r="186" spans="1:6" ht="13.5" customHeight="1">
      <c r="A186" s="880"/>
      <c r="B186" s="883"/>
      <c r="C186" s="908" t="s">
        <v>281</v>
      </c>
      <c r="D186" s="909">
        <f>'Dochody-ukł.wykon.'!E263</f>
        <v>139793</v>
      </c>
      <c r="E186" s="909">
        <f>'Dochody-ukł.wykon.'!F263</f>
        <v>111580</v>
      </c>
      <c r="F186" s="906">
        <f t="shared" si="10"/>
        <v>0.798180166388875</v>
      </c>
    </row>
    <row r="187" spans="1:6" ht="13.5" customHeight="1">
      <c r="A187" s="880"/>
      <c r="B187" s="875" t="s">
        <v>385</v>
      </c>
      <c r="C187" s="920" t="s">
        <v>387</v>
      </c>
      <c r="D187" s="898">
        <f>D188</f>
        <v>731564</v>
      </c>
      <c r="E187" s="898">
        <f>E188</f>
        <v>153880</v>
      </c>
      <c r="F187" s="899">
        <f t="shared" si="10"/>
        <v>0.2103438660185575</v>
      </c>
    </row>
    <row r="188" spans="1:6" ht="13.5" customHeight="1">
      <c r="A188" s="880"/>
      <c r="B188" s="876"/>
      <c r="C188" s="895" t="s">
        <v>262</v>
      </c>
      <c r="D188" s="892">
        <f>D189+D190</f>
        <v>731564</v>
      </c>
      <c r="E188" s="892">
        <f>E189+E190</f>
        <v>153880</v>
      </c>
      <c r="F188" s="896">
        <f t="shared" si="10"/>
        <v>0.2103438660185575</v>
      </c>
    </row>
    <row r="189" spans="1:6" ht="13.5" customHeight="1">
      <c r="A189" s="880"/>
      <c r="B189" s="883"/>
      <c r="C189" s="895" t="s">
        <v>388</v>
      </c>
      <c r="D189" s="909">
        <f>'Dochody-ukł.wykon.'!E266</f>
        <v>335777</v>
      </c>
      <c r="E189" s="909">
        <f>'Dochody-ukł.wykon.'!F266</f>
        <v>0</v>
      </c>
      <c r="F189" s="906">
        <f t="shared" si="10"/>
        <v>0</v>
      </c>
    </row>
    <row r="190" spans="1:6" ht="13.5" customHeight="1">
      <c r="A190" s="880"/>
      <c r="B190" s="883"/>
      <c r="C190" s="895" t="s">
        <v>389</v>
      </c>
      <c r="D190" s="909">
        <f>'Dochody-ukł.wykon.'!E268+'Dochody-ukł.wykon.'!E270+'Dochody-ukł.wykon.'!E272+'Dochody-ukł.wykon.'!E274</f>
        <v>395787</v>
      </c>
      <c r="E190" s="909">
        <f>'Dochody-ukł.wykon.'!F268+'Dochody-ukł.wykon.'!F270+'Dochody-ukł.wykon.'!F272+'Dochody-ukł.wykon.'!F274</f>
        <v>153880</v>
      </c>
      <c r="F190" s="906">
        <f t="shared" si="10"/>
        <v>0.3887949831601341</v>
      </c>
    </row>
    <row r="191" spans="1:6" ht="13.5" customHeight="1">
      <c r="A191" s="880"/>
      <c r="B191" s="875" t="s">
        <v>390</v>
      </c>
      <c r="C191" s="920" t="s">
        <v>391</v>
      </c>
      <c r="D191" s="898">
        <f>D192</f>
        <v>96124</v>
      </c>
      <c r="E191" s="898">
        <f>E192</f>
        <v>62000</v>
      </c>
      <c r="F191" s="899">
        <f>E191/D191</f>
        <v>0.6450002080645832</v>
      </c>
    </row>
    <row r="192" spans="1:6" ht="13.5" customHeight="1">
      <c r="A192" s="880"/>
      <c r="B192" s="876"/>
      <c r="C192" s="895" t="s">
        <v>265</v>
      </c>
      <c r="D192" s="892">
        <f>D193+D194</f>
        <v>96124</v>
      </c>
      <c r="E192" s="892">
        <f>E193+E194</f>
        <v>62000</v>
      </c>
      <c r="F192" s="896">
        <f>E192/D192</f>
        <v>0.6450002080645832</v>
      </c>
    </row>
    <row r="193" spans="1:6" ht="13.5" customHeight="1">
      <c r="A193" s="880"/>
      <c r="B193" s="883"/>
      <c r="C193" s="908" t="s">
        <v>272</v>
      </c>
      <c r="D193" s="909">
        <f>'Dochody-ukł.wykon.'!E279</f>
        <v>9633</v>
      </c>
      <c r="E193" s="909">
        <f>'Dochody-ukł.wykon.'!F279</f>
        <v>0</v>
      </c>
      <c r="F193" s="906">
        <f>E193/D193</f>
        <v>0</v>
      </c>
    </row>
    <row r="194" spans="1:6" ht="13.5" customHeight="1">
      <c r="A194" s="880"/>
      <c r="B194" s="883"/>
      <c r="C194" s="910" t="s">
        <v>273</v>
      </c>
      <c r="D194" s="909">
        <f>'Dochody-ukł.wykon.'!E278+'Dochody-ukł.wykon.'!E280+'Dochody-ukł.wykon.'!E281</f>
        <v>86491</v>
      </c>
      <c r="E194" s="909">
        <f>'Dochody-ukł.wykon.'!F278+'Dochody-ukł.wykon.'!F280+'Dochody-ukł.wykon.'!F281</f>
        <v>62000</v>
      </c>
      <c r="F194" s="906">
        <f>E194/D194</f>
        <v>0.7168375900382699</v>
      </c>
    </row>
    <row r="195" spans="1:6" s="68" customFormat="1" ht="13.5" customHeight="1" thickBot="1">
      <c r="A195" s="1030" t="s">
        <v>526</v>
      </c>
      <c r="B195" s="1031"/>
      <c r="C195" s="1031"/>
      <c r="D195" s="923">
        <f>D7+D14+D17+D31+D39+D49+D62+D66+D70+D74+D86+D109+D113+D123+D161+D180</f>
        <v>37525799</v>
      </c>
      <c r="E195" s="923">
        <f>E7+E14+E17+E31+E39+E49+E62+E66+E70+E74+E86+E109+E113+E123+E161+E180</f>
        <v>35454860</v>
      </c>
      <c r="F195" s="903">
        <f>E195/D195</f>
        <v>0.9448129272344075</v>
      </c>
    </row>
    <row r="196" spans="2:5" ht="12.75">
      <c r="B196" s="1"/>
      <c r="C196" s="1"/>
      <c r="D196" s="1"/>
      <c r="E196" s="1"/>
    </row>
    <row r="197" spans="1:5" ht="12.75">
      <c r="A197" s="75" t="s">
        <v>604</v>
      </c>
      <c r="B197" s="1"/>
      <c r="C197" s="1"/>
      <c r="D197" s="1"/>
      <c r="E197" s="1"/>
    </row>
    <row r="198" spans="2:5" ht="12.75">
      <c r="B198" s="7"/>
      <c r="C198" s="7"/>
      <c r="D198" s="1"/>
      <c r="E198" s="1"/>
    </row>
    <row r="199" spans="2:5" ht="12.75">
      <c r="B199" s="1"/>
      <c r="C199" s="1"/>
      <c r="D199" s="1"/>
      <c r="E199" s="1"/>
    </row>
    <row r="200" spans="2:5" ht="12.75">
      <c r="B200" s="1"/>
      <c r="C200" s="1"/>
      <c r="D200" s="1"/>
      <c r="E200" s="1"/>
    </row>
    <row r="201" spans="2:5" ht="12.75">
      <c r="B201" s="1"/>
      <c r="C201" s="1"/>
      <c r="D201" s="1"/>
      <c r="E201" s="1"/>
    </row>
    <row r="202" spans="2:5" ht="12.75">
      <c r="B202" s="1"/>
      <c r="C202" s="1"/>
      <c r="D202" s="1"/>
      <c r="E202" s="1"/>
    </row>
    <row r="203" spans="2:5" ht="12.75">
      <c r="B203" s="1"/>
      <c r="C203" s="1"/>
      <c r="D203" s="1"/>
      <c r="E203" s="1"/>
    </row>
    <row r="204" spans="2:5" ht="12.75">
      <c r="B204" s="1"/>
      <c r="C204" s="1"/>
      <c r="D204" s="1"/>
      <c r="E204" s="1"/>
    </row>
    <row r="205" spans="2:5" ht="12.75">
      <c r="B205" s="1"/>
      <c r="C205" s="1"/>
      <c r="D205" s="1"/>
      <c r="E205" s="1"/>
    </row>
    <row r="206" spans="2:5" ht="12.75">
      <c r="B206" s="1"/>
      <c r="C206" s="1"/>
      <c r="D206" s="1"/>
      <c r="E206" s="1"/>
    </row>
    <row r="207" spans="2:5" ht="12.75">
      <c r="B207" s="1"/>
      <c r="C207" s="1"/>
      <c r="D207" s="1"/>
      <c r="E207" s="1"/>
    </row>
    <row r="208" spans="2:5" ht="12.75">
      <c r="B208" s="1"/>
      <c r="C208" s="1"/>
      <c r="D208" s="1"/>
      <c r="E208" s="1"/>
    </row>
    <row r="209" spans="2:5" ht="12.75">
      <c r="B209" s="1"/>
      <c r="C209" s="1"/>
      <c r="D209" s="1"/>
      <c r="E209" s="1"/>
    </row>
    <row r="210" spans="2:5" ht="12.75">
      <c r="B210" s="1"/>
      <c r="C210" s="1"/>
      <c r="D210" s="1"/>
      <c r="E210" s="1"/>
    </row>
    <row r="211" spans="2:5" ht="12.75">
      <c r="B211" s="1"/>
      <c r="C211" s="1"/>
      <c r="D211" s="1"/>
      <c r="E211" s="1"/>
    </row>
    <row r="212" spans="2:5" ht="12.75">
      <c r="B212" s="1"/>
      <c r="C212" s="1"/>
      <c r="D212" s="1"/>
      <c r="E212" s="1"/>
    </row>
    <row r="213" spans="2:5" ht="12.75">
      <c r="B213" s="1"/>
      <c r="C213" s="1"/>
      <c r="D213" s="1"/>
      <c r="E213" s="1"/>
    </row>
    <row r="214" spans="2:5" ht="12.75">
      <c r="B214" s="1"/>
      <c r="C214" s="1"/>
      <c r="D214" s="1"/>
      <c r="E214" s="1"/>
    </row>
    <row r="215" spans="2:5" ht="12.75">
      <c r="B215" s="1"/>
      <c r="C215" s="1"/>
      <c r="D215" s="1"/>
      <c r="E215" s="1"/>
    </row>
    <row r="216" spans="2:5" ht="12.75">
      <c r="B216" s="1"/>
      <c r="C216" s="1"/>
      <c r="D216" s="1"/>
      <c r="E216" s="1"/>
    </row>
    <row r="217" spans="2:5" ht="12.75">
      <c r="B217" s="1"/>
      <c r="C217" s="1"/>
      <c r="D217" s="1"/>
      <c r="E217" s="1"/>
    </row>
    <row r="218" spans="2:5" ht="12.75">
      <c r="B218" s="1"/>
      <c r="C218" s="1"/>
      <c r="D218" s="1"/>
      <c r="E218" s="1"/>
    </row>
    <row r="219" spans="2:5" ht="12.75">
      <c r="B219" s="1"/>
      <c r="C219" s="1"/>
      <c r="D219" s="1"/>
      <c r="E219" s="1"/>
    </row>
    <row r="220" spans="2:5" ht="12.75">
      <c r="B220" s="1"/>
      <c r="C220" s="1"/>
      <c r="D220" s="1"/>
      <c r="E220" s="1"/>
    </row>
    <row r="221" spans="2:5" ht="12.75">
      <c r="B221" s="1"/>
      <c r="C221" s="1"/>
      <c r="D221" s="1"/>
      <c r="E221" s="1"/>
    </row>
    <row r="222" spans="2:5" ht="12.75">
      <c r="B222" s="1"/>
      <c r="C222" s="1"/>
      <c r="D222" s="1"/>
      <c r="E222" s="1"/>
    </row>
    <row r="223" spans="2:5" ht="12.75">
      <c r="B223" s="1"/>
      <c r="C223" s="1"/>
      <c r="D223" s="1"/>
      <c r="E223" s="1"/>
    </row>
    <row r="224" spans="2:5" ht="12.75">
      <c r="B224" s="1"/>
      <c r="C224" s="1"/>
      <c r="D224" s="1"/>
      <c r="E224" s="1"/>
    </row>
    <row r="225" spans="2:5" ht="12.75">
      <c r="B225" s="1"/>
      <c r="C225" s="1"/>
      <c r="D225" s="1"/>
      <c r="E225" s="1"/>
    </row>
    <row r="226" spans="2:5" ht="12.75">
      <c r="B226" s="1"/>
      <c r="C226" s="1"/>
      <c r="D226" s="1"/>
      <c r="E226" s="1"/>
    </row>
    <row r="227" spans="2:5" ht="12.75">
      <c r="B227" s="1"/>
      <c r="C227" s="1"/>
      <c r="D227" s="1"/>
      <c r="E227" s="1"/>
    </row>
    <row r="228" spans="2:5" ht="12.75">
      <c r="B228" s="1"/>
      <c r="C228" s="1"/>
      <c r="D228" s="1"/>
      <c r="E228" s="1"/>
    </row>
    <row r="229" spans="2:5" ht="12.75">
      <c r="B229" s="1"/>
      <c r="C229" s="1"/>
      <c r="D229" s="1"/>
      <c r="E229" s="1"/>
    </row>
  </sheetData>
  <mergeCells count="6">
    <mergeCell ref="F4:F5"/>
    <mergeCell ref="A195:C195"/>
    <mergeCell ref="B1:E1"/>
    <mergeCell ref="A4:A5"/>
    <mergeCell ref="B4:B5"/>
    <mergeCell ref="E4:E5"/>
  </mergeCells>
  <printOptions horizontalCentered="1"/>
  <pageMargins left="0.57" right="0.54" top="0.74" bottom="0.2" header="0.17" footer="0.19"/>
  <pageSetup horizontalDpi="300" verticalDpi="300" orientation="landscape" paperSize="9" scale="95" r:id="rId1"/>
  <headerFooter alignWithMargins="0">
    <oddHeader>&amp;R&amp;9Załącznik nr &amp;A
do uchwały Rady Powiatu
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11"/>
  <sheetViews>
    <sheetView view="pageBreakPreview" zoomScaleNormal="90" zoomScaleSheetLayoutView="100" workbookViewId="0" topLeftCell="A1">
      <pane ySplit="11" topLeftCell="BM108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3.875" style="1" customWidth="1"/>
    <col min="4" max="4" width="11.125" style="1" hidden="1" customWidth="1"/>
    <col min="5" max="5" width="11.625" style="1" customWidth="1"/>
    <col min="6" max="6" width="8.00390625" style="299" hidden="1" customWidth="1"/>
    <col min="7" max="9" width="11.625" style="1" customWidth="1"/>
    <col min="10" max="10" width="10.75390625" style="1" customWidth="1"/>
    <col min="11" max="11" width="11.75390625" style="1" bestFit="1" customWidth="1"/>
    <col min="12" max="12" width="10.75390625" style="1" customWidth="1"/>
    <col min="13" max="13" width="11.75390625" style="1" customWidth="1"/>
  </cols>
  <sheetData>
    <row r="1" ht="12.75">
      <c r="K1" s="7" t="s">
        <v>23</v>
      </c>
    </row>
    <row r="2" ht="12.75">
      <c r="K2" s="7" t="s">
        <v>24</v>
      </c>
    </row>
    <row r="3" ht="12.75">
      <c r="K3" s="7" t="s">
        <v>826</v>
      </c>
    </row>
    <row r="4" ht="12.75">
      <c r="K4" s="7" t="s">
        <v>25</v>
      </c>
    </row>
    <row r="5" spans="1:13" ht="18">
      <c r="A5" s="1000" t="s">
        <v>611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</row>
    <row r="6" spans="1:8" ht="18">
      <c r="A6" s="2"/>
      <c r="B6" s="2"/>
      <c r="C6" s="2"/>
      <c r="D6" s="2"/>
      <c r="E6" s="2"/>
      <c r="F6" s="296"/>
      <c r="G6" s="2"/>
      <c r="H6" s="2"/>
    </row>
    <row r="7" spans="1:13" ht="13.5" thickBot="1">
      <c r="A7" s="46"/>
      <c r="B7" s="46"/>
      <c r="C7" s="46"/>
      <c r="D7" s="46"/>
      <c r="E7" s="46"/>
      <c r="F7" s="297"/>
      <c r="G7" s="46"/>
      <c r="I7" s="15"/>
      <c r="J7" s="15"/>
      <c r="K7" s="15"/>
      <c r="L7" s="15"/>
      <c r="M7" s="47" t="s">
        <v>448</v>
      </c>
    </row>
    <row r="8" spans="1:13" s="49" customFormat="1" ht="18.75" customHeight="1">
      <c r="A8" s="993" t="s">
        <v>395</v>
      </c>
      <c r="B8" s="997" t="s">
        <v>396</v>
      </c>
      <c r="C8" s="997" t="s">
        <v>410</v>
      </c>
      <c r="D8" s="996" t="s">
        <v>628</v>
      </c>
      <c r="E8" s="997" t="s">
        <v>605</v>
      </c>
      <c r="F8" s="991" t="s">
        <v>629</v>
      </c>
      <c r="G8" s="997" t="s">
        <v>487</v>
      </c>
      <c r="H8" s="997"/>
      <c r="I8" s="997"/>
      <c r="J8" s="997"/>
      <c r="K8" s="997"/>
      <c r="L8" s="997"/>
      <c r="M8" s="995"/>
    </row>
    <row r="9" spans="1:13" s="49" customFormat="1" ht="20.25" customHeight="1">
      <c r="A9" s="994"/>
      <c r="B9" s="998"/>
      <c r="C9" s="998"/>
      <c r="D9" s="989"/>
      <c r="E9" s="998"/>
      <c r="F9" s="992"/>
      <c r="G9" s="998" t="s">
        <v>430</v>
      </c>
      <c r="H9" s="998" t="s">
        <v>399</v>
      </c>
      <c r="I9" s="998"/>
      <c r="J9" s="998"/>
      <c r="K9" s="998"/>
      <c r="L9" s="998"/>
      <c r="M9" s="988" t="s">
        <v>432</v>
      </c>
    </row>
    <row r="10" spans="1:13" s="49" customFormat="1" ht="63.75">
      <c r="A10" s="994"/>
      <c r="B10" s="998"/>
      <c r="C10" s="998"/>
      <c r="D10" s="990"/>
      <c r="E10" s="998"/>
      <c r="F10" s="987"/>
      <c r="G10" s="998"/>
      <c r="H10" s="64" t="s">
        <v>512</v>
      </c>
      <c r="I10" s="64" t="s">
        <v>606</v>
      </c>
      <c r="J10" s="64" t="s">
        <v>509</v>
      </c>
      <c r="K10" s="64" t="s">
        <v>544</v>
      </c>
      <c r="L10" s="64" t="s">
        <v>511</v>
      </c>
      <c r="M10" s="988"/>
    </row>
    <row r="11" spans="1:13" s="49" customFormat="1" ht="8.25" customHeight="1">
      <c r="A11" s="282">
        <v>1</v>
      </c>
      <c r="B11" s="50">
        <v>2</v>
      </c>
      <c r="C11" s="113">
        <v>4</v>
      </c>
      <c r="D11" s="112">
        <v>5</v>
      </c>
      <c r="E11" s="50">
        <v>6</v>
      </c>
      <c r="F11" s="112">
        <v>7</v>
      </c>
      <c r="G11" s="50">
        <v>8</v>
      </c>
      <c r="H11" s="50">
        <v>9</v>
      </c>
      <c r="I11" s="50">
        <v>10</v>
      </c>
      <c r="J11" s="50">
        <v>11</v>
      </c>
      <c r="K11" s="50">
        <v>12</v>
      </c>
      <c r="L11" s="50">
        <v>13</v>
      </c>
      <c r="M11" s="283">
        <v>14</v>
      </c>
    </row>
    <row r="12" spans="1:13" s="49" customFormat="1" ht="13.5" thickBot="1">
      <c r="A12" s="90" t="s">
        <v>616</v>
      </c>
      <c r="B12" s="91"/>
      <c r="C12" s="114" t="s">
        <v>617</v>
      </c>
      <c r="D12" s="106">
        <f>SUM(D13:D14)</f>
        <v>60646</v>
      </c>
      <c r="E12" s="106">
        <f>SUM(E13:E14)</f>
        <v>43013</v>
      </c>
      <c r="F12" s="298">
        <f>E12/D12*100</f>
        <v>70.92471061570426</v>
      </c>
      <c r="G12" s="106">
        <f aca="true" t="shared" si="0" ref="G12:M12">SUM(G13:G14)</f>
        <v>43013</v>
      </c>
      <c r="H12" s="106">
        <f t="shared" si="0"/>
        <v>0</v>
      </c>
      <c r="I12" s="106">
        <f t="shared" si="0"/>
        <v>0</v>
      </c>
      <c r="J12" s="106">
        <f t="shared" si="0"/>
        <v>0</v>
      </c>
      <c r="K12" s="106">
        <f t="shared" si="0"/>
        <v>0</v>
      </c>
      <c r="L12" s="106">
        <f t="shared" si="0"/>
        <v>0</v>
      </c>
      <c r="M12" s="284">
        <f t="shared" si="0"/>
        <v>0</v>
      </c>
    </row>
    <row r="13" spans="1:13" s="49" customFormat="1" ht="25.5">
      <c r="A13" s="429"/>
      <c r="B13" s="93" t="s">
        <v>619</v>
      </c>
      <c r="C13" s="115" t="s">
        <v>618</v>
      </c>
      <c r="D13" s="275">
        <f>'WYDATKI ukł.wyk.'!E16</f>
        <v>44000</v>
      </c>
      <c r="E13" s="95">
        <f>'[1]WYDATKI ukł.wyk.'!$F$17</f>
        <v>25000</v>
      </c>
      <c r="F13" s="303">
        <f aca="true" t="shared" si="1" ref="F13:F76">E13/D13*100</f>
        <v>56.81818181818182</v>
      </c>
      <c r="G13" s="95">
        <f>'[1]WYDATKI ukł.wyk.'!$F$17</f>
        <v>25000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285">
        <v>0</v>
      </c>
    </row>
    <row r="14" spans="1:13" s="49" customFormat="1" ht="12.75">
      <c r="A14" s="229"/>
      <c r="B14" s="96" t="s">
        <v>620</v>
      </c>
      <c r="C14" s="116" t="s">
        <v>621</v>
      </c>
      <c r="D14" s="274">
        <f>'WYDATKI ukł.wyk.'!E19</f>
        <v>16646</v>
      </c>
      <c r="E14" s="99">
        <f>'[1]WYDATKI ukł.wyk.'!$F$19</f>
        <v>18013</v>
      </c>
      <c r="F14" s="304">
        <f t="shared" si="1"/>
        <v>108.21218310705274</v>
      </c>
      <c r="G14" s="99">
        <f>'[1]WYDATKI ukł.wyk.'!$F$20</f>
        <v>18013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286">
        <v>0</v>
      </c>
    </row>
    <row r="15" spans="1:13" s="49" customFormat="1" ht="12.75">
      <c r="A15" s="229"/>
      <c r="B15" s="220"/>
      <c r="C15" s="188"/>
      <c r="D15" s="152"/>
      <c r="E15" s="221"/>
      <c r="F15" s="300"/>
      <c r="G15" s="221"/>
      <c r="H15" s="110"/>
      <c r="I15" s="110"/>
      <c r="J15" s="110"/>
      <c r="K15" s="110"/>
      <c r="L15" s="110"/>
      <c r="M15" s="287"/>
    </row>
    <row r="16" spans="1:13" s="49" customFormat="1" ht="13.5" thickBot="1">
      <c r="A16" s="83" t="s">
        <v>622</v>
      </c>
      <c r="B16" s="101"/>
      <c r="C16" s="117" t="s">
        <v>623</v>
      </c>
      <c r="D16" s="105">
        <f>SUM(D17:D18)</f>
        <v>193335</v>
      </c>
      <c r="E16" s="105">
        <f>SUM(E17:E18)</f>
        <v>193335</v>
      </c>
      <c r="F16" s="301">
        <f t="shared" si="1"/>
        <v>100</v>
      </c>
      <c r="G16" s="105">
        <f aca="true" t="shared" si="2" ref="G16:M16">SUM(G17:G18)</f>
        <v>193335</v>
      </c>
      <c r="H16" s="105">
        <f t="shared" si="2"/>
        <v>0</v>
      </c>
      <c r="I16" s="105">
        <f t="shared" si="2"/>
        <v>0</v>
      </c>
      <c r="J16" s="105">
        <f t="shared" si="2"/>
        <v>0</v>
      </c>
      <c r="K16" s="105">
        <f t="shared" si="2"/>
        <v>0</v>
      </c>
      <c r="L16" s="105">
        <f t="shared" si="2"/>
        <v>0</v>
      </c>
      <c r="M16" s="288">
        <f t="shared" si="2"/>
        <v>0</v>
      </c>
    </row>
    <row r="17" spans="1:13" s="49" customFormat="1" ht="12.75">
      <c r="A17" s="429"/>
      <c r="B17" s="102" t="s">
        <v>624</v>
      </c>
      <c r="C17" s="118" t="s">
        <v>625</v>
      </c>
      <c r="D17" s="276">
        <f>'WYDATKI ukł.wyk.'!E23</f>
        <v>188635</v>
      </c>
      <c r="E17" s="95">
        <f>'[1]WYDATKI ukł.wyk.'!$F$23</f>
        <v>188635</v>
      </c>
      <c r="F17" s="303">
        <f t="shared" si="1"/>
        <v>100</v>
      </c>
      <c r="G17" s="95">
        <f>'[1]WYDATKI ukł.wyk.'!$F$24</f>
        <v>188635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285">
        <v>0</v>
      </c>
    </row>
    <row r="18" spans="1:13" s="49" customFormat="1" ht="12.75">
      <c r="A18" s="229"/>
      <c r="B18" s="96" t="s">
        <v>626</v>
      </c>
      <c r="C18" s="116" t="s">
        <v>625</v>
      </c>
      <c r="D18" s="274">
        <f>'WYDATKI ukł.wyk.'!E26</f>
        <v>4700</v>
      </c>
      <c r="E18" s="99">
        <f>'[1]WYDATKI ukł.wyk.'!$F$26</f>
        <v>4700</v>
      </c>
      <c r="F18" s="304">
        <f t="shared" si="1"/>
        <v>100</v>
      </c>
      <c r="G18" s="104">
        <f>'WYDATKI ukł.wyk.'!F26</f>
        <v>4700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286">
        <v>0</v>
      </c>
    </row>
    <row r="19" spans="1:13" s="49" customFormat="1" ht="12.75">
      <c r="A19" s="229"/>
      <c r="B19" s="217"/>
      <c r="C19" s="222"/>
      <c r="D19" s="222"/>
      <c r="E19" s="218"/>
      <c r="F19" s="300"/>
      <c r="G19" s="219"/>
      <c r="H19" s="223"/>
      <c r="I19" s="223"/>
      <c r="J19" s="223"/>
      <c r="K19" s="223"/>
      <c r="L19" s="223"/>
      <c r="M19" s="224"/>
    </row>
    <row r="20" spans="1:13" s="49" customFormat="1" ht="13.5" thickBot="1">
      <c r="A20" s="107">
        <v>600</v>
      </c>
      <c r="B20" s="101"/>
      <c r="C20" s="117" t="s">
        <v>627</v>
      </c>
      <c r="D20" s="141">
        <f>SUM(D21:D22)</f>
        <v>3824675</v>
      </c>
      <c r="E20" s="191">
        <f>SUM(E21:E22)</f>
        <v>2864768</v>
      </c>
      <c r="F20" s="301">
        <f t="shared" si="1"/>
        <v>74.90225966912222</v>
      </c>
      <c r="G20" s="141">
        <f>SUM(G21:G22)</f>
        <v>2314768</v>
      </c>
      <c r="H20" s="141">
        <f aca="true" t="shared" si="3" ref="H20:M20">SUM(H21:H22)</f>
        <v>903950</v>
      </c>
      <c r="I20" s="141">
        <f t="shared" si="3"/>
        <v>170039</v>
      </c>
      <c r="J20" s="141">
        <f t="shared" si="3"/>
        <v>8423</v>
      </c>
      <c r="K20" s="141">
        <f t="shared" si="3"/>
        <v>0</v>
      </c>
      <c r="L20" s="141">
        <f t="shared" si="3"/>
        <v>0</v>
      </c>
      <c r="M20" s="225">
        <f t="shared" si="3"/>
        <v>550000</v>
      </c>
    </row>
    <row r="21" spans="1:13" s="49" customFormat="1" ht="12.75">
      <c r="A21" s="429"/>
      <c r="B21" s="109">
        <v>60014</v>
      </c>
      <c r="C21" s="119" t="s">
        <v>630</v>
      </c>
      <c r="D21" s="95">
        <f>SUM('WYDATKI ukł.wyk.'!E31:E56)</f>
        <v>3585970</v>
      </c>
      <c r="E21" s="95">
        <f>G21+M21</f>
        <v>2864768</v>
      </c>
      <c r="F21" s="303">
        <f t="shared" si="1"/>
        <v>79.88823107834142</v>
      </c>
      <c r="G21" s="95">
        <f>SUM('WYDATKI ukł.wyk.'!F31:F54)</f>
        <v>2314768</v>
      </c>
      <c r="H21" s="95">
        <f>'WYDATKI ukł.wyk.'!F33+'WYDATKI ukł.wyk.'!F34+'WYDATKI ukł.wyk.'!F37</f>
        <v>903950</v>
      </c>
      <c r="I21" s="227">
        <f>'WYDATKI ukł.wyk.'!F35+'WYDATKI ukł.wyk.'!F36</f>
        <v>170039</v>
      </c>
      <c r="J21" s="95">
        <f>'WYDATKI ukł.wyk.'!F31</f>
        <v>8423</v>
      </c>
      <c r="K21" s="94">
        <v>0</v>
      </c>
      <c r="L21" s="94">
        <v>0</v>
      </c>
      <c r="M21" s="289">
        <f>'WYDATKI ukł.wyk.'!F55+'WYDATKI ukł.wyk.'!F56</f>
        <v>550000</v>
      </c>
    </row>
    <row r="22" spans="1:13" s="49" customFormat="1" ht="12.75">
      <c r="A22" s="229"/>
      <c r="B22" s="109">
        <v>60078</v>
      </c>
      <c r="C22" s="92" t="s">
        <v>670</v>
      </c>
      <c r="D22" s="99">
        <f>'WYDATKI ukł.wyk.'!E58</f>
        <v>238705</v>
      </c>
      <c r="E22" s="99">
        <f>G22+M22</f>
        <v>0</v>
      </c>
      <c r="F22" s="304">
        <f t="shared" si="1"/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290">
        <f>'WYDATKI ukł.wyk.'!F59</f>
        <v>0</v>
      </c>
    </row>
    <row r="23" spans="1:13" s="49" customFormat="1" ht="12.75">
      <c r="A23" s="229"/>
      <c r="B23" s="428"/>
      <c r="C23" s="223"/>
      <c r="D23" s="223"/>
      <c r="E23" s="223"/>
      <c r="F23" s="300"/>
      <c r="G23" s="223"/>
      <c r="H23" s="223"/>
      <c r="I23" s="223"/>
      <c r="J23" s="223"/>
      <c r="K23" s="223"/>
      <c r="L23" s="223"/>
      <c r="M23" s="224"/>
    </row>
    <row r="24" spans="1:13" s="49" customFormat="1" ht="13.5" thickBot="1">
      <c r="A24" s="107">
        <v>630</v>
      </c>
      <c r="B24" s="101"/>
      <c r="C24" s="100" t="s">
        <v>671</v>
      </c>
      <c r="D24" s="105">
        <f>D25</f>
        <v>2000</v>
      </c>
      <c r="E24" s="105">
        <f aca="true" t="shared" si="4" ref="E24:M24">E25</f>
        <v>2000</v>
      </c>
      <c r="F24" s="301">
        <f t="shared" si="1"/>
        <v>100</v>
      </c>
      <c r="G24" s="105">
        <f t="shared" si="4"/>
        <v>2000</v>
      </c>
      <c r="H24" s="105">
        <f t="shared" si="4"/>
        <v>0</v>
      </c>
      <c r="I24" s="105">
        <f t="shared" si="4"/>
        <v>0</v>
      </c>
      <c r="J24" s="105">
        <f t="shared" si="4"/>
        <v>1000</v>
      </c>
      <c r="K24" s="105">
        <f t="shared" si="4"/>
        <v>0</v>
      </c>
      <c r="L24" s="105">
        <f t="shared" si="4"/>
        <v>0</v>
      </c>
      <c r="M24" s="288">
        <f t="shared" si="4"/>
        <v>0</v>
      </c>
    </row>
    <row r="25" spans="1:13" s="49" customFormat="1" ht="25.5">
      <c r="A25" s="229"/>
      <c r="B25" s="109">
        <v>63003</v>
      </c>
      <c r="C25" s="226" t="s">
        <v>672</v>
      </c>
      <c r="D25" s="95">
        <f>'WYDATKI ukł.wyk.'!E63</f>
        <v>2000</v>
      </c>
      <c r="E25" s="95">
        <f>G25+M25</f>
        <v>2000</v>
      </c>
      <c r="F25" s="303">
        <f t="shared" si="1"/>
        <v>100</v>
      </c>
      <c r="G25" s="95">
        <f>SUM('WYDATKI ukł.wyk.'!F64:F67)</f>
        <v>2000</v>
      </c>
      <c r="H25" s="94">
        <v>0</v>
      </c>
      <c r="I25" s="94">
        <v>0</v>
      </c>
      <c r="J25" s="95">
        <f>'WYDATKI ukł.wyk.'!F64</f>
        <v>1000</v>
      </c>
      <c r="K25" s="94">
        <v>0</v>
      </c>
      <c r="L25" s="94">
        <v>0</v>
      </c>
      <c r="M25" s="285">
        <v>0</v>
      </c>
    </row>
    <row r="26" spans="1:13" s="49" customFormat="1" ht="12.75">
      <c r="A26" s="229"/>
      <c r="B26" s="428"/>
      <c r="C26" s="223"/>
      <c r="D26" s="223"/>
      <c r="E26" s="223"/>
      <c r="F26" s="300"/>
      <c r="G26" s="223"/>
      <c r="H26" s="223"/>
      <c r="I26" s="223"/>
      <c r="J26" s="223"/>
      <c r="K26" s="223"/>
      <c r="L26" s="223"/>
      <c r="M26" s="224"/>
    </row>
    <row r="27" spans="1:13" s="49" customFormat="1" ht="13.5" thickBot="1">
      <c r="A27" s="107">
        <v>700</v>
      </c>
      <c r="B27" s="101"/>
      <c r="C27" s="100" t="s">
        <v>677</v>
      </c>
      <c r="D27" s="105">
        <f>D28</f>
        <v>96804</v>
      </c>
      <c r="E27" s="105">
        <f aca="true" t="shared" si="5" ref="E27:M27">E28</f>
        <v>42000</v>
      </c>
      <c r="F27" s="301">
        <f t="shared" si="1"/>
        <v>43.386636915829925</v>
      </c>
      <c r="G27" s="105">
        <f t="shared" si="5"/>
        <v>42000</v>
      </c>
      <c r="H27" s="105">
        <f t="shared" si="5"/>
        <v>0</v>
      </c>
      <c r="I27" s="105">
        <f t="shared" si="5"/>
        <v>0</v>
      </c>
      <c r="J27" s="105">
        <f t="shared" si="5"/>
        <v>0</v>
      </c>
      <c r="K27" s="105">
        <f t="shared" si="5"/>
        <v>0</v>
      </c>
      <c r="L27" s="105">
        <f t="shared" si="5"/>
        <v>0</v>
      </c>
      <c r="M27" s="288">
        <f t="shared" si="5"/>
        <v>0</v>
      </c>
    </row>
    <row r="28" spans="1:13" s="49" customFormat="1" ht="25.5">
      <c r="A28" s="229"/>
      <c r="B28" s="180">
        <v>70005</v>
      </c>
      <c r="C28" s="230" t="s">
        <v>678</v>
      </c>
      <c r="D28" s="95">
        <f>'WYDATKI ukł.wyk.'!E70</f>
        <v>96804</v>
      </c>
      <c r="E28" s="95">
        <f>G28+M28</f>
        <v>42000</v>
      </c>
      <c r="F28" s="303">
        <f t="shared" si="1"/>
        <v>43.386636915829925</v>
      </c>
      <c r="G28" s="95">
        <f>SUM('WYDATKI ukł.wyk.'!F71:F77)</f>
        <v>42000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285">
        <v>0</v>
      </c>
    </row>
    <row r="29" spans="1:13" s="49" customFormat="1" ht="12.75">
      <c r="A29" s="229"/>
      <c r="B29" s="428"/>
      <c r="C29" s="223"/>
      <c r="D29" s="223"/>
      <c r="E29" s="223"/>
      <c r="F29" s="300"/>
      <c r="G29" s="223"/>
      <c r="H29" s="223"/>
      <c r="I29" s="223"/>
      <c r="J29" s="223"/>
      <c r="K29" s="223"/>
      <c r="L29" s="223"/>
      <c r="M29" s="224"/>
    </row>
    <row r="30" spans="1:13" s="49" customFormat="1" ht="13.5" thickBot="1">
      <c r="A30" s="107">
        <v>710</v>
      </c>
      <c r="B30" s="101"/>
      <c r="C30" s="100" t="s">
        <v>682</v>
      </c>
      <c r="D30" s="105">
        <f>SUM(D31:D33)</f>
        <v>269553</v>
      </c>
      <c r="E30" s="105">
        <f aca="true" t="shared" si="6" ref="E30:M30">SUM(E31:E33)</f>
        <v>262864</v>
      </c>
      <c r="F30" s="301">
        <f t="shared" si="1"/>
        <v>97.51848430549836</v>
      </c>
      <c r="G30" s="105">
        <f t="shared" si="6"/>
        <v>262864</v>
      </c>
      <c r="H30" s="105">
        <f t="shared" si="6"/>
        <v>133330</v>
      </c>
      <c r="I30" s="105">
        <f t="shared" si="6"/>
        <v>26501</v>
      </c>
      <c r="J30" s="105">
        <f t="shared" si="6"/>
        <v>0</v>
      </c>
      <c r="K30" s="105">
        <f t="shared" si="6"/>
        <v>0</v>
      </c>
      <c r="L30" s="105">
        <f t="shared" si="6"/>
        <v>0</v>
      </c>
      <c r="M30" s="288">
        <f t="shared" si="6"/>
        <v>0</v>
      </c>
    </row>
    <row r="31" spans="1:13" s="49" customFormat="1" ht="25.5">
      <c r="A31" s="429"/>
      <c r="B31" s="180">
        <v>71013</v>
      </c>
      <c r="C31" s="230" t="s">
        <v>683</v>
      </c>
      <c r="D31" s="95">
        <f>'WYDATKI ukł.wyk.'!E80</f>
        <v>40000</v>
      </c>
      <c r="E31" s="95">
        <f>G31+M31</f>
        <v>40000</v>
      </c>
      <c r="F31" s="303">
        <f t="shared" si="1"/>
        <v>100</v>
      </c>
      <c r="G31" s="95">
        <f>SUM('WYDATKI ukł.wyk.'!F81:F82)</f>
        <v>40000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285">
        <v>0</v>
      </c>
    </row>
    <row r="32" spans="1:13" s="49" customFormat="1" ht="25.5">
      <c r="A32" s="229"/>
      <c r="B32" s="109">
        <v>71014</v>
      </c>
      <c r="C32" s="226" t="s">
        <v>684</v>
      </c>
      <c r="D32" s="221">
        <f>'WYDATKI ukł.wyk.'!E84</f>
        <v>22000</v>
      </c>
      <c r="E32" s="221">
        <f>G32+M32</f>
        <v>14000</v>
      </c>
      <c r="F32" s="430">
        <f t="shared" si="1"/>
        <v>63.63636363636363</v>
      </c>
      <c r="G32" s="221">
        <f>SUM('WYDATKI ukł.wyk.'!F85)</f>
        <v>14000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287">
        <v>0</v>
      </c>
    </row>
    <row r="33" spans="1:13" s="49" customFormat="1" ht="12.75">
      <c r="A33" s="229"/>
      <c r="B33" s="109">
        <v>71015</v>
      </c>
      <c r="C33" s="92" t="s">
        <v>685</v>
      </c>
      <c r="D33" s="99">
        <f>'WYDATKI ukł.wyk.'!E87</f>
        <v>207553</v>
      </c>
      <c r="E33" s="99">
        <f>G33+M33</f>
        <v>208864</v>
      </c>
      <c r="F33" s="304">
        <f t="shared" si="1"/>
        <v>100.6316458928563</v>
      </c>
      <c r="G33" s="99">
        <f>SUM('WYDATKI ukł.wyk.'!F88:F102)</f>
        <v>208864</v>
      </c>
      <c r="H33" s="99">
        <f>'WYDATKI ukł.wyk.'!F88+'WYDATKI ukł.wyk.'!F89+'WYDATKI ukł.wyk.'!F92</f>
        <v>133330</v>
      </c>
      <c r="I33" s="99">
        <f>'WYDATKI ukł.wyk.'!F90+'WYDATKI ukł.wyk.'!F91</f>
        <v>26501</v>
      </c>
      <c r="J33" s="97">
        <v>0</v>
      </c>
      <c r="K33" s="97">
        <v>0</v>
      </c>
      <c r="L33" s="97">
        <v>0</v>
      </c>
      <c r="M33" s="290">
        <f>'WYDATKI ukł.wyk.'!F103</f>
        <v>0</v>
      </c>
    </row>
    <row r="34" spans="1:13" s="49" customFormat="1" ht="12.75">
      <c r="A34" s="229"/>
      <c r="B34" s="431"/>
      <c r="C34" s="110"/>
      <c r="D34" s="110"/>
      <c r="E34" s="110"/>
      <c r="F34" s="300"/>
      <c r="G34" s="110"/>
      <c r="H34" s="110"/>
      <c r="I34" s="110"/>
      <c r="J34" s="110"/>
      <c r="K34" s="110"/>
      <c r="L34" s="110"/>
      <c r="M34" s="287"/>
    </row>
    <row r="35" spans="1:20" s="49" customFormat="1" ht="13.5" thickBot="1">
      <c r="A35" s="107">
        <v>750</v>
      </c>
      <c r="B35" s="433"/>
      <c r="C35" s="100" t="s">
        <v>688</v>
      </c>
      <c r="D35" s="434">
        <f>SUM(D36:D40)</f>
        <v>4100997</v>
      </c>
      <c r="E35" s="434">
        <f aca="true" t="shared" si="7" ref="E35:J35">SUM(E36:E40)</f>
        <v>4772804</v>
      </c>
      <c r="F35" s="301">
        <f t="shared" si="1"/>
        <v>116.38155307111904</v>
      </c>
      <c r="G35" s="434">
        <f t="shared" si="7"/>
        <v>4108554</v>
      </c>
      <c r="H35" s="434">
        <f t="shared" si="7"/>
        <v>2341168</v>
      </c>
      <c r="I35" s="434">
        <f t="shared" si="7"/>
        <v>433442</v>
      </c>
      <c r="J35" s="434">
        <f t="shared" si="7"/>
        <v>0</v>
      </c>
      <c r="K35" s="434">
        <f>SUM(K36:K40)</f>
        <v>0</v>
      </c>
      <c r="L35" s="434">
        <f>SUM(L36:L40)</f>
        <v>0</v>
      </c>
      <c r="M35" s="435">
        <f>SUM(M36:M40)</f>
        <v>664250</v>
      </c>
      <c r="N35"/>
      <c r="O35"/>
      <c r="P35"/>
      <c r="Q35"/>
      <c r="R35"/>
      <c r="S35"/>
      <c r="T35"/>
    </row>
    <row r="36" spans="1:13" s="49" customFormat="1" ht="12.75">
      <c r="A36" s="429"/>
      <c r="B36" s="180">
        <v>75011</v>
      </c>
      <c r="C36" s="103" t="s">
        <v>689</v>
      </c>
      <c r="D36" s="95">
        <f>'WYDATKI ukł.wyk.'!E106</f>
        <v>256034</v>
      </c>
      <c r="E36" s="89">
        <f>G36+M36</f>
        <v>257210</v>
      </c>
      <c r="F36" s="303">
        <f t="shared" si="1"/>
        <v>100.45931399735973</v>
      </c>
      <c r="G36" s="95">
        <f>SUM('WYDATKI ukł.wyk.'!F107:F124)</f>
        <v>257210</v>
      </c>
      <c r="H36" s="95">
        <f>'WYDATKI ukł.wyk.'!F108+'WYDATKI ukł.wyk.'!F109+'WYDATKI ukł.wyk.'!F112</f>
        <v>177340</v>
      </c>
      <c r="I36" s="95">
        <f>'WYDATKI ukł.wyk.'!F110+'WYDATKI ukł.wyk.'!F111</f>
        <v>33170</v>
      </c>
      <c r="J36" s="94">
        <v>0</v>
      </c>
      <c r="K36" s="94">
        <v>0</v>
      </c>
      <c r="L36" s="94">
        <v>0</v>
      </c>
      <c r="M36" s="285">
        <v>0</v>
      </c>
    </row>
    <row r="37" spans="1:13" s="49" customFormat="1" ht="12.75">
      <c r="A37" s="229"/>
      <c r="B37" s="109">
        <v>75019</v>
      </c>
      <c r="C37" s="92" t="s">
        <v>692</v>
      </c>
      <c r="D37" s="104">
        <f>'WYDATKI ukł.wyk.'!E126</f>
        <v>238312</v>
      </c>
      <c r="E37" s="104">
        <f>G37+M37</f>
        <v>237400</v>
      </c>
      <c r="F37" s="304">
        <f t="shared" si="1"/>
        <v>99.61730840243042</v>
      </c>
      <c r="G37" s="104">
        <f>SUM('WYDATKI ukł.wyk.'!F127:F133)</f>
        <v>237400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291"/>
    </row>
    <row r="38" spans="1:13" s="49" customFormat="1" ht="12.75">
      <c r="A38" s="229"/>
      <c r="B38" s="109">
        <v>75020</v>
      </c>
      <c r="C38" s="92" t="s">
        <v>695</v>
      </c>
      <c r="D38" s="104">
        <f>'WYDATKI ukł.wyk.'!E135</f>
        <v>3552602</v>
      </c>
      <c r="E38" s="104">
        <f>G38+M38</f>
        <v>4246194</v>
      </c>
      <c r="F38" s="304">
        <f t="shared" si="1"/>
        <v>119.52349292152624</v>
      </c>
      <c r="G38" s="104">
        <f>SUM('WYDATKI ukł.wyk.'!F136:F158)</f>
        <v>3581944</v>
      </c>
      <c r="H38" s="104">
        <f>'WYDATKI ukł.wyk.'!F137+'WYDATKI ukł.wyk.'!F138+'WYDATKI ukł.wyk.'!F141</f>
        <v>2156828</v>
      </c>
      <c r="I38" s="104">
        <f>'WYDATKI ukł.wyk.'!F139+'WYDATKI ukł.wyk.'!F140</f>
        <v>399222</v>
      </c>
      <c r="J38" s="111">
        <v>0</v>
      </c>
      <c r="K38" s="111">
        <v>0</v>
      </c>
      <c r="L38" s="111">
        <v>0</v>
      </c>
      <c r="M38" s="292">
        <f>'WYDATKI ukł.wyk.'!F159+'WYDATKI ukł.wyk.'!F160</f>
        <v>664250</v>
      </c>
    </row>
    <row r="39" spans="1:13" s="49" customFormat="1" ht="12.75">
      <c r="A39" s="229"/>
      <c r="B39" s="231">
        <v>75045</v>
      </c>
      <c r="C39" s="98" t="s">
        <v>699</v>
      </c>
      <c r="D39" s="99">
        <f>'WYDATKI ukł.wyk.'!E162</f>
        <v>15999</v>
      </c>
      <c r="E39" s="99">
        <f>G39+M39</f>
        <v>17000</v>
      </c>
      <c r="F39" s="304">
        <f t="shared" si="1"/>
        <v>106.256641040065</v>
      </c>
      <c r="G39" s="99">
        <f>SUM('WYDATKI ukł.wyk.'!F163:F172)</f>
        <v>17000</v>
      </c>
      <c r="H39" s="99">
        <f>'WYDATKI ukł.wyk.'!F166</f>
        <v>7000</v>
      </c>
      <c r="I39" s="99">
        <f>'WYDATKI ukł.wyk.'!F164+'WYDATKI ukł.wyk.'!F165</f>
        <v>1050</v>
      </c>
      <c r="J39" s="97">
        <v>0</v>
      </c>
      <c r="K39" s="97">
        <v>0</v>
      </c>
      <c r="L39" s="97">
        <v>0</v>
      </c>
      <c r="M39" s="286">
        <v>0</v>
      </c>
    </row>
    <row r="40" spans="1:13" s="49" customFormat="1" ht="12.75">
      <c r="A40" s="229"/>
      <c r="B40" s="231">
        <v>75095</v>
      </c>
      <c r="C40" s="98" t="s">
        <v>621</v>
      </c>
      <c r="D40" s="99">
        <f>'WYDATKI ukł.wyk.'!E174</f>
        <v>38050</v>
      </c>
      <c r="E40" s="99">
        <f>G40+M40</f>
        <v>15000</v>
      </c>
      <c r="F40" s="304">
        <f t="shared" si="1"/>
        <v>39.42181340341656</v>
      </c>
      <c r="G40" s="99">
        <f>SUM('WYDATKI ukł.wyk.'!F175:F179)</f>
        <v>15000</v>
      </c>
      <c r="H40" s="99">
        <f>'WYDATKI ukł.wyk.'!F175</f>
        <v>0</v>
      </c>
      <c r="I40" s="97">
        <v>0</v>
      </c>
      <c r="J40" s="97">
        <v>0</v>
      </c>
      <c r="K40" s="97">
        <v>0</v>
      </c>
      <c r="L40" s="97">
        <v>0</v>
      </c>
      <c r="M40" s="290">
        <f>'WYDATKI ukł.wyk.'!F180+'WYDATKI ukł.wyk.'!F181</f>
        <v>0</v>
      </c>
    </row>
    <row r="41" spans="1:13" s="49" customFormat="1" ht="12.75">
      <c r="A41" s="229"/>
      <c r="B41" s="428"/>
      <c r="C41" s="223"/>
      <c r="D41" s="223"/>
      <c r="E41" s="223"/>
      <c r="F41" s="300"/>
      <c r="G41" s="223"/>
      <c r="H41" s="223"/>
      <c r="I41" s="223"/>
      <c r="J41" s="223"/>
      <c r="K41" s="223"/>
      <c r="L41" s="223"/>
      <c r="M41" s="224"/>
    </row>
    <row r="42" spans="1:13" s="49" customFormat="1" ht="24">
      <c r="A42" s="144"/>
      <c r="B42" s="431"/>
      <c r="C42" s="232" t="s">
        <v>701</v>
      </c>
      <c r="D42" s="110"/>
      <c r="E42" s="110"/>
      <c r="F42" s="302"/>
      <c r="G42" s="110"/>
      <c r="H42" s="110"/>
      <c r="I42" s="110"/>
      <c r="J42" s="110"/>
      <c r="K42" s="110"/>
      <c r="L42" s="110"/>
      <c r="M42" s="287"/>
    </row>
    <row r="43" spans="1:13" s="49" customFormat="1" ht="13.5" thickBot="1">
      <c r="A43" s="107">
        <v>751</v>
      </c>
      <c r="B43" s="101"/>
      <c r="C43" s="233" t="s">
        <v>702</v>
      </c>
      <c r="D43" s="105">
        <f>SUM(D45)</f>
        <v>18109</v>
      </c>
      <c r="E43" s="105">
        <f aca="true" t="shared" si="8" ref="E43:M43">SUM(E45)</f>
        <v>0</v>
      </c>
      <c r="F43" s="301">
        <f t="shared" si="1"/>
        <v>0</v>
      </c>
      <c r="G43" s="105">
        <f t="shared" si="8"/>
        <v>0</v>
      </c>
      <c r="H43" s="105">
        <f t="shared" si="8"/>
        <v>0</v>
      </c>
      <c r="I43" s="105">
        <f t="shared" si="8"/>
        <v>0</v>
      </c>
      <c r="J43" s="105">
        <f t="shared" si="8"/>
        <v>0</v>
      </c>
      <c r="K43" s="105">
        <f>SUM(K45)</f>
        <v>0</v>
      </c>
      <c r="L43" s="105">
        <f t="shared" si="8"/>
        <v>0</v>
      </c>
      <c r="M43" s="288">
        <f t="shared" si="8"/>
        <v>0</v>
      </c>
    </row>
    <row r="44" spans="1:13" s="49" customFormat="1" ht="24">
      <c r="A44" s="429"/>
      <c r="B44" s="432"/>
      <c r="C44" s="234" t="s">
        <v>804</v>
      </c>
      <c r="D44" s="110"/>
      <c r="E44" s="110"/>
      <c r="F44" s="302"/>
      <c r="G44" s="110"/>
      <c r="H44" s="110"/>
      <c r="I44" s="110"/>
      <c r="J44" s="110"/>
      <c r="K44" s="110"/>
      <c r="L44" s="110"/>
      <c r="M44" s="287"/>
    </row>
    <row r="45" spans="1:13" s="49" customFormat="1" ht="24">
      <c r="A45" s="229"/>
      <c r="B45" s="109">
        <v>75109</v>
      </c>
      <c r="C45" s="235" t="s">
        <v>704</v>
      </c>
      <c r="D45" s="104">
        <f>'WYDATKI ukł.wyk.'!E186</f>
        <v>18109</v>
      </c>
      <c r="E45" s="104">
        <f>G45+M45</f>
        <v>0</v>
      </c>
      <c r="F45" s="303">
        <f t="shared" si="1"/>
        <v>0</v>
      </c>
      <c r="G45" s="104">
        <f>SUM('WYDATKI ukł.wyk.'!F187:F192)</f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291">
        <v>0</v>
      </c>
    </row>
    <row r="46" spans="1:13" s="49" customFormat="1" ht="12.75">
      <c r="A46" s="229"/>
      <c r="B46" s="428"/>
      <c r="C46" s="223"/>
      <c r="D46" s="223"/>
      <c r="E46" s="223"/>
      <c r="F46" s="300"/>
      <c r="G46" s="223"/>
      <c r="H46" s="223"/>
      <c r="I46" s="223"/>
      <c r="J46" s="223"/>
      <c r="K46" s="223"/>
      <c r="L46" s="223"/>
      <c r="M46" s="224"/>
    </row>
    <row r="47" spans="1:13" s="49" customFormat="1" ht="26.25" thickBot="1">
      <c r="A47" s="107">
        <v>754</v>
      </c>
      <c r="B47" s="433"/>
      <c r="C47" s="271" t="s">
        <v>705</v>
      </c>
      <c r="D47" s="434">
        <f>SUM(D48:D49)</f>
        <v>15300</v>
      </c>
      <c r="E47" s="434">
        <f aca="true" t="shared" si="9" ref="E47:M47">SUM(E48:E49)</f>
        <v>8300</v>
      </c>
      <c r="F47" s="301">
        <f t="shared" si="1"/>
        <v>54.248366013071895</v>
      </c>
      <c r="G47" s="434">
        <f t="shared" si="9"/>
        <v>8300</v>
      </c>
      <c r="H47" s="434">
        <f t="shared" si="9"/>
        <v>0</v>
      </c>
      <c r="I47" s="434">
        <f t="shared" si="9"/>
        <v>0</v>
      </c>
      <c r="J47" s="434">
        <f t="shared" si="9"/>
        <v>0</v>
      </c>
      <c r="K47" s="434">
        <f t="shared" si="9"/>
        <v>0</v>
      </c>
      <c r="L47" s="434">
        <f t="shared" si="9"/>
        <v>0</v>
      </c>
      <c r="M47" s="435">
        <f t="shared" si="9"/>
        <v>0</v>
      </c>
    </row>
    <row r="48" spans="1:13" s="49" customFormat="1" ht="12.75">
      <c r="A48" s="429"/>
      <c r="B48" s="180">
        <v>75414</v>
      </c>
      <c r="C48" s="103" t="s">
        <v>706</v>
      </c>
      <c r="D48" s="95">
        <f>'WYDATKI ukł.wyk.'!E195</f>
        <v>5000</v>
      </c>
      <c r="E48" s="95">
        <f>G48+M48</f>
        <v>1000</v>
      </c>
      <c r="F48" s="427">
        <f t="shared" si="1"/>
        <v>20</v>
      </c>
      <c r="G48" s="95">
        <f>SUM('WYDATKI ukł.wyk.'!F199)</f>
        <v>1000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289">
        <f>'WYDATKI ukł.wyk.'!F196</f>
        <v>0</v>
      </c>
    </row>
    <row r="49" spans="1:13" s="49" customFormat="1" ht="12.75">
      <c r="A49" s="229"/>
      <c r="B49" s="109">
        <v>75495</v>
      </c>
      <c r="C49" s="92" t="s">
        <v>621</v>
      </c>
      <c r="D49" s="104">
        <f>'WYDATKI ukł.wyk.'!E201</f>
        <v>10300</v>
      </c>
      <c r="E49" s="99">
        <f>G49+M49</f>
        <v>7300</v>
      </c>
      <c r="F49" s="303">
        <f t="shared" si="1"/>
        <v>70.87378640776699</v>
      </c>
      <c r="G49" s="104">
        <f>SUM('WYDATKI ukł.wyk.'!F202:F207)</f>
        <v>7300</v>
      </c>
      <c r="H49" s="111">
        <v>0</v>
      </c>
      <c r="I49" s="111">
        <v>0</v>
      </c>
      <c r="J49" s="104">
        <f>'WYDATKI ukł.wyk.'!F202</f>
        <v>0</v>
      </c>
      <c r="K49" s="111">
        <v>0</v>
      </c>
      <c r="L49" s="111">
        <v>0</v>
      </c>
      <c r="M49" s="291">
        <v>0</v>
      </c>
    </row>
    <row r="50" spans="1:13" s="49" customFormat="1" ht="12.75">
      <c r="A50" s="229"/>
      <c r="B50" s="431"/>
      <c r="C50" s="110"/>
      <c r="D50" s="110"/>
      <c r="E50" s="110"/>
      <c r="F50" s="300"/>
      <c r="G50" s="110"/>
      <c r="H50" s="110"/>
      <c r="I50" s="110"/>
      <c r="J50" s="110"/>
      <c r="K50" s="110"/>
      <c r="L50" s="110"/>
      <c r="M50" s="287"/>
    </row>
    <row r="51" spans="1:13" s="49" customFormat="1" ht="13.5" thickBot="1">
      <c r="A51" s="107">
        <v>757</v>
      </c>
      <c r="B51" s="101"/>
      <c r="C51" s="100" t="s">
        <v>713</v>
      </c>
      <c r="D51" s="105">
        <f>SUM(D52:D54)</f>
        <v>774444</v>
      </c>
      <c r="E51" s="105">
        <f aca="true" t="shared" si="10" ref="E51:M51">SUM(E52:E54)</f>
        <v>1048285</v>
      </c>
      <c r="F51" s="301">
        <f t="shared" si="1"/>
        <v>135.3596903068524</v>
      </c>
      <c r="G51" s="105">
        <f t="shared" si="10"/>
        <v>1048285</v>
      </c>
      <c r="H51" s="105">
        <f t="shared" si="10"/>
        <v>0</v>
      </c>
      <c r="I51" s="105">
        <f t="shared" si="10"/>
        <v>0</v>
      </c>
      <c r="J51" s="105">
        <f t="shared" si="10"/>
        <v>0</v>
      </c>
      <c r="K51" s="105">
        <f t="shared" si="10"/>
        <v>759397</v>
      </c>
      <c r="L51" s="105">
        <f t="shared" si="10"/>
        <v>288888</v>
      </c>
      <c r="M51" s="288">
        <f t="shared" si="10"/>
        <v>0</v>
      </c>
    </row>
    <row r="52" spans="1:13" s="49" customFormat="1" ht="25.5">
      <c r="A52" s="429"/>
      <c r="B52" s="109">
        <v>75702</v>
      </c>
      <c r="C52" s="272" t="s">
        <v>714</v>
      </c>
      <c r="D52" s="95">
        <f>'WYDATKI ukł.wyk.'!E210</f>
        <v>630000</v>
      </c>
      <c r="E52" s="95">
        <f>G52+M52</f>
        <v>759397</v>
      </c>
      <c r="F52" s="427">
        <f t="shared" si="1"/>
        <v>120.53920634920634</v>
      </c>
      <c r="G52" s="95">
        <f>'WYDATKI ukł.wyk.'!F211</f>
        <v>759397</v>
      </c>
      <c r="H52" s="94">
        <v>0</v>
      </c>
      <c r="I52" s="94">
        <v>0</v>
      </c>
      <c r="J52" s="94">
        <v>0</v>
      </c>
      <c r="K52" s="95">
        <f>'WYDATKI ukł.wyk.'!F211</f>
        <v>759397</v>
      </c>
      <c r="L52" s="94">
        <v>0</v>
      </c>
      <c r="M52" s="285">
        <v>0</v>
      </c>
    </row>
    <row r="53" spans="1:13" s="49" customFormat="1" ht="25.5">
      <c r="A53" s="229"/>
      <c r="B53" s="1035">
        <v>75704</v>
      </c>
      <c r="C53" s="273" t="s">
        <v>716</v>
      </c>
      <c r="D53" s="223"/>
      <c r="E53" s="223"/>
      <c r="F53" s="300"/>
      <c r="G53" s="223"/>
      <c r="H53" s="223"/>
      <c r="I53" s="223"/>
      <c r="J53" s="223"/>
      <c r="K53" s="223"/>
      <c r="L53" s="223"/>
      <c r="M53" s="224"/>
    </row>
    <row r="54" spans="1:13" s="49" customFormat="1" ht="25.5">
      <c r="A54" s="229"/>
      <c r="B54" s="1036"/>
      <c r="C54" s="226" t="s">
        <v>717</v>
      </c>
      <c r="D54" s="104">
        <f>'WYDATKI ukł.wyk.'!E214</f>
        <v>144444</v>
      </c>
      <c r="E54" s="104">
        <f>G54+M54</f>
        <v>288888</v>
      </c>
      <c r="F54" s="303">
        <f t="shared" si="1"/>
        <v>200</v>
      </c>
      <c r="G54" s="104">
        <f>'WYDATKI ukł.wyk.'!F215</f>
        <v>288888</v>
      </c>
      <c r="H54" s="111">
        <v>0</v>
      </c>
      <c r="I54" s="111">
        <v>0</v>
      </c>
      <c r="J54" s="111">
        <v>0</v>
      </c>
      <c r="K54" s="111">
        <v>0</v>
      </c>
      <c r="L54" s="104">
        <f>'WYDATKI ukł.wyk.'!F215</f>
        <v>288888</v>
      </c>
      <c r="M54" s="291">
        <v>0</v>
      </c>
    </row>
    <row r="55" spans="1:13" s="49" customFormat="1" ht="12.75">
      <c r="A55" s="229"/>
      <c r="B55" s="428"/>
      <c r="C55" s="223"/>
      <c r="D55" s="223"/>
      <c r="E55" s="223"/>
      <c r="F55" s="300"/>
      <c r="G55" s="223"/>
      <c r="H55" s="223"/>
      <c r="I55" s="223"/>
      <c r="J55" s="223"/>
      <c r="K55" s="223"/>
      <c r="L55" s="223"/>
      <c r="M55" s="224"/>
    </row>
    <row r="56" spans="1:13" s="49" customFormat="1" ht="13.5" thickBot="1">
      <c r="A56" s="107">
        <v>758</v>
      </c>
      <c r="B56" s="101"/>
      <c r="C56" s="100" t="s">
        <v>719</v>
      </c>
      <c r="D56" s="105">
        <f>D57</f>
        <v>0</v>
      </c>
      <c r="E56" s="105">
        <f aca="true" t="shared" si="11" ref="E56:M56">E57</f>
        <v>1500000</v>
      </c>
      <c r="F56" s="301">
        <v>0</v>
      </c>
      <c r="G56" s="105">
        <f t="shared" si="11"/>
        <v>1500000</v>
      </c>
      <c r="H56" s="105">
        <f t="shared" si="11"/>
        <v>0</v>
      </c>
      <c r="I56" s="105">
        <f t="shared" si="11"/>
        <v>0</v>
      </c>
      <c r="J56" s="105">
        <f t="shared" si="11"/>
        <v>0</v>
      </c>
      <c r="K56" s="105">
        <f t="shared" si="11"/>
        <v>0</v>
      </c>
      <c r="L56" s="105">
        <f t="shared" si="11"/>
        <v>0</v>
      </c>
      <c r="M56" s="288">
        <f t="shared" si="11"/>
        <v>0</v>
      </c>
    </row>
    <row r="57" spans="1:13" s="49" customFormat="1" ht="12.75">
      <c r="A57" s="429"/>
      <c r="B57" s="156">
        <v>75818</v>
      </c>
      <c r="C57" s="152" t="s">
        <v>720</v>
      </c>
      <c r="D57" s="221">
        <f>'WYDATKI ukł.wyk.'!E219</f>
        <v>0</v>
      </c>
      <c r="E57" s="221">
        <f>G57+M57</f>
        <v>1500000</v>
      </c>
      <c r="F57" s="436">
        <v>0</v>
      </c>
      <c r="G57" s="221">
        <f>'WYDATKI ukł.wyk.'!F220</f>
        <v>1500000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287">
        <v>0</v>
      </c>
    </row>
    <row r="58" spans="1:13" s="49" customFormat="1" ht="12.75">
      <c r="A58" s="229"/>
      <c r="B58" s="428"/>
      <c r="C58" s="223"/>
      <c r="D58" s="223"/>
      <c r="E58" s="223"/>
      <c r="F58" s="300"/>
      <c r="G58" s="223"/>
      <c r="H58" s="223"/>
      <c r="I58" s="223"/>
      <c r="J58" s="223"/>
      <c r="K58" s="223"/>
      <c r="L58" s="223"/>
      <c r="M58" s="224"/>
    </row>
    <row r="59" spans="1:13" s="49" customFormat="1" ht="13.5" thickBot="1">
      <c r="A59" s="107">
        <v>801</v>
      </c>
      <c r="B59" s="101"/>
      <c r="C59" s="100" t="s">
        <v>722</v>
      </c>
      <c r="D59" s="105">
        <f>SUM(D60:D66)</f>
        <v>9074112</v>
      </c>
      <c r="E59" s="105">
        <f aca="true" t="shared" si="12" ref="E59:M59">SUM(E60:E66)</f>
        <v>6932225</v>
      </c>
      <c r="F59" s="301">
        <f t="shared" si="1"/>
        <v>76.39562967704168</v>
      </c>
      <c r="G59" s="105">
        <f t="shared" si="12"/>
        <v>6898725</v>
      </c>
      <c r="H59" s="105">
        <f t="shared" si="12"/>
        <v>4613470</v>
      </c>
      <c r="I59" s="105">
        <f t="shared" si="12"/>
        <v>930787</v>
      </c>
      <c r="J59" s="105">
        <f t="shared" si="12"/>
        <v>10000</v>
      </c>
      <c r="K59" s="105">
        <f t="shared" si="12"/>
        <v>0</v>
      </c>
      <c r="L59" s="105">
        <f t="shared" si="12"/>
        <v>0</v>
      </c>
      <c r="M59" s="288">
        <f t="shared" si="12"/>
        <v>33500</v>
      </c>
    </row>
    <row r="60" spans="1:13" s="49" customFormat="1" ht="12.75">
      <c r="A60" s="429"/>
      <c r="B60" s="109">
        <v>80101</v>
      </c>
      <c r="C60" s="92" t="s">
        <v>723</v>
      </c>
      <c r="D60" s="95">
        <f>'WYDATKI ukł.wyk.'!E223</f>
        <v>88232</v>
      </c>
      <c r="E60" s="95">
        <f aca="true" t="shared" si="13" ref="E60:E66">G60+M60</f>
        <v>131490</v>
      </c>
      <c r="F60" s="427">
        <f t="shared" si="1"/>
        <v>149.0275636957113</v>
      </c>
      <c r="G60" s="95">
        <f>SUM('WYDATKI ukł.wyk.'!F224:F235)</f>
        <v>131490</v>
      </c>
      <c r="H60" s="95">
        <f>'WYDATKI ukł.wyk.'!F225+'WYDATKI ukł.wyk.'!F226</f>
        <v>62412</v>
      </c>
      <c r="I60" s="95">
        <f>'WYDATKI ukł.wyk.'!F227+'WYDATKI ukł.wyk.'!F228</f>
        <v>13575</v>
      </c>
      <c r="J60" s="94">
        <v>0</v>
      </c>
      <c r="K60" s="94">
        <v>0</v>
      </c>
      <c r="L60" s="94">
        <v>0</v>
      </c>
      <c r="M60" s="285">
        <v>0</v>
      </c>
    </row>
    <row r="61" spans="1:13" s="49" customFormat="1" ht="12.75">
      <c r="A61" s="229"/>
      <c r="B61" s="231">
        <v>80110</v>
      </c>
      <c r="C61" s="98" t="s">
        <v>725</v>
      </c>
      <c r="D61" s="99">
        <f>'WYDATKI ukł.wyk.'!E237</f>
        <v>373330</v>
      </c>
      <c r="E61" s="99">
        <f t="shared" si="13"/>
        <v>407213</v>
      </c>
      <c r="F61" s="304">
        <f t="shared" si="1"/>
        <v>109.07588460611255</v>
      </c>
      <c r="G61" s="99">
        <f>SUM('WYDATKI ukł.wyk.'!F238:F251)</f>
        <v>407213</v>
      </c>
      <c r="H61" s="99">
        <f>'WYDATKI ukł.wyk.'!F239+'WYDATKI ukł.wyk.'!F240</f>
        <v>252648</v>
      </c>
      <c r="I61" s="99">
        <f>'WYDATKI ukł.wyk.'!F241+'WYDATKI ukł.wyk.'!F242</f>
        <v>53733</v>
      </c>
      <c r="J61" s="97">
        <v>0</v>
      </c>
      <c r="K61" s="97">
        <v>0</v>
      </c>
      <c r="L61" s="97">
        <v>0</v>
      </c>
      <c r="M61" s="286">
        <v>0</v>
      </c>
    </row>
    <row r="62" spans="1:13" s="49" customFormat="1" ht="12.75">
      <c r="A62" s="229"/>
      <c r="B62" s="277" t="s">
        <v>844</v>
      </c>
      <c r="C62" s="92" t="s">
        <v>727</v>
      </c>
      <c r="D62" s="104">
        <f>'WYDATKI ukł.wyk.'!E253</f>
        <v>4250137</v>
      </c>
      <c r="E62" s="104">
        <f t="shared" si="13"/>
        <v>2133006</v>
      </c>
      <c r="F62" s="303">
        <f t="shared" si="1"/>
        <v>50.18675868566119</v>
      </c>
      <c r="G62" s="104">
        <f>SUM('WYDATKI ukł.wyk.'!F254:F273)</f>
        <v>2113006</v>
      </c>
      <c r="H62" s="104">
        <f>'WYDATKI ukł.wyk.'!F255+'WYDATKI ukł.wyk.'!F256+'WYDATKI ukł.wyk.'!F259</f>
        <v>1581133</v>
      </c>
      <c r="I62" s="104">
        <f>'WYDATKI ukł.wyk.'!F257+'WYDATKI ukł.wyk.'!F258</f>
        <v>307220</v>
      </c>
      <c r="J62" s="111">
        <v>0</v>
      </c>
      <c r="K62" s="111">
        <v>0</v>
      </c>
      <c r="L62" s="111">
        <v>0</v>
      </c>
      <c r="M62" s="292">
        <f>'WYDATKI ukł.wyk.'!F274+'WYDATKI ukł.wyk.'!F275</f>
        <v>20000</v>
      </c>
    </row>
    <row r="63" spans="1:13" s="49" customFormat="1" ht="12.75">
      <c r="A63" s="229"/>
      <c r="B63" s="278" t="s">
        <v>845</v>
      </c>
      <c r="C63" s="97" t="s">
        <v>729</v>
      </c>
      <c r="D63" s="99">
        <f>'WYDATKI ukł.wyk.'!E277</f>
        <v>4175656</v>
      </c>
      <c r="E63" s="99">
        <f t="shared" si="13"/>
        <v>4082962</v>
      </c>
      <c r="F63" s="304">
        <f t="shared" si="1"/>
        <v>97.78013322936565</v>
      </c>
      <c r="G63" s="99">
        <f>SUM('WYDATKI ukł.wyk.'!F278:F299)</f>
        <v>4069462</v>
      </c>
      <c r="H63" s="99">
        <f>'WYDATKI ukł.wyk.'!F279+'WYDATKI ukł.wyk.'!F280+'WYDATKI ukł.wyk.'!F283</f>
        <v>2687544</v>
      </c>
      <c r="I63" s="99">
        <f>'WYDATKI ukł.wyk.'!F281+'WYDATKI ukł.wyk.'!F282</f>
        <v>525993</v>
      </c>
      <c r="J63" s="97">
        <v>0</v>
      </c>
      <c r="K63" s="97">
        <v>0</v>
      </c>
      <c r="L63" s="97">
        <v>0</v>
      </c>
      <c r="M63" s="290">
        <f>'WYDATKI ukł.wyk.'!F300+'WYDATKI ukł.wyk.'!F301</f>
        <v>13500</v>
      </c>
    </row>
    <row r="64" spans="1:13" s="49" customFormat="1" ht="25.5">
      <c r="A64" s="229"/>
      <c r="B64" s="278" t="s">
        <v>846</v>
      </c>
      <c r="C64" s="280" t="s">
        <v>731</v>
      </c>
      <c r="D64" s="99">
        <f>'WYDATKI ukł.wyk.'!E303</f>
        <v>31930</v>
      </c>
      <c r="E64" s="99">
        <f t="shared" si="13"/>
        <v>49800</v>
      </c>
      <c r="F64" s="304">
        <f t="shared" si="1"/>
        <v>155.9661760100219</v>
      </c>
      <c r="G64" s="99">
        <f>SUM('WYDATKI ukł.wyk.'!F304:F306)</f>
        <v>49800</v>
      </c>
      <c r="H64" s="99">
        <f>'WYDATKI ukł.wyk.'!F304</f>
        <v>0</v>
      </c>
      <c r="I64" s="97">
        <v>0</v>
      </c>
      <c r="J64" s="97">
        <v>0</v>
      </c>
      <c r="K64" s="97">
        <v>0</v>
      </c>
      <c r="L64" s="97">
        <v>0</v>
      </c>
      <c r="M64" s="286">
        <v>0</v>
      </c>
    </row>
    <row r="65" spans="1:13" s="49" customFormat="1" ht="12.75">
      <c r="A65" s="229"/>
      <c r="B65" s="278" t="s">
        <v>847</v>
      </c>
      <c r="C65" s="98" t="s">
        <v>621</v>
      </c>
      <c r="D65" s="99">
        <f>'WYDATKI ukł.wyk.'!E308</f>
        <v>124787</v>
      </c>
      <c r="E65" s="99">
        <f t="shared" si="13"/>
        <v>104756</v>
      </c>
      <c r="F65" s="304">
        <f t="shared" si="1"/>
        <v>83.9478471315121</v>
      </c>
      <c r="G65" s="99">
        <f>SUM('WYDATKI ukł.wyk.'!F309:F319)</f>
        <v>104756</v>
      </c>
      <c r="H65" s="99">
        <f>'WYDATKI ukł.wyk.'!F312+'WYDATKI ukł.wyk.'!F315</f>
        <v>29733</v>
      </c>
      <c r="I65" s="99">
        <f>'WYDATKI ukł.wyk.'!F313+'WYDATKI ukł.wyk.'!F314</f>
        <v>7268</v>
      </c>
      <c r="J65" s="99">
        <f>'WYDATKI ukł.wyk.'!F309</f>
        <v>10000</v>
      </c>
      <c r="K65" s="97">
        <v>0</v>
      </c>
      <c r="L65" s="97">
        <v>0</v>
      </c>
      <c r="M65" s="286">
        <v>0</v>
      </c>
    </row>
    <row r="66" spans="1:13" s="49" customFormat="1" ht="12.75">
      <c r="A66" s="229"/>
      <c r="B66" s="278" t="s">
        <v>848</v>
      </c>
      <c r="C66" s="98" t="s">
        <v>407</v>
      </c>
      <c r="D66" s="99">
        <f>'WYDATKI ukł.wyk.'!E321</f>
        <v>30040</v>
      </c>
      <c r="E66" s="99">
        <f t="shared" si="13"/>
        <v>22998</v>
      </c>
      <c r="F66" s="304">
        <f t="shared" si="1"/>
        <v>76.55792276964047</v>
      </c>
      <c r="G66" s="99">
        <f>'WYDATKI ukł.wyk.'!F322</f>
        <v>22998</v>
      </c>
      <c r="H66" s="97">
        <v>0</v>
      </c>
      <c r="I66" s="99">
        <f>'WYDATKI ukł.wyk.'!F322</f>
        <v>22998</v>
      </c>
      <c r="J66" s="97">
        <v>0</v>
      </c>
      <c r="K66" s="97">
        <v>0</v>
      </c>
      <c r="L66" s="97">
        <v>0</v>
      </c>
      <c r="M66" s="286">
        <v>0</v>
      </c>
    </row>
    <row r="67" spans="1:13" s="49" customFormat="1" ht="12.75">
      <c r="A67" s="229"/>
      <c r="B67" s="431"/>
      <c r="C67" s="110"/>
      <c r="D67" s="110"/>
      <c r="E67" s="110"/>
      <c r="F67" s="300"/>
      <c r="G67" s="110"/>
      <c r="H67" s="110"/>
      <c r="I67" s="110"/>
      <c r="J67" s="110"/>
      <c r="K67" s="110"/>
      <c r="L67" s="110"/>
      <c r="M67" s="287"/>
    </row>
    <row r="68" spans="1:13" s="49" customFormat="1" ht="13.5" thickBot="1">
      <c r="A68" s="437">
        <v>803</v>
      </c>
      <c r="B68" s="101"/>
      <c r="C68" s="438" t="s">
        <v>734</v>
      </c>
      <c r="D68" s="105">
        <f>D69</f>
        <v>388183</v>
      </c>
      <c r="E68" s="105">
        <f aca="true" t="shared" si="14" ref="E68:M68">E69</f>
        <v>614084</v>
      </c>
      <c r="F68" s="301">
        <f t="shared" si="1"/>
        <v>158.1944598295134</v>
      </c>
      <c r="G68" s="105">
        <f t="shared" si="14"/>
        <v>614084</v>
      </c>
      <c r="H68" s="105">
        <f t="shared" si="14"/>
        <v>0</v>
      </c>
      <c r="I68" s="105">
        <f t="shared" si="14"/>
        <v>0</v>
      </c>
      <c r="J68" s="105">
        <f t="shared" si="14"/>
        <v>0</v>
      </c>
      <c r="K68" s="105">
        <f t="shared" si="14"/>
        <v>0</v>
      </c>
      <c r="L68" s="105">
        <f t="shared" si="14"/>
        <v>0</v>
      </c>
      <c r="M68" s="288">
        <f t="shared" si="14"/>
        <v>0</v>
      </c>
    </row>
    <row r="69" spans="1:13" s="49" customFormat="1" ht="25.5">
      <c r="A69" s="429"/>
      <c r="B69" s="277" t="s">
        <v>849</v>
      </c>
      <c r="C69" s="226" t="s">
        <v>735</v>
      </c>
      <c r="D69" s="104">
        <f>'WYDATKI ukł.wyk.'!E325</f>
        <v>388183</v>
      </c>
      <c r="E69" s="104">
        <f>G69+M69</f>
        <v>614084</v>
      </c>
      <c r="F69" s="303">
        <f t="shared" si="1"/>
        <v>158.1944598295134</v>
      </c>
      <c r="G69" s="104">
        <f>SUM('WYDATKI ukł.wyk.'!F326:F334)</f>
        <v>614084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291">
        <v>0</v>
      </c>
    </row>
    <row r="70" spans="1:13" s="49" customFormat="1" ht="12.75">
      <c r="A70" s="229"/>
      <c r="B70" s="431"/>
      <c r="C70" s="110"/>
      <c r="D70" s="110"/>
      <c r="E70" s="110"/>
      <c r="F70" s="300"/>
      <c r="G70" s="110"/>
      <c r="H70" s="110"/>
      <c r="I70" s="110"/>
      <c r="J70" s="110"/>
      <c r="K70" s="110"/>
      <c r="L70" s="110"/>
      <c r="M70" s="287"/>
    </row>
    <row r="71" spans="1:13" s="49" customFormat="1" ht="13.5" thickBot="1">
      <c r="A71" s="437">
        <v>851</v>
      </c>
      <c r="B71" s="88"/>
      <c r="C71" s="439" t="s">
        <v>737</v>
      </c>
      <c r="D71" s="105">
        <f>SUM(D72:D76)</f>
        <v>3234906</v>
      </c>
      <c r="E71" s="105">
        <f aca="true" t="shared" si="15" ref="E71:M71">SUM(E72:E76)</f>
        <v>3245925</v>
      </c>
      <c r="F71" s="301">
        <f t="shared" si="1"/>
        <v>100.3406281357171</v>
      </c>
      <c r="G71" s="105">
        <f t="shared" si="15"/>
        <v>3245925</v>
      </c>
      <c r="H71" s="105">
        <f t="shared" si="15"/>
        <v>0</v>
      </c>
      <c r="I71" s="105">
        <f t="shared" si="15"/>
        <v>0</v>
      </c>
      <c r="J71" s="105">
        <f t="shared" si="15"/>
        <v>0</v>
      </c>
      <c r="K71" s="105">
        <f t="shared" si="15"/>
        <v>0</v>
      </c>
      <c r="L71" s="105">
        <f t="shared" si="15"/>
        <v>0</v>
      </c>
      <c r="M71" s="288">
        <f t="shared" si="15"/>
        <v>0</v>
      </c>
    </row>
    <row r="72" spans="1:13" s="49" customFormat="1" ht="12.75">
      <c r="A72" s="429"/>
      <c r="B72" s="180">
        <v>85111</v>
      </c>
      <c r="C72" s="118" t="s">
        <v>738</v>
      </c>
      <c r="D72" s="95">
        <f>'WYDATKI ukł.wyk.'!E337</f>
        <v>652481</v>
      </c>
      <c r="E72" s="95">
        <f>G72+M72</f>
        <v>0</v>
      </c>
      <c r="F72" s="303">
        <f t="shared" si="1"/>
        <v>0</v>
      </c>
      <c r="G72" s="94">
        <v>0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  <c r="M72" s="285">
        <v>0</v>
      </c>
    </row>
    <row r="73" spans="1:13" s="49" customFormat="1" ht="12.75">
      <c r="A73" s="229"/>
      <c r="B73" s="109">
        <v>85141</v>
      </c>
      <c r="C73" s="201" t="s">
        <v>744</v>
      </c>
      <c r="D73" s="104">
        <f>'WYDATKI ukł.wyk.'!E347</f>
        <v>35000</v>
      </c>
      <c r="E73" s="104">
        <f>G73+M73</f>
        <v>0</v>
      </c>
      <c r="F73" s="304">
        <v>0</v>
      </c>
      <c r="G73" s="104">
        <f>'WYDATKI ukł.wyk.'!F348</f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291">
        <v>0</v>
      </c>
    </row>
    <row r="74" spans="1:13" s="49" customFormat="1" ht="12.75">
      <c r="A74" s="229"/>
      <c r="B74" s="109">
        <v>85149</v>
      </c>
      <c r="C74" s="201" t="s">
        <v>746</v>
      </c>
      <c r="D74" s="104">
        <f>'WYDATKI ukł.wyk.'!E351</f>
        <v>3000</v>
      </c>
      <c r="E74" s="104">
        <f>G74+M74</f>
        <v>3000</v>
      </c>
      <c r="F74" s="304">
        <f t="shared" si="1"/>
        <v>100</v>
      </c>
      <c r="G74" s="104">
        <f>SUM('WYDATKI ukł.wyk.'!F352)</f>
        <v>3000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291">
        <v>0</v>
      </c>
    </row>
    <row r="75" spans="1:13" s="49" customFormat="1" ht="12.75">
      <c r="A75" s="229"/>
      <c r="B75" s="109">
        <v>85154</v>
      </c>
      <c r="C75" s="201" t="s">
        <v>747</v>
      </c>
      <c r="D75" s="104">
        <f>'WYDATKI ukł.wyk.'!E354</f>
        <v>15425</v>
      </c>
      <c r="E75" s="104">
        <f>G75+M75</f>
        <v>4925</v>
      </c>
      <c r="F75" s="304">
        <f t="shared" si="1"/>
        <v>31.92868719611021</v>
      </c>
      <c r="G75" s="104">
        <f>SUM('WYDATKI ukł.wyk.'!F355:F356)</f>
        <v>4925</v>
      </c>
      <c r="H75" s="111">
        <v>0</v>
      </c>
      <c r="I75" s="111">
        <v>0</v>
      </c>
      <c r="J75" s="111">
        <v>0</v>
      </c>
      <c r="K75" s="111">
        <v>0</v>
      </c>
      <c r="L75" s="111">
        <v>0</v>
      </c>
      <c r="M75" s="291"/>
    </row>
    <row r="76" spans="1:13" s="49" customFormat="1" ht="12.75">
      <c r="A76" s="229"/>
      <c r="B76" s="109">
        <v>85156</v>
      </c>
      <c r="C76" s="92" t="s">
        <v>748</v>
      </c>
      <c r="D76" s="104">
        <f>'WYDATKI ukł.wyk.'!E358</f>
        <v>2529000</v>
      </c>
      <c r="E76" s="104">
        <f>G76+M76</f>
        <v>3238000</v>
      </c>
      <c r="F76" s="304">
        <f t="shared" si="1"/>
        <v>128.0347963621985</v>
      </c>
      <c r="G76" s="104">
        <f>'WYDATKI ukł.wyk.'!F361</f>
        <v>3238000</v>
      </c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291">
        <v>0</v>
      </c>
    </row>
    <row r="77" spans="1:13" s="49" customFormat="1" ht="12.75">
      <c r="A77" s="229"/>
      <c r="B77" s="428"/>
      <c r="C77" s="223"/>
      <c r="D77" s="223"/>
      <c r="E77" s="223"/>
      <c r="F77" s="300"/>
      <c r="G77" s="223"/>
      <c r="H77" s="223"/>
      <c r="I77" s="223"/>
      <c r="J77" s="223"/>
      <c r="K77" s="223"/>
      <c r="L77" s="223"/>
      <c r="M77" s="224"/>
    </row>
    <row r="78" spans="1:13" s="49" customFormat="1" ht="13.5" thickBot="1">
      <c r="A78" s="437">
        <v>852</v>
      </c>
      <c r="B78" s="101"/>
      <c r="C78" s="438" t="s">
        <v>850</v>
      </c>
      <c r="D78" s="105">
        <f>SUM(D79:D86)</f>
        <v>8947959</v>
      </c>
      <c r="E78" s="105">
        <f aca="true" t="shared" si="16" ref="E78:M78">SUM(E79:E86)</f>
        <v>8665857</v>
      </c>
      <c r="F78" s="301">
        <f aca="true" t="shared" si="17" ref="F78:F97">E78/D78*100</f>
        <v>96.84730339063914</v>
      </c>
      <c r="G78" s="105">
        <f t="shared" si="16"/>
        <v>8585857</v>
      </c>
      <c r="H78" s="105">
        <f t="shared" si="16"/>
        <v>3289919</v>
      </c>
      <c r="I78" s="105">
        <f t="shared" si="16"/>
        <v>644212</v>
      </c>
      <c r="J78" s="105">
        <f t="shared" si="16"/>
        <v>652112</v>
      </c>
      <c r="K78" s="105">
        <f t="shared" si="16"/>
        <v>0</v>
      </c>
      <c r="L78" s="105">
        <f t="shared" si="16"/>
        <v>0</v>
      </c>
      <c r="M78" s="288">
        <f t="shared" si="16"/>
        <v>80000</v>
      </c>
    </row>
    <row r="79" spans="1:13" s="49" customFormat="1" ht="12.75">
      <c r="A79" s="429"/>
      <c r="B79" s="109">
        <v>85201</v>
      </c>
      <c r="C79" s="92" t="s">
        <v>755</v>
      </c>
      <c r="D79" s="95">
        <f>'WYDATKI ukł.wyk.'!E364</f>
        <v>2061498</v>
      </c>
      <c r="E79" s="95">
        <f aca="true" t="shared" si="18" ref="E79:E86">G79+M79</f>
        <v>1993643</v>
      </c>
      <c r="F79" s="427">
        <f t="shared" si="17"/>
        <v>96.70846151681933</v>
      </c>
      <c r="G79" s="95">
        <f>SUM('WYDATKI ukł.wyk.'!F365:F388)</f>
        <v>1993643</v>
      </c>
      <c r="H79" s="95">
        <f>'WYDATKI ukł.wyk.'!F368+'WYDATKI ukł.wyk.'!F369+'WYDATKI ukł.wyk.'!F372</f>
        <v>718107</v>
      </c>
      <c r="I79" s="95">
        <f>'WYDATKI ukł.wyk.'!F370+'WYDATKI ukł.wyk.'!F371</f>
        <v>139424</v>
      </c>
      <c r="J79" s="95">
        <f>'WYDATKI ukł.wyk.'!F365</f>
        <v>535125</v>
      </c>
      <c r="K79" s="94">
        <v>0</v>
      </c>
      <c r="L79" s="94">
        <v>0</v>
      </c>
      <c r="M79" s="289">
        <f>'WYDATKI ukł.wyk.'!F389+'WYDATKI ukł.wyk.'!F390</f>
        <v>0</v>
      </c>
    </row>
    <row r="80" spans="1:13" s="49" customFormat="1" ht="12.75">
      <c r="A80" s="229"/>
      <c r="B80" s="86" t="s">
        <v>851</v>
      </c>
      <c r="C80" s="51" t="s">
        <v>852</v>
      </c>
      <c r="D80" s="104">
        <f>'WYDATKI ukł.wyk.'!E392</f>
        <v>4271052</v>
      </c>
      <c r="E80" s="104">
        <f t="shared" si="18"/>
        <v>4345152</v>
      </c>
      <c r="F80" s="303">
        <f t="shared" si="17"/>
        <v>101.73493556154315</v>
      </c>
      <c r="G80" s="104">
        <f>SUM('WYDATKI ukł.wyk.'!F393:F418)</f>
        <v>4265152</v>
      </c>
      <c r="H80" s="104">
        <f>'WYDATKI ukł.wyk.'!F394+'WYDATKI ukł.wyk.'!F395+'WYDATKI ukł.wyk.'!F398</f>
        <v>2059654</v>
      </c>
      <c r="I80" s="104">
        <f>'WYDATKI ukł.wyk.'!F396+'WYDATKI ukł.wyk.'!F397</f>
        <v>399791</v>
      </c>
      <c r="J80" s="111">
        <v>0</v>
      </c>
      <c r="K80" s="111">
        <v>0</v>
      </c>
      <c r="L80" s="111">
        <v>0</v>
      </c>
      <c r="M80" s="292">
        <f>'WYDATKI ukł.wyk.'!F419+'WYDATKI ukł.wyk.'!F420</f>
        <v>80000</v>
      </c>
    </row>
    <row r="81" spans="1:13" s="49" customFormat="1" ht="12.75">
      <c r="A81" s="229"/>
      <c r="B81" s="278" t="s">
        <v>853</v>
      </c>
      <c r="C81" s="97" t="s">
        <v>763</v>
      </c>
      <c r="D81" s="99">
        <f>'WYDATKI ukł.wyk.'!E422</f>
        <v>253093</v>
      </c>
      <c r="E81" s="99">
        <f t="shared" si="18"/>
        <v>324000</v>
      </c>
      <c r="F81" s="304">
        <f t="shared" si="17"/>
        <v>128.01618377434383</v>
      </c>
      <c r="G81" s="99">
        <f>SUM('WYDATKI ukł.wyk.'!F423:F439)</f>
        <v>324000</v>
      </c>
      <c r="H81" s="99">
        <f>'WYDATKI ukł.wyk.'!F423+'WYDATKI ukł.wyk.'!F424</f>
        <v>126281</v>
      </c>
      <c r="I81" s="99">
        <f>'WYDATKI ukł.wyk.'!F425+'WYDATKI ukł.wyk.'!F426</f>
        <v>25117</v>
      </c>
      <c r="J81" s="97">
        <v>0</v>
      </c>
      <c r="K81" s="97">
        <v>0</v>
      </c>
      <c r="L81" s="97">
        <v>0</v>
      </c>
      <c r="M81" s="290">
        <f>'WYDATKI ukł.wyk.'!F440</f>
        <v>0</v>
      </c>
    </row>
    <row r="82" spans="1:13" s="49" customFormat="1" ht="12.75">
      <c r="A82" s="229"/>
      <c r="B82" s="278" t="s">
        <v>854</v>
      </c>
      <c r="C82" s="97" t="s">
        <v>765</v>
      </c>
      <c r="D82" s="99">
        <f>'WYDATKI ukł.wyk.'!E442</f>
        <v>1496800</v>
      </c>
      <c r="E82" s="99">
        <f t="shared" si="18"/>
        <v>1382682</v>
      </c>
      <c r="F82" s="304">
        <f t="shared" si="17"/>
        <v>92.37586851950829</v>
      </c>
      <c r="G82" s="99">
        <f>SUM('WYDATKI ukł.wyk.'!F443:F447)</f>
        <v>1382682</v>
      </c>
      <c r="H82" s="97">
        <v>0</v>
      </c>
      <c r="I82" s="99">
        <f>'WYDATKI ukł.wyk.'!F445+'WYDATKI ukł.wyk.'!F446</f>
        <v>3698</v>
      </c>
      <c r="J82" s="99">
        <f>'WYDATKI ukł.wyk.'!F443</f>
        <v>116987</v>
      </c>
      <c r="K82" s="97">
        <v>0</v>
      </c>
      <c r="L82" s="97">
        <v>0</v>
      </c>
      <c r="M82" s="286">
        <v>0</v>
      </c>
    </row>
    <row r="83" spans="1:13" s="49" customFormat="1" ht="12.75">
      <c r="A83" s="229"/>
      <c r="B83" s="278" t="s">
        <v>855</v>
      </c>
      <c r="C83" s="97" t="s">
        <v>766</v>
      </c>
      <c r="D83" s="99">
        <f>'WYDATKI ukł.wyk.'!E449</f>
        <v>548950</v>
      </c>
      <c r="E83" s="99">
        <f t="shared" si="18"/>
        <v>599268</v>
      </c>
      <c r="F83" s="304">
        <f t="shared" si="17"/>
        <v>109.1662264322798</v>
      </c>
      <c r="G83" s="99">
        <f>SUM('WYDATKI ukł.wyk.'!F450:F469)</f>
        <v>599268</v>
      </c>
      <c r="H83" s="99">
        <f>'WYDATKI ukł.wyk.'!F450+'WYDATKI ukł.wyk.'!F451</f>
        <v>385877</v>
      </c>
      <c r="I83" s="99">
        <f>'WYDATKI ukł.wyk.'!F452+'WYDATKI ukł.wyk.'!F453</f>
        <v>76182</v>
      </c>
      <c r="J83" s="97">
        <v>0</v>
      </c>
      <c r="K83" s="97">
        <v>0</v>
      </c>
      <c r="L83" s="97">
        <v>0</v>
      </c>
      <c r="M83" s="290">
        <f>'WYDATKI ukł.wyk.'!F470+'WYDATKI ukł.wyk.'!F471</f>
        <v>0</v>
      </c>
    </row>
    <row r="84" spans="1:13" s="49" customFormat="1" ht="25.5">
      <c r="A84" s="229"/>
      <c r="B84" s="278" t="s">
        <v>856</v>
      </c>
      <c r="C84" s="272" t="s">
        <v>767</v>
      </c>
      <c r="D84" s="99">
        <f>'WYDATKI ukł.wyk.'!E473</f>
        <v>134216</v>
      </c>
      <c r="E84" s="99">
        <f t="shared" si="18"/>
        <v>21112</v>
      </c>
      <c r="F84" s="304">
        <f t="shared" si="17"/>
        <v>15.729868272039102</v>
      </c>
      <c r="G84" s="99">
        <f>SUM('WYDATKI ukł.wyk.'!F474:F479)</f>
        <v>21112</v>
      </c>
      <c r="H84" s="97">
        <v>0</v>
      </c>
      <c r="I84" s="97">
        <v>0</v>
      </c>
      <c r="J84" s="97">
        <v>0</v>
      </c>
      <c r="K84" s="97">
        <v>0</v>
      </c>
      <c r="L84" s="97">
        <v>0</v>
      </c>
      <c r="M84" s="286">
        <v>0</v>
      </c>
    </row>
    <row r="85" spans="1:13" s="49" customFormat="1" ht="25.5">
      <c r="A85" s="229"/>
      <c r="B85" s="109">
        <v>85233</v>
      </c>
      <c r="C85" s="226" t="s">
        <v>731</v>
      </c>
      <c r="D85" s="104">
        <f>'WYDATKI ukł.wyk.'!E482</f>
        <v>750</v>
      </c>
      <c r="E85" s="104">
        <f t="shared" si="18"/>
        <v>0</v>
      </c>
      <c r="F85" s="303">
        <f t="shared" si="17"/>
        <v>0</v>
      </c>
      <c r="G85" s="104">
        <f>SUM('WYDATKI ukł.wyk.'!F483)</f>
        <v>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291">
        <v>0</v>
      </c>
    </row>
    <row r="86" spans="1:13" s="49" customFormat="1" ht="12.75">
      <c r="A86" s="229"/>
      <c r="B86" s="231">
        <v>85295</v>
      </c>
      <c r="C86" s="98" t="s">
        <v>621</v>
      </c>
      <c r="D86" s="99">
        <f>'WYDATKI ukł.wyk.'!E485</f>
        <v>181600</v>
      </c>
      <c r="E86" s="99">
        <f t="shared" si="18"/>
        <v>0</v>
      </c>
      <c r="F86" s="304">
        <f t="shared" si="17"/>
        <v>0</v>
      </c>
      <c r="G86" s="99">
        <f>SUM('WYDATKI ukł.wyk.'!F486:F490)</f>
        <v>0</v>
      </c>
      <c r="H86" s="97">
        <v>0</v>
      </c>
      <c r="I86" s="97">
        <v>0</v>
      </c>
      <c r="J86" s="99">
        <f>'WYDATKI ukł.wyk.'!F486</f>
        <v>0</v>
      </c>
      <c r="K86" s="97">
        <v>0</v>
      </c>
      <c r="L86" s="97">
        <v>0</v>
      </c>
      <c r="M86" s="286">
        <v>0</v>
      </c>
    </row>
    <row r="87" spans="1:13" s="49" customFormat="1" ht="12.75">
      <c r="A87" s="229"/>
      <c r="B87" s="428"/>
      <c r="C87" s="223"/>
      <c r="D87" s="223"/>
      <c r="E87" s="223"/>
      <c r="F87" s="300"/>
      <c r="G87" s="223"/>
      <c r="H87" s="223"/>
      <c r="I87" s="223"/>
      <c r="J87" s="223"/>
      <c r="K87" s="223"/>
      <c r="L87" s="223"/>
      <c r="M87" s="224"/>
    </row>
    <row r="88" spans="1:13" s="49" customFormat="1" ht="26.25" thickBot="1">
      <c r="A88" s="437">
        <v>853</v>
      </c>
      <c r="B88" s="440"/>
      <c r="C88" s="271" t="s">
        <v>773</v>
      </c>
      <c r="D88" s="105">
        <f>SUM(D89:D92)</f>
        <v>4107673</v>
      </c>
      <c r="E88" s="105">
        <f>SUM(E89:E92)</f>
        <v>1262090</v>
      </c>
      <c r="F88" s="301">
        <f t="shared" si="17"/>
        <v>30.72518187304588</v>
      </c>
      <c r="G88" s="105">
        <f aca="true" t="shared" si="19" ref="G88:M88">SUM(G89:G92)</f>
        <v>1262090</v>
      </c>
      <c r="H88" s="105">
        <f t="shared" si="19"/>
        <v>84685</v>
      </c>
      <c r="I88" s="105">
        <f t="shared" si="19"/>
        <v>16641</v>
      </c>
      <c r="J88" s="105">
        <f t="shared" si="19"/>
        <v>616103</v>
      </c>
      <c r="K88" s="105">
        <f t="shared" si="19"/>
        <v>0</v>
      </c>
      <c r="L88" s="105">
        <f t="shared" si="19"/>
        <v>0</v>
      </c>
      <c r="M88" s="288">
        <f t="shared" si="19"/>
        <v>0</v>
      </c>
    </row>
    <row r="89" spans="1:13" s="49" customFormat="1" ht="25.5">
      <c r="A89" s="429"/>
      <c r="B89" s="180">
        <v>85321</v>
      </c>
      <c r="C89" s="230" t="s">
        <v>774</v>
      </c>
      <c r="D89" s="95">
        <f>'WYDATKI ukł.wyk.'!E493</f>
        <v>274325</v>
      </c>
      <c r="E89" s="279">
        <f>G89+M89</f>
        <v>320000</v>
      </c>
      <c r="F89" s="303">
        <f t="shared" si="17"/>
        <v>116.64995899024879</v>
      </c>
      <c r="G89" s="95">
        <f>SUM('WYDATKI ukł.wyk.'!F494:F509)</f>
        <v>320000</v>
      </c>
      <c r="H89" s="95">
        <f>'WYDATKI ukł.wyk.'!F494+'WYDATKI ukł.wyk.'!F495</f>
        <v>84685</v>
      </c>
      <c r="I89" s="95">
        <f>'WYDATKI ukł.wyk.'!F496+'WYDATKI ukł.wyk.'!F497</f>
        <v>16641</v>
      </c>
      <c r="J89" s="94">
        <v>0</v>
      </c>
      <c r="K89" s="94">
        <v>0</v>
      </c>
      <c r="L89" s="94">
        <v>0</v>
      </c>
      <c r="M89" s="285">
        <v>0</v>
      </c>
    </row>
    <row r="90" spans="1:13" s="49" customFormat="1" ht="12.75">
      <c r="A90" s="229"/>
      <c r="B90" s="109">
        <v>85333</v>
      </c>
      <c r="C90" s="92" t="s">
        <v>775</v>
      </c>
      <c r="D90" s="104">
        <f>'WYDATKI ukł.wyk.'!E511</f>
        <v>2557046</v>
      </c>
      <c r="E90" s="99">
        <f>G90+M90</f>
        <v>735513</v>
      </c>
      <c r="F90" s="304">
        <f t="shared" si="17"/>
        <v>28.76416771540285</v>
      </c>
      <c r="G90" s="104">
        <f>SUM('WYDATKI ukł.wyk.'!F512:F531)</f>
        <v>735513</v>
      </c>
      <c r="H90" s="111">
        <v>0</v>
      </c>
      <c r="I90" s="111">
        <v>0</v>
      </c>
      <c r="J90" s="104">
        <f>'WYDATKI ukł.wyk.'!F512</f>
        <v>616103</v>
      </c>
      <c r="K90" s="111">
        <v>0</v>
      </c>
      <c r="L90" s="111">
        <v>0</v>
      </c>
      <c r="M90" s="291">
        <v>0</v>
      </c>
    </row>
    <row r="91" spans="1:13" s="49" customFormat="1" ht="12.75">
      <c r="A91" s="229"/>
      <c r="B91" s="109">
        <v>85334</v>
      </c>
      <c r="C91" s="92" t="s">
        <v>780</v>
      </c>
      <c r="D91" s="104">
        <f>'WYDATKI ukł.wyk.'!E534</f>
        <v>5745</v>
      </c>
      <c r="E91" s="104">
        <f>G91+M91</f>
        <v>0</v>
      </c>
      <c r="F91" s="304">
        <f t="shared" si="17"/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  <c r="L91" s="111">
        <v>0</v>
      </c>
      <c r="M91" s="291">
        <v>0</v>
      </c>
    </row>
    <row r="92" spans="1:13" s="49" customFormat="1" ht="12.75">
      <c r="A92" s="229"/>
      <c r="B92" s="109">
        <v>85395</v>
      </c>
      <c r="C92" s="92" t="s">
        <v>621</v>
      </c>
      <c r="D92" s="104">
        <f>'WYDATKI ukł.wyk.'!E537</f>
        <v>1270557</v>
      </c>
      <c r="E92" s="104">
        <f>G92+M92</f>
        <v>206577</v>
      </c>
      <c r="F92" s="304">
        <f t="shared" si="17"/>
        <v>16.258774694877914</v>
      </c>
      <c r="G92" s="104">
        <f>SUM('WYDATKI ukł.wyk.'!F538:F552)</f>
        <v>206577</v>
      </c>
      <c r="H92" s="111">
        <v>0</v>
      </c>
      <c r="I92" s="111">
        <v>0</v>
      </c>
      <c r="J92" s="111">
        <v>0</v>
      </c>
      <c r="K92" s="111">
        <v>0</v>
      </c>
      <c r="L92" s="111">
        <v>0</v>
      </c>
      <c r="M92" s="291">
        <v>0</v>
      </c>
    </row>
    <row r="93" spans="1:13" s="49" customFormat="1" ht="12.75">
      <c r="A93" s="229"/>
      <c r="B93" s="428"/>
      <c r="C93" s="223"/>
      <c r="D93" s="223"/>
      <c r="E93" s="223"/>
      <c r="F93" s="300"/>
      <c r="G93" s="223"/>
      <c r="H93" s="223"/>
      <c r="I93" s="223"/>
      <c r="J93" s="223"/>
      <c r="K93" s="223"/>
      <c r="L93" s="223"/>
      <c r="M93" s="224"/>
    </row>
    <row r="94" spans="1:13" s="49" customFormat="1" ht="13.5" thickBot="1">
      <c r="A94" s="107">
        <v>854</v>
      </c>
      <c r="B94" s="101"/>
      <c r="C94" s="100" t="s">
        <v>784</v>
      </c>
      <c r="D94" s="105">
        <f>SUM(D95:D101)</f>
        <v>3667718</v>
      </c>
      <c r="E94" s="105">
        <f aca="true" t="shared" si="20" ref="E94:J94">SUM(E95:E101)</f>
        <v>3279463</v>
      </c>
      <c r="F94" s="301">
        <f t="shared" si="17"/>
        <v>89.41426249237264</v>
      </c>
      <c r="G94" s="105">
        <f t="shared" si="20"/>
        <v>3279463</v>
      </c>
      <c r="H94" s="105">
        <f t="shared" si="20"/>
        <v>1604693</v>
      </c>
      <c r="I94" s="105">
        <f t="shared" si="20"/>
        <v>320525</v>
      </c>
      <c r="J94" s="105">
        <f t="shared" si="20"/>
        <v>199000</v>
      </c>
      <c r="K94" s="105">
        <f>SUM(K95:K101)</f>
        <v>0</v>
      </c>
      <c r="L94" s="105">
        <f>SUM(L95:L101)</f>
        <v>0</v>
      </c>
      <c r="M94" s="288">
        <f>SUM(M95:M101)</f>
        <v>0</v>
      </c>
    </row>
    <row r="95" spans="1:13" s="49" customFormat="1" ht="12.75">
      <c r="A95" s="429"/>
      <c r="B95" s="109">
        <v>85401</v>
      </c>
      <c r="C95" s="92" t="s">
        <v>785</v>
      </c>
      <c r="D95" s="95">
        <f>'WYDATKI ukł.wyk.'!E555</f>
        <v>43170</v>
      </c>
      <c r="E95" s="279">
        <f aca="true" t="shared" si="21" ref="E95:E101">G95+M95</f>
        <v>47785</v>
      </c>
      <c r="F95" s="303">
        <f t="shared" si="17"/>
        <v>110.69029418577716</v>
      </c>
      <c r="G95" s="95">
        <f>SUM('WYDATKI ukł.wyk.'!F556:F563)</f>
        <v>47785</v>
      </c>
      <c r="H95" s="95">
        <f>'WYDATKI ukł.wyk.'!F557+'WYDATKI ukł.wyk.'!F558</f>
        <v>34129</v>
      </c>
      <c r="I95" s="95">
        <f>'WYDATKI ukł.wyk.'!F559+'WYDATKI ukł.wyk.'!F560</f>
        <v>6843</v>
      </c>
      <c r="J95" s="94">
        <v>0</v>
      </c>
      <c r="K95" s="94">
        <v>0</v>
      </c>
      <c r="L95" s="94">
        <v>0</v>
      </c>
      <c r="M95" s="285">
        <v>0</v>
      </c>
    </row>
    <row r="96" spans="1:13" s="49" customFormat="1" ht="25.5">
      <c r="A96" s="229"/>
      <c r="B96" s="109">
        <v>85406</v>
      </c>
      <c r="C96" s="226" t="s">
        <v>786</v>
      </c>
      <c r="D96" s="104">
        <f>'WYDATKI ukł.wyk.'!E565</f>
        <v>603699</v>
      </c>
      <c r="E96" s="99">
        <f t="shared" si="21"/>
        <v>700237</v>
      </c>
      <c r="F96" s="304">
        <f t="shared" si="17"/>
        <v>115.99108164830487</v>
      </c>
      <c r="G96" s="104">
        <f>SUM('WYDATKI ukł.wyk.'!F566:F588)</f>
        <v>700237</v>
      </c>
      <c r="H96" s="104">
        <f>'WYDATKI ukł.wyk.'!F568+'WYDATKI ukł.wyk.'!F569+'WYDATKI ukł.wyk.'!F572</f>
        <v>372392</v>
      </c>
      <c r="I96" s="104">
        <f>'WYDATKI ukł.wyk.'!F570+'WYDATKI ukł.wyk.'!F571</f>
        <v>70852</v>
      </c>
      <c r="J96" s="104">
        <f>'WYDATKI ukł.wyk.'!F566</f>
        <v>199000</v>
      </c>
      <c r="K96" s="111">
        <v>0</v>
      </c>
      <c r="L96" s="111">
        <v>0</v>
      </c>
      <c r="M96" s="292">
        <f>'WYDATKI ukł.wyk.'!F589</f>
        <v>0</v>
      </c>
    </row>
    <row r="97" spans="1:13" s="49" customFormat="1" ht="12.75">
      <c r="A97" s="229"/>
      <c r="B97" s="109">
        <v>85410</v>
      </c>
      <c r="C97" s="119" t="s">
        <v>787</v>
      </c>
      <c r="D97" s="89">
        <f>'WYDATKI ukł.wyk.'!E591</f>
        <v>235468</v>
      </c>
      <c r="E97" s="104">
        <f t="shared" si="21"/>
        <v>261130</v>
      </c>
      <c r="F97" s="304">
        <f t="shared" si="17"/>
        <v>110.8982961591384</v>
      </c>
      <c r="G97" s="99">
        <f>SUM('WYDATKI ukł.wyk.'!F592:F605)</f>
        <v>261130</v>
      </c>
      <c r="H97" s="99">
        <f>'WYDATKI ukł.wyk.'!F593+'WYDATKI ukł.wyk.'!F594</f>
        <v>97900</v>
      </c>
      <c r="I97" s="99">
        <f>'WYDATKI ukł.wyk.'!F595+'WYDATKI ukł.wyk.'!F596</f>
        <v>19499</v>
      </c>
      <c r="J97" s="97">
        <v>0</v>
      </c>
      <c r="K97" s="97">
        <v>0</v>
      </c>
      <c r="L97" s="97">
        <v>0</v>
      </c>
      <c r="M97" s="290">
        <f>'WYDATKI ukł.wyk.'!F606</f>
        <v>0</v>
      </c>
    </row>
    <row r="98" spans="1:13" s="49" customFormat="1" ht="12.75">
      <c r="A98" s="229"/>
      <c r="B98" s="109">
        <v>85415</v>
      </c>
      <c r="C98" s="92" t="s">
        <v>789</v>
      </c>
      <c r="D98" s="104">
        <f>'WYDATKI ukł.wyk.'!E608</f>
        <v>786161</v>
      </c>
      <c r="E98" s="104">
        <f t="shared" si="21"/>
        <v>197280</v>
      </c>
      <c r="F98" s="304">
        <f>E98/D98*100</f>
        <v>25.09409650186158</v>
      </c>
      <c r="G98" s="104">
        <f>SUM('WYDATKI ukł.wyk.'!F609:F624)</f>
        <v>197280</v>
      </c>
      <c r="H98" s="104">
        <f>'WYDATKI ukł.wyk.'!F618+'WYDATKI ukł.wyk.'!F619+'WYDATKI ukł.wyk.'!F620</f>
        <v>3400</v>
      </c>
      <c r="I98" s="104">
        <f>'WYDATKI ukł.wyk.'!F612+'WYDATKI ukł.wyk.'!F613+'WYDATKI ukł.wyk.'!F614+'WYDATKI ukł.wyk.'!F615+'WYDATKI ukł.wyk.'!F616+'WYDATKI ukł.wyk.'!F617</f>
        <v>200</v>
      </c>
      <c r="J98" s="111">
        <v>0</v>
      </c>
      <c r="K98" s="111">
        <v>0</v>
      </c>
      <c r="L98" s="111">
        <v>0</v>
      </c>
      <c r="M98" s="286"/>
    </row>
    <row r="99" spans="1:13" s="49" customFormat="1" ht="12.75">
      <c r="A99" s="229"/>
      <c r="B99" s="231">
        <v>85420</v>
      </c>
      <c r="C99" s="98" t="s">
        <v>792</v>
      </c>
      <c r="D99" s="99">
        <f>'WYDATKI ukł.wyk.'!E626</f>
        <v>1988771</v>
      </c>
      <c r="E99" s="99">
        <f t="shared" si="21"/>
        <v>2066337</v>
      </c>
      <c r="F99" s="304">
        <f aca="true" t="shared" si="22" ref="F99:F109">E99/D99*100</f>
        <v>103.90019765976074</v>
      </c>
      <c r="G99" s="99">
        <f>SUM('WYDATKI ukł.wyk.'!F627:F647)</f>
        <v>2066337</v>
      </c>
      <c r="H99" s="99">
        <f>'WYDATKI ukł.wyk.'!F629+'WYDATKI ukł.wyk.'!F630+'WYDATKI ukł.wyk.'!F633</f>
        <v>1096872</v>
      </c>
      <c r="I99" s="99">
        <f>'WYDATKI ukł.wyk.'!F631+'WYDATKI ukł.wyk.'!F632</f>
        <v>223131</v>
      </c>
      <c r="J99" s="97">
        <v>0</v>
      </c>
      <c r="K99" s="97">
        <v>0</v>
      </c>
      <c r="L99" s="99">
        <f>'WYDATKI ukł.wyk.'!F648+'WYDATKI ukł.wyk.'!F649</f>
        <v>0</v>
      </c>
      <c r="M99" s="286"/>
    </row>
    <row r="100" spans="1:13" s="49" customFormat="1" ht="25.5">
      <c r="A100" s="229"/>
      <c r="B100" s="231">
        <v>85446</v>
      </c>
      <c r="C100" s="280" t="s">
        <v>731</v>
      </c>
      <c r="D100" s="99">
        <f>'WYDATKI ukł.wyk.'!E651</f>
        <v>3830</v>
      </c>
      <c r="E100" s="99">
        <f t="shared" si="21"/>
        <v>0</v>
      </c>
      <c r="F100" s="304">
        <f t="shared" si="22"/>
        <v>0</v>
      </c>
      <c r="G100" s="99">
        <f>SUM('WYDATKI ukł.wyk.'!F652:F653)</f>
        <v>0</v>
      </c>
      <c r="H100" s="97">
        <v>0</v>
      </c>
      <c r="I100" s="97">
        <v>0</v>
      </c>
      <c r="J100" s="97">
        <v>0</v>
      </c>
      <c r="K100" s="97">
        <v>0</v>
      </c>
      <c r="L100" s="97">
        <v>0</v>
      </c>
      <c r="M100" s="286">
        <v>0</v>
      </c>
    </row>
    <row r="101" spans="1:13" s="49" customFormat="1" ht="12.75">
      <c r="A101" s="229"/>
      <c r="B101" s="231">
        <v>85495</v>
      </c>
      <c r="C101" s="98" t="s">
        <v>621</v>
      </c>
      <c r="D101" s="99">
        <f>'WYDATKI ukł.wyk.'!E655</f>
        <v>6619</v>
      </c>
      <c r="E101" s="99">
        <f t="shared" si="21"/>
        <v>6694</v>
      </c>
      <c r="F101" s="304">
        <f t="shared" si="22"/>
        <v>101.13310167699048</v>
      </c>
      <c r="G101" s="99">
        <f>'WYDATKI ukł.wyk.'!F656</f>
        <v>6694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286">
        <v>0</v>
      </c>
    </row>
    <row r="102" spans="1:13" s="49" customFormat="1" ht="12.75">
      <c r="A102" s="229"/>
      <c r="B102" s="428"/>
      <c r="C102" s="223"/>
      <c r="D102" s="223"/>
      <c r="E102" s="223"/>
      <c r="F102" s="300"/>
      <c r="G102" s="223"/>
      <c r="H102" s="223"/>
      <c r="I102" s="223"/>
      <c r="J102" s="223"/>
      <c r="K102" s="223"/>
      <c r="L102" s="223"/>
      <c r="M102" s="224"/>
    </row>
    <row r="103" spans="1:13" s="49" customFormat="1" ht="13.5" thickBot="1">
      <c r="A103" s="107">
        <v>921</v>
      </c>
      <c r="B103" s="101"/>
      <c r="C103" s="100" t="s">
        <v>793</v>
      </c>
      <c r="D103" s="105">
        <f>SUM(D104:D105)</f>
        <v>55000</v>
      </c>
      <c r="E103" s="105">
        <f>SUM(E104:E105)</f>
        <v>55000</v>
      </c>
      <c r="F103" s="301">
        <f t="shared" si="22"/>
        <v>100</v>
      </c>
      <c r="G103" s="105">
        <f aca="true" t="shared" si="23" ref="G103:M103">SUM(G104:G105)</f>
        <v>55000</v>
      </c>
      <c r="H103" s="105">
        <f t="shared" si="23"/>
        <v>0</v>
      </c>
      <c r="I103" s="105">
        <f t="shared" si="23"/>
        <v>0</v>
      </c>
      <c r="J103" s="105">
        <f t="shared" si="23"/>
        <v>39000</v>
      </c>
      <c r="K103" s="105">
        <f t="shared" si="23"/>
        <v>0</v>
      </c>
      <c r="L103" s="105">
        <f t="shared" si="23"/>
        <v>0</v>
      </c>
      <c r="M103" s="288">
        <f t="shared" si="23"/>
        <v>0</v>
      </c>
    </row>
    <row r="104" spans="1:13" s="49" customFormat="1" ht="12.75">
      <c r="A104" s="429"/>
      <c r="B104" s="180">
        <v>92105</v>
      </c>
      <c r="C104" s="103" t="s">
        <v>794</v>
      </c>
      <c r="D104" s="95">
        <f>'WYDATKI ukł.wyk.'!E659</f>
        <v>20000</v>
      </c>
      <c r="E104" s="279">
        <f>G104+M104</f>
        <v>20000</v>
      </c>
      <c r="F104" s="303">
        <f t="shared" si="22"/>
        <v>100</v>
      </c>
      <c r="G104" s="95">
        <f>SUM('WYDATKI ukł.wyk.'!F660:F664)</f>
        <v>20000</v>
      </c>
      <c r="H104" s="94">
        <v>0</v>
      </c>
      <c r="I104" s="94">
        <v>0</v>
      </c>
      <c r="J104" s="95">
        <f>'WYDATKI ukł.wyk.'!F660</f>
        <v>4000</v>
      </c>
      <c r="K104" s="94">
        <v>0</v>
      </c>
      <c r="L104" s="94">
        <v>0</v>
      </c>
      <c r="M104" s="285">
        <v>0</v>
      </c>
    </row>
    <row r="105" spans="1:13" s="49" customFormat="1" ht="12.75">
      <c r="A105" s="229"/>
      <c r="B105" s="231">
        <v>92116</v>
      </c>
      <c r="C105" s="281" t="s">
        <v>795</v>
      </c>
      <c r="D105" s="99">
        <f>'WYDATKI ukł.wyk.'!E666</f>
        <v>35000</v>
      </c>
      <c r="E105" s="99">
        <f>G105+M105</f>
        <v>35000</v>
      </c>
      <c r="F105" s="304">
        <f t="shared" si="22"/>
        <v>100</v>
      </c>
      <c r="G105" s="99">
        <f>'WYDATKI ukł.wyk.'!F667</f>
        <v>35000</v>
      </c>
      <c r="H105" s="97">
        <v>0</v>
      </c>
      <c r="I105" s="97">
        <v>0</v>
      </c>
      <c r="J105" s="99">
        <f>'WYDATKI ukł.wyk.'!F667</f>
        <v>35000</v>
      </c>
      <c r="K105" s="97">
        <v>0</v>
      </c>
      <c r="L105" s="97">
        <v>0</v>
      </c>
      <c r="M105" s="286"/>
    </row>
    <row r="106" spans="1:13" s="49" customFormat="1" ht="12.75">
      <c r="A106" s="229"/>
      <c r="B106" s="428"/>
      <c r="C106" s="223"/>
      <c r="D106" s="223"/>
      <c r="E106" s="223"/>
      <c r="F106" s="300"/>
      <c r="G106" s="223"/>
      <c r="H106" s="223"/>
      <c r="I106" s="223"/>
      <c r="J106" s="223"/>
      <c r="K106" s="223"/>
      <c r="L106" s="223"/>
      <c r="M106" s="224"/>
    </row>
    <row r="107" spans="1:13" s="49" customFormat="1" ht="13.5" thickBot="1">
      <c r="A107" s="107">
        <v>926</v>
      </c>
      <c r="B107" s="433"/>
      <c r="C107" s="100" t="s">
        <v>796</v>
      </c>
      <c r="D107" s="434">
        <f>D108</f>
        <v>94700</v>
      </c>
      <c r="E107" s="434">
        <f>E108</f>
        <v>100000</v>
      </c>
      <c r="F107" s="301">
        <f t="shared" si="22"/>
        <v>105.59662090813093</v>
      </c>
      <c r="G107" s="434">
        <f aca="true" t="shared" si="24" ref="G107:M107">G108</f>
        <v>100000</v>
      </c>
      <c r="H107" s="434">
        <f t="shared" si="24"/>
        <v>0</v>
      </c>
      <c r="I107" s="434">
        <f t="shared" si="24"/>
        <v>0</v>
      </c>
      <c r="J107" s="434">
        <f t="shared" si="24"/>
        <v>70000</v>
      </c>
      <c r="K107" s="434">
        <f t="shared" si="24"/>
        <v>0</v>
      </c>
      <c r="L107" s="434">
        <f t="shared" si="24"/>
        <v>0</v>
      </c>
      <c r="M107" s="435">
        <f t="shared" si="24"/>
        <v>0</v>
      </c>
    </row>
    <row r="108" spans="1:13" s="49" customFormat="1" ht="25.5">
      <c r="A108" s="228"/>
      <c r="B108" s="180">
        <v>92605</v>
      </c>
      <c r="C108" s="230" t="s">
        <v>797</v>
      </c>
      <c r="D108" s="95">
        <f>'WYDATKI ukł.wyk.'!E670</f>
        <v>94700</v>
      </c>
      <c r="E108" s="95">
        <f>G108+L108</f>
        <v>100000</v>
      </c>
      <c r="F108" s="303">
        <f t="shared" si="22"/>
        <v>105.59662090813093</v>
      </c>
      <c r="G108" s="95">
        <f>SUM('WYDATKI ukł.wyk.'!F671:F675)</f>
        <v>100000</v>
      </c>
      <c r="H108" s="94">
        <v>0</v>
      </c>
      <c r="I108" s="94">
        <v>0</v>
      </c>
      <c r="J108" s="95">
        <f>'WYDATKI ukł.wyk.'!F671</f>
        <v>70000</v>
      </c>
      <c r="K108" s="94">
        <v>0</v>
      </c>
      <c r="L108" s="94">
        <v>0</v>
      </c>
      <c r="M108" s="285"/>
    </row>
    <row r="109" spans="1:13" s="52" customFormat="1" ht="24.75" customHeight="1" thickBot="1">
      <c r="A109" s="984" t="s">
        <v>510</v>
      </c>
      <c r="B109" s="985"/>
      <c r="C109" s="986"/>
      <c r="D109" s="293">
        <f>D107+D103+D94+D88+D78+D71+D68+D59+D56+D51+D47+D43+D35+D30+D27+D24+D20+D16+D12</f>
        <v>38926114</v>
      </c>
      <c r="E109" s="293">
        <f aca="true" t="shared" si="25" ref="E109:M109">E107+E103+E94+E88+E78+E71+E68+E59+E56+E51+E47+E43+E35+E30+E27+E24+E20+E16+E12</f>
        <v>34892013</v>
      </c>
      <c r="F109" s="764">
        <f t="shared" si="22"/>
        <v>89.63651753164983</v>
      </c>
      <c r="G109" s="293">
        <f t="shared" si="25"/>
        <v>33564263</v>
      </c>
      <c r="H109" s="293">
        <f t="shared" si="25"/>
        <v>12971215</v>
      </c>
      <c r="I109" s="293">
        <f t="shared" si="25"/>
        <v>2542147</v>
      </c>
      <c r="J109" s="293">
        <f>J107+J103+J94+J88+J78+J71+J68+J59+J56+J51+J47+J43+J35+J30+J27+J24+J20+J16+J12</f>
        <v>1595638</v>
      </c>
      <c r="K109" s="295">
        <f t="shared" si="25"/>
        <v>759397</v>
      </c>
      <c r="L109" s="293">
        <f t="shared" si="25"/>
        <v>288888</v>
      </c>
      <c r="M109" s="294">
        <f t="shared" si="25"/>
        <v>1327750</v>
      </c>
    </row>
    <row r="111" ht="12.75">
      <c r="A111" s="75"/>
    </row>
  </sheetData>
  <mergeCells count="13">
    <mergeCell ref="M9:M10"/>
    <mergeCell ref="A109:C109"/>
    <mergeCell ref="B53:B54"/>
    <mergeCell ref="A5:M5"/>
    <mergeCell ref="E8:E10"/>
    <mergeCell ref="A8:A10"/>
    <mergeCell ref="C8:C10"/>
    <mergeCell ref="B8:B10"/>
    <mergeCell ref="G8:M8"/>
    <mergeCell ref="H9:L9"/>
    <mergeCell ref="D8:D10"/>
    <mergeCell ref="F8:F10"/>
    <mergeCell ref="G9:G10"/>
  </mergeCells>
  <printOptions horizontalCentered="1"/>
  <pageMargins left="0.2" right="0.22" top="1.02" bottom="0.7874015748031497" header="0.5118110236220472" footer="0.5118110236220472"/>
  <pageSetup fitToHeight="4" fitToWidth="0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2"/>
  <sheetViews>
    <sheetView view="pageBreakPreview" zoomScaleSheetLayoutView="100" workbookViewId="0" topLeftCell="A601">
      <selection activeCell="F419" sqref="F419"/>
    </sheetView>
  </sheetViews>
  <sheetFormatPr defaultColWidth="9.00390625" defaultRowHeight="12.75"/>
  <cols>
    <col min="1" max="1" width="4.125" style="120" customWidth="1"/>
    <col min="2" max="2" width="6.00390625" style="120" customWidth="1"/>
    <col min="3" max="3" width="5.00390625" style="120" customWidth="1"/>
    <col min="4" max="4" width="44.875" style="120" customWidth="1"/>
    <col min="5" max="5" width="13.25390625" style="120" customWidth="1"/>
    <col min="6" max="7" width="10.25390625" style="120" customWidth="1"/>
    <col min="8" max="8" width="13.25390625" style="122" hidden="1" customWidth="1"/>
    <col min="9" max="9" width="7.875" style="123" customWidth="1"/>
    <col min="10" max="10" width="12.00390625" style="123" customWidth="1"/>
    <col min="11" max="11" width="6.00390625" style="120" customWidth="1"/>
    <col min="12" max="16384" width="9.125" style="120" customWidth="1"/>
  </cols>
  <sheetData>
    <row r="1" spans="6:7" ht="12.75">
      <c r="F1" s="121" t="s">
        <v>631</v>
      </c>
      <c r="G1" s="121"/>
    </row>
    <row r="2" spans="6:7" ht="12.75">
      <c r="F2" s="121" t="s">
        <v>632</v>
      </c>
      <c r="G2" s="121"/>
    </row>
    <row r="3" spans="2:7" ht="12.75">
      <c r="B3" s="124"/>
      <c r="C3" s="124"/>
      <c r="D3" s="124"/>
      <c r="F3" s="121" t="s">
        <v>633</v>
      </c>
      <c r="G3" s="121"/>
    </row>
    <row r="4" spans="6:7" ht="12.75">
      <c r="F4" s="121" t="s">
        <v>634</v>
      </c>
      <c r="G4" s="121"/>
    </row>
    <row r="7" spans="1:8" ht="12.75">
      <c r="A7" s="1047" t="s">
        <v>562</v>
      </c>
      <c r="B7" s="1047"/>
      <c r="C7" s="1047"/>
      <c r="D7" s="1047"/>
      <c r="E7" s="1047"/>
      <c r="F7" s="1047"/>
      <c r="G7" s="1047"/>
      <c r="H7" s="1047"/>
    </row>
    <row r="8" spans="3:4" ht="10.5" customHeight="1">
      <c r="C8" s="124"/>
      <c r="D8" s="125"/>
    </row>
    <row r="9" spans="1:8" ht="12" customHeight="1" thickBot="1">
      <c r="A9" s="1046" t="s">
        <v>434</v>
      </c>
      <c r="B9" s="1046"/>
      <c r="C9" s="1046"/>
      <c r="D9" s="1046"/>
      <c r="E9" s="1046"/>
      <c r="F9" s="1046"/>
      <c r="G9" s="1046"/>
      <c r="H9" s="1046"/>
    </row>
    <row r="10" spans="1:8" ht="12.75" customHeight="1">
      <c r="A10" s="1051" t="s">
        <v>635</v>
      </c>
      <c r="B10" s="1054" t="s">
        <v>433</v>
      </c>
      <c r="C10" s="1054" t="s">
        <v>397</v>
      </c>
      <c r="D10" s="1054" t="s">
        <v>636</v>
      </c>
      <c r="E10" s="1048" t="s">
        <v>637</v>
      </c>
      <c r="F10" s="1037" t="s">
        <v>450</v>
      </c>
      <c r="G10" s="1037" t="s">
        <v>638</v>
      </c>
      <c r="H10" s="1043" t="s">
        <v>639</v>
      </c>
    </row>
    <row r="11" spans="1:8" ht="12.75">
      <c r="A11" s="1052"/>
      <c r="B11" s="1055"/>
      <c r="C11" s="1055"/>
      <c r="D11" s="1055"/>
      <c r="E11" s="1049"/>
      <c r="F11" s="1038"/>
      <c r="G11" s="1038"/>
      <c r="H11" s="1044"/>
    </row>
    <row r="12" spans="1:8" ht="12" customHeight="1" thickBot="1">
      <c r="A12" s="1053"/>
      <c r="B12" s="1056"/>
      <c r="C12" s="1056"/>
      <c r="D12" s="1056"/>
      <c r="E12" s="1050"/>
      <c r="F12" s="1039"/>
      <c r="G12" s="1039"/>
      <c r="H12" s="1045"/>
    </row>
    <row r="13" spans="1:10" s="132" customFormat="1" ht="9.75" customHeight="1" thickBot="1">
      <c r="A13" s="126">
        <v>1</v>
      </c>
      <c r="B13" s="127">
        <v>2</v>
      </c>
      <c r="C13" s="128">
        <v>3</v>
      </c>
      <c r="D13" s="128">
        <v>4</v>
      </c>
      <c r="E13" s="127">
        <v>5</v>
      </c>
      <c r="F13" s="129">
        <v>6</v>
      </c>
      <c r="G13" s="127">
        <v>7</v>
      </c>
      <c r="H13" s="130">
        <v>7</v>
      </c>
      <c r="I13" s="131"/>
      <c r="J13" s="131"/>
    </row>
    <row r="14" spans="1:8" ht="12.75">
      <c r="A14" s="133"/>
      <c r="B14" s="134"/>
      <c r="C14" s="134"/>
      <c r="D14" s="135"/>
      <c r="E14" s="136"/>
      <c r="F14" s="137"/>
      <c r="G14" s="138"/>
      <c r="H14" s="139"/>
    </row>
    <row r="15" spans="1:8" ht="13.5" thickBot="1">
      <c r="A15" s="83" t="s">
        <v>616</v>
      </c>
      <c r="B15" s="140"/>
      <c r="C15" s="140"/>
      <c r="D15" s="84" t="s">
        <v>617</v>
      </c>
      <c r="E15" s="141">
        <f>E16+E19</f>
        <v>60646</v>
      </c>
      <c r="F15" s="141">
        <f>F16+F19</f>
        <v>43013</v>
      </c>
      <c r="G15" s="142">
        <f>F15/E15*100</f>
        <v>70.92471061570426</v>
      </c>
      <c r="H15" s="143">
        <f>E15+F15</f>
        <v>103659</v>
      </c>
    </row>
    <row r="16" spans="1:8" ht="12.75">
      <c r="A16" s="144"/>
      <c r="B16" s="87" t="s">
        <v>619</v>
      </c>
      <c r="C16" s="145"/>
      <c r="D16" s="85" t="s">
        <v>618</v>
      </c>
      <c r="E16" s="146">
        <f>E17</f>
        <v>44000</v>
      </c>
      <c r="F16" s="147">
        <f>F17</f>
        <v>25000</v>
      </c>
      <c r="G16" s="148">
        <f>F16/E16*100</f>
        <v>56.81818181818182</v>
      </c>
      <c r="H16" s="149">
        <f>E16+F16</f>
        <v>69000</v>
      </c>
    </row>
    <row r="17" spans="1:8" ht="12.75">
      <c r="A17" s="144"/>
      <c r="B17" s="150"/>
      <c r="C17" s="151" t="s">
        <v>640</v>
      </c>
      <c r="D17" s="152" t="s">
        <v>641</v>
      </c>
      <c r="E17" s="153">
        <v>44000</v>
      </c>
      <c r="F17" s="982">
        <v>25000</v>
      </c>
      <c r="G17" s="155">
        <f>F17/E17*100</f>
        <v>56.81818181818182</v>
      </c>
      <c r="H17" s="139">
        <f>E17+F17</f>
        <v>69000</v>
      </c>
    </row>
    <row r="18" spans="1:8" ht="12.75">
      <c r="A18" s="144"/>
      <c r="B18" s="156"/>
      <c r="C18" s="151"/>
      <c r="D18" s="152"/>
      <c r="E18" s="153"/>
      <c r="F18" s="154"/>
      <c r="G18" s="153"/>
      <c r="H18" s="139"/>
    </row>
    <row r="19" spans="1:11" ht="12.75">
      <c r="A19" s="144"/>
      <c r="B19" s="87" t="s">
        <v>620</v>
      </c>
      <c r="C19" s="157"/>
      <c r="D19" s="92" t="s">
        <v>621</v>
      </c>
      <c r="E19" s="146">
        <f>E20</f>
        <v>16646</v>
      </c>
      <c r="F19" s="146">
        <f>F20</f>
        <v>18013</v>
      </c>
      <c r="G19" s="158">
        <f>F19/E19*100</f>
        <v>108.21218310705274</v>
      </c>
      <c r="H19" s="149">
        <f>E19+F19</f>
        <v>34659</v>
      </c>
      <c r="J19" s="152"/>
      <c r="K19" s="137"/>
    </row>
    <row r="20" spans="1:11" ht="12.75">
      <c r="A20" s="144"/>
      <c r="B20" s="150"/>
      <c r="C20" s="151" t="s">
        <v>642</v>
      </c>
      <c r="D20" s="152" t="s">
        <v>643</v>
      </c>
      <c r="E20" s="153">
        <v>16646</v>
      </c>
      <c r="F20" s="982">
        <v>18013</v>
      </c>
      <c r="G20" s="155">
        <f>F20/E20*100</f>
        <v>108.21218310705274</v>
      </c>
      <c r="H20" s="139">
        <f>E20+F20</f>
        <v>34659</v>
      </c>
      <c r="J20" s="152"/>
      <c r="K20" s="137"/>
    </row>
    <row r="21" spans="1:11" ht="12.75">
      <c r="A21" s="144"/>
      <c r="B21" s="150"/>
      <c r="C21" s="151"/>
      <c r="D21" s="152"/>
      <c r="E21" s="153"/>
      <c r="F21" s="154"/>
      <c r="G21" s="153"/>
      <c r="H21" s="139"/>
      <c r="J21" s="152"/>
      <c r="K21" s="137"/>
    </row>
    <row r="22" spans="1:11" ht="13.5" thickBot="1">
      <c r="A22" s="83" t="s">
        <v>622</v>
      </c>
      <c r="B22" s="140"/>
      <c r="C22" s="140"/>
      <c r="D22" s="100" t="s">
        <v>623</v>
      </c>
      <c r="E22" s="141">
        <f>E26+E23</f>
        <v>193335</v>
      </c>
      <c r="F22" s="159">
        <f>F26+F23</f>
        <v>193335</v>
      </c>
      <c r="G22" s="142">
        <f>F22/E22*100</f>
        <v>100</v>
      </c>
      <c r="H22" s="143">
        <f>E22+F22</f>
        <v>386670</v>
      </c>
      <c r="J22" s="160"/>
      <c r="K22" s="137"/>
    </row>
    <row r="23" spans="1:11" ht="12.75">
      <c r="A23" s="161"/>
      <c r="B23" s="87" t="s">
        <v>624</v>
      </c>
      <c r="C23" s="145"/>
      <c r="D23" s="92" t="s">
        <v>625</v>
      </c>
      <c r="E23" s="146">
        <f>SUM(E24)</f>
        <v>188635</v>
      </c>
      <c r="F23" s="147">
        <f>SUM(F24)</f>
        <v>188635</v>
      </c>
      <c r="G23" s="148">
        <f>F23/E23*100</f>
        <v>100</v>
      </c>
      <c r="H23" s="149">
        <f>E23+F23</f>
        <v>377270</v>
      </c>
      <c r="J23" s="152"/>
      <c r="K23" s="137"/>
    </row>
    <row r="24" spans="1:8" ht="12.75">
      <c r="A24" s="161"/>
      <c r="B24" s="162"/>
      <c r="C24" s="163">
        <v>3030</v>
      </c>
      <c r="D24" s="164" t="s">
        <v>644</v>
      </c>
      <c r="E24" s="153">
        <v>188635</v>
      </c>
      <c r="F24" s="982">
        <v>188635</v>
      </c>
      <c r="G24" s="155">
        <f>F24/E24*100</f>
        <v>100</v>
      </c>
      <c r="H24" s="139">
        <f>E24+F24</f>
        <v>377270</v>
      </c>
    </row>
    <row r="25" spans="1:8" ht="12.75">
      <c r="A25" s="161"/>
      <c r="B25" s="165"/>
      <c r="C25" s="165"/>
      <c r="D25" s="166"/>
      <c r="E25" s="153"/>
      <c r="F25" s="154"/>
      <c r="G25" s="153"/>
      <c r="H25" s="139"/>
    </row>
    <row r="26" spans="1:8" ht="12.75">
      <c r="A26" s="167"/>
      <c r="B26" s="87" t="s">
        <v>626</v>
      </c>
      <c r="C26" s="168"/>
      <c r="D26" s="92" t="s">
        <v>625</v>
      </c>
      <c r="E26" s="146">
        <f>E27</f>
        <v>4700</v>
      </c>
      <c r="F26" s="147">
        <f>F27</f>
        <v>4700</v>
      </c>
      <c r="G26" s="158">
        <f>F26/E26*100</f>
        <v>100</v>
      </c>
      <c r="H26" s="149">
        <f>E26+F26</f>
        <v>9400</v>
      </c>
    </row>
    <row r="27" spans="1:8" ht="12.75">
      <c r="A27" s="167"/>
      <c r="B27" s="169"/>
      <c r="C27" s="151" t="s">
        <v>640</v>
      </c>
      <c r="D27" s="152" t="s">
        <v>641</v>
      </c>
      <c r="E27" s="153">
        <v>4700</v>
      </c>
      <c r="F27" s="982">
        <v>4700</v>
      </c>
      <c r="G27" s="155">
        <f>F27/E27*100</f>
        <v>100</v>
      </c>
      <c r="H27" s="139">
        <f>E27+F27</f>
        <v>9400</v>
      </c>
    </row>
    <row r="28" spans="1:8" ht="12.75">
      <c r="A28" s="167"/>
      <c r="B28" s="169"/>
      <c r="C28" s="151"/>
      <c r="D28" s="152"/>
      <c r="E28" s="153"/>
      <c r="F28" s="154"/>
      <c r="G28" s="155"/>
      <c r="H28" s="139"/>
    </row>
    <row r="29" spans="1:8" ht="13.5" thickBot="1">
      <c r="A29" s="107">
        <v>600</v>
      </c>
      <c r="B29" s="140"/>
      <c r="C29" s="140"/>
      <c r="D29" s="100" t="s">
        <v>627</v>
      </c>
      <c r="E29" s="141">
        <f>E30+E58</f>
        <v>3824675</v>
      </c>
      <c r="F29" s="141">
        <f>F30+F58</f>
        <v>2864768</v>
      </c>
      <c r="G29" s="142">
        <f aca="true" t="shared" si="0" ref="G29:G36">F29/E29*100</f>
        <v>74.90225966912222</v>
      </c>
      <c r="H29" s="143">
        <f aca="true" t="shared" si="1" ref="H29:H56">E29+F29</f>
        <v>6689443</v>
      </c>
    </row>
    <row r="30" spans="1:8" ht="12.75">
      <c r="A30" s="167"/>
      <c r="B30" s="109">
        <v>60014</v>
      </c>
      <c r="C30" s="145"/>
      <c r="D30" s="119" t="s">
        <v>630</v>
      </c>
      <c r="E30" s="146">
        <f>SUM(E31:E56)</f>
        <v>3585970</v>
      </c>
      <c r="F30" s="147">
        <f>SUM(F31:F56)</f>
        <v>2864768</v>
      </c>
      <c r="G30" s="148">
        <f t="shared" si="0"/>
        <v>79.88823107834142</v>
      </c>
      <c r="H30" s="149">
        <f t="shared" si="1"/>
        <v>6450738</v>
      </c>
    </row>
    <row r="31" spans="1:8" ht="12.75">
      <c r="A31" s="167"/>
      <c r="B31" s="150"/>
      <c r="C31" s="150">
        <v>2310</v>
      </c>
      <c r="D31" s="166" t="s">
        <v>645</v>
      </c>
      <c r="E31" s="153">
        <v>0</v>
      </c>
      <c r="F31" s="982">
        <v>8423</v>
      </c>
      <c r="G31" s="155">
        <v>0</v>
      </c>
      <c r="H31" s="139">
        <f t="shared" si="1"/>
        <v>8423</v>
      </c>
    </row>
    <row r="32" spans="1:10" ht="12.75">
      <c r="A32" s="167"/>
      <c r="B32" s="150"/>
      <c r="C32" s="150">
        <v>3020</v>
      </c>
      <c r="D32" s="152" t="s">
        <v>646</v>
      </c>
      <c r="E32" s="153">
        <v>21755</v>
      </c>
      <c r="F32" s="982">
        <v>26000</v>
      </c>
      <c r="G32" s="155">
        <f t="shared" si="0"/>
        <v>119.51275568834751</v>
      </c>
      <c r="H32" s="139">
        <f t="shared" si="1"/>
        <v>47755</v>
      </c>
      <c r="J32" s="122"/>
    </row>
    <row r="33" spans="1:8" ht="12.75">
      <c r="A33" s="167"/>
      <c r="B33" s="150"/>
      <c r="C33" s="150">
        <v>4010</v>
      </c>
      <c r="D33" s="152" t="s">
        <v>647</v>
      </c>
      <c r="E33" s="153">
        <v>753580</v>
      </c>
      <c r="F33" s="982">
        <v>790950</v>
      </c>
      <c r="G33" s="155">
        <f t="shared" si="0"/>
        <v>104.95899572706281</v>
      </c>
      <c r="H33" s="139">
        <f t="shared" si="1"/>
        <v>1544530</v>
      </c>
    </row>
    <row r="34" spans="1:8" ht="12.75">
      <c r="A34" s="167"/>
      <c r="B34" s="150"/>
      <c r="C34" s="150">
        <v>4040</v>
      </c>
      <c r="D34" s="152" t="s">
        <v>648</v>
      </c>
      <c r="E34" s="153">
        <v>66155</v>
      </c>
      <c r="F34" s="982">
        <v>55862</v>
      </c>
      <c r="G34" s="155">
        <f t="shared" si="0"/>
        <v>84.44108532990704</v>
      </c>
      <c r="H34" s="139">
        <f t="shared" si="1"/>
        <v>122017</v>
      </c>
    </row>
    <row r="35" spans="1:8" ht="12.75">
      <c r="A35" s="167"/>
      <c r="B35" s="150"/>
      <c r="C35" s="150">
        <v>4110</v>
      </c>
      <c r="D35" s="152" t="s">
        <v>649</v>
      </c>
      <c r="E35" s="153">
        <v>138135</v>
      </c>
      <c r="F35" s="982">
        <v>149395</v>
      </c>
      <c r="G35" s="155">
        <f t="shared" si="0"/>
        <v>108.15144604915481</v>
      </c>
      <c r="H35" s="139">
        <f t="shared" si="1"/>
        <v>287530</v>
      </c>
    </row>
    <row r="36" spans="1:8" ht="12.75">
      <c r="A36" s="167"/>
      <c r="B36" s="150"/>
      <c r="C36" s="150">
        <v>4120</v>
      </c>
      <c r="D36" s="152" t="s">
        <v>650</v>
      </c>
      <c r="E36" s="153">
        <v>19147</v>
      </c>
      <c r="F36" s="982">
        <v>20644</v>
      </c>
      <c r="G36" s="155">
        <f t="shared" si="0"/>
        <v>107.8184571995613</v>
      </c>
      <c r="H36" s="139">
        <f t="shared" si="1"/>
        <v>39791</v>
      </c>
    </row>
    <row r="37" spans="1:8" ht="12.75">
      <c r="A37" s="167"/>
      <c r="B37" s="150"/>
      <c r="C37" s="150">
        <v>4170</v>
      </c>
      <c r="D37" s="152" t="s">
        <v>651</v>
      </c>
      <c r="E37" s="153">
        <v>0</v>
      </c>
      <c r="F37" s="982">
        <v>57138</v>
      </c>
      <c r="G37" s="155">
        <v>0</v>
      </c>
      <c r="H37" s="139">
        <f t="shared" si="1"/>
        <v>57138</v>
      </c>
    </row>
    <row r="38" spans="1:12" ht="12.75">
      <c r="A38" s="167"/>
      <c r="B38" s="150"/>
      <c r="C38" s="150">
        <v>4210</v>
      </c>
      <c r="D38" s="152" t="s">
        <v>652</v>
      </c>
      <c r="E38" s="153">
        <v>988132</v>
      </c>
      <c r="F38" s="982">
        <v>790080</v>
      </c>
      <c r="G38" s="155">
        <f>F38/E38*100</f>
        <v>79.9569288313707</v>
      </c>
      <c r="H38" s="139">
        <f t="shared" si="1"/>
        <v>1778212</v>
      </c>
      <c r="J38" s="122"/>
      <c r="L38" s="170">
        <f>SUM(E32:E54)</f>
        <v>3372842</v>
      </c>
    </row>
    <row r="39" spans="1:8" ht="12.75">
      <c r="A39" s="167"/>
      <c r="B39" s="150"/>
      <c r="C39" s="150">
        <v>4260</v>
      </c>
      <c r="D39" s="152" t="s">
        <v>653</v>
      </c>
      <c r="E39" s="153">
        <v>50000</v>
      </c>
      <c r="F39" s="982">
        <v>67000</v>
      </c>
      <c r="G39" s="155">
        <f>F39/E39*100</f>
        <v>134</v>
      </c>
      <c r="H39" s="139">
        <f t="shared" si="1"/>
        <v>117000</v>
      </c>
    </row>
    <row r="40" spans="1:8" ht="12.75">
      <c r="A40" s="167"/>
      <c r="B40" s="150"/>
      <c r="C40" s="150">
        <v>4270</v>
      </c>
      <c r="D40" s="152" t="s">
        <v>654</v>
      </c>
      <c r="E40" s="153">
        <v>1151746</v>
      </c>
      <c r="F40" s="982">
        <v>178000</v>
      </c>
      <c r="G40" s="155">
        <f>F40/E40*100</f>
        <v>15.454796456857675</v>
      </c>
      <c r="H40" s="139">
        <f t="shared" si="1"/>
        <v>1329746</v>
      </c>
    </row>
    <row r="41" spans="1:10" ht="12.75">
      <c r="A41" s="167"/>
      <c r="B41" s="150"/>
      <c r="C41" s="150">
        <v>4280</v>
      </c>
      <c r="D41" s="152" t="s">
        <v>655</v>
      </c>
      <c r="E41" s="153">
        <v>2000</v>
      </c>
      <c r="F41" s="982">
        <v>2000</v>
      </c>
      <c r="G41" s="155">
        <f>F41/E41*100</f>
        <v>100</v>
      </c>
      <c r="H41" s="139">
        <f t="shared" si="1"/>
        <v>4000</v>
      </c>
      <c r="J41" s="122"/>
    </row>
    <row r="42" spans="1:8" ht="12.75">
      <c r="A42" s="167"/>
      <c r="B42" s="150"/>
      <c r="C42" s="150">
        <v>4300</v>
      </c>
      <c r="D42" s="152" t="s">
        <v>641</v>
      </c>
      <c r="E42" s="153">
        <v>72100</v>
      </c>
      <c r="F42" s="982">
        <v>29390</v>
      </c>
      <c r="G42" s="155">
        <f>F42/E42*100</f>
        <v>40.762829403606105</v>
      </c>
      <c r="H42" s="139">
        <f t="shared" si="1"/>
        <v>101490</v>
      </c>
    </row>
    <row r="43" spans="1:8" ht="12.75">
      <c r="A43" s="167"/>
      <c r="B43" s="150"/>
      <c r="C43" s="150">
        <v>4350</v>
      </c>
      <c r="D43" s="152" t="s">
        <v>656</v>
      </c>
      <c r="E43" s="153">
        <v>0</v>
      </c>
      <c r="F43" s="982">
        <v>2533</v>
      </c>
      <c r="G43" s="155">
        <v>0</v>
      </c>
      <c r="H43" s="139">
        <f t="shared" si="1"/>
        <v>2533</v>
      </c>
    </row>
    <row r="44" spans="1:8" ht="12.75">
      <c r="A44" s="167"/>
      <c r="B44" s="150"/>
      <c r="C44" s="150">
        <v>4360</v>
      </c>
      <c r="D44" s="152" t="s">
        <v>657</v>
      </c>
      <c r="E44" s="153">
        <v>0</v>
      </c>
      <c r="F44" s="982">
        <v>5400</v>
      </c>
      <c r="G44" s="155">
        <v>0</v>
      </c>
      <c r="H44" s="139">
        <f t="shared" si="1"/>
        <v>5400</v>
      </c>
    </row>
    <row r="45" spans="1:8" ht="12.75">
      <c r="A45" s="167"/>
      <c r="B45" s="150"/>
      <c r="C45" s="150">
        <v>4370</v>
      </c>
      <c r="D45" s="152" t="s">
        <v>658</v>
      </c>
      <c r="E45" s="153">
        <v>0</v>
      </c>
      <c r="F45" s="982">
        <v>20567</v>
      </c>
      <c r="G45" s="155">
        <v>0</v>
      </c>
      <c r="H45" s="139">
        <f t="shared" si="1"/>
        <v>20567</v>
      </c>
    </row>
    <row r="46" spans="1:8" ht="12.75">
      <c r="A46" s="167"/>
      <c r="B46" s="150"/>
      <c r="C46" s="150">
        <v>4410</v>
      </c>
      <c r="D46" s="152" t="s">
        <v>659</v>
      </c>
      <c r="E46" s="153">
        <v>6000</v>
      </c>
      <c r="F46" s="982">
        <v>6000</v>
      </c>
      <c r="G46" s="155">
        <f>F46/E46*100</f>
        <v>100</v>
      </c>
      <c r="H46" s="139">
        <f t="shared" si="1"/>
        <v>12000</v>
      </c>
    </row>
    <row r="47" spans="1:8" ht="12.75">
      <c r="A47" s="167"/>
      <c r="B47" s="150"/>
      <c r="C47" s="150">
        <v>4430</v>
      </c>
      <c r="D47" s="152" t="s">
        <v>660</v>
      </c>
      <c r="E47" s="153">
        <v>39600</v>
      </c>
      <c r="F47" s="982">
        <v>38800</v>
      </c>
      <c r="G47" s="155">
        <f>F47/E47*100</f>
        <v>97.97979797979798</v>
      </c>
      <c r="H47" s="139">
        <f t="shared" si="1"/>
        <v>78400</v>
      </c>
    </row>
    <row r="48" spans="1:10" ht="12.75">
      <c r="A48" s="167"/>
      <c r="B48" s="150"/>
      <c r="C48" s="150">
        <v>4440</v>
      </c>
      <c r="D48" s="152" t="s">
        <v>661</v>
      </c>
      <c r="E48" s="153">
        <v>32507</v>
      </c>
      <c r="F48" s="982">
        <v>23307</v>
      </c>
      <c r="G48" s="155">
        <f>F48/E48*100</f>
        <v>71.69840342080167</v>
      </c>
      <c r="H48" s="139">
        <f t="shared" si="1"/>
        <v>55814</v>
      </c>
      <c r="J48" s="122"/>
    </row>
    <row r="49" spans="1:10" ht="12.75">
      <c r="A49" s="167"/>
      <c r="B49" s="150"/>
      <c r="C49" s="150">
        <v>4480</v>
      </c>
      <c r="D49" s="152" t="s">
        <v>662</v>
      </c>
      <c r="E49" s="153">
        <v>25506</v>
      </c>
      <c r="F49" s="982">
        <v>28000</v>
      </c>
      <c r="G49" s="155">
        <f>F49/E49*100</f>
        <v>109.77809142946757</v>
      </c>
      <c r="H49" s="139">
        <f t="shared" si="1"/>
        <v>53506</v>
      </c>
      <c r="J49" s="122">
        <f>F30-F55-F56</f>
        <v>2314768</v>
      </c>
    </row>
    <row r="50" spans="1:10" ht="12.75">
      <c r="A50" s="167"/>
      <c r="B50" s="150"/>
      <c r="C50" s="150">
        <v>4500</v>
      </c>
      <c r="D50" s="152" t="s">
        <v>663</v>
      </c>
      <c r="E50" s="153">
        <v>0</v>
      </c>
      <c r="F50" s="982">
        <v>1650</v>
      </c>
      <c r="G50" s="155">
        <v>0</v>
      </c>
      <c r="H50" s="139">
        <f t="shared" si="1"/>
        <v>1650</v>
      </c>
      <c r="J50" s="122"/>
    </row>
    <row r="51" spans="1:8" ht="12.75">
      <c r="A51" s="167"/>
      <c r="B51" s="150"/>
      <c r="C51" s="150">
        <v>4510</v>
      </c>
      <c r="D51" s="152" t="s">
        <v>664</v>
      </c>
      <c r="E51" s="153">
        <v>2829</v>
      </c>
      <c r="F51" s="982">
        <v>2829</v>
      </c>
      <c r="G51" s="155">
        <f>F51/E51*100</f>
        <v>100</v>
      </c>
      <c r="H51" s="139">
        <f t="shared" si="1"/>
        <v>5658</v>
      </c>
    </row>
    <row r="52" spans="1:8" ht="12.75">
      <c r="A52" s="167"/>
      <c r="B52" s="150"/>
      <c r="C52" s="150">
        <v>4520</v>
      </c>
      <c r="D52" s="152" t="s">
        <v>665</v>
      </c>
      <c r="E52" s="153">
        <v>1650</v>
      </c>
      <c r="F52" s="982">
        <v>800</v>
      </c>
      <c r="G52" s="155">
        <f>F52/E52*100</f>
        <v>48.484848484848484</v>
      </c>
      <c r="H52" s="139">
        <f t="shared" si="1"/>
        <v>2450</v>
      </c>
    </row>
    <row r="53" spans="1:8" ht="12.75">
      <c r="A53" s="167"/>
      <c r="B53" s="150"/>
      <c r="C53" s="150">
        <v>4530</v>
      </c>
      <c r="D53" s="152" t="s">
        <v>666</v>
      </c>
      <c r="E53" s="153">
        <v>0</v>
      </c>
      <c r="F53" s="982">
        <v>8000</v>
      </c>
      <c r="G53" s="155">
        <v>0</v>
      </c>
      <c r="H53" s="139">
        <f t="shared" si="1"/>
        <v>8000</v>
      </c>
    </row>
    <row r="54" spans="1:8" ht="12.75">
      <c r="A54" s="167"/>
      <c r="B54" s="150"/>
      <c r="C54" s="150">
        <v>4580</v>
      </c>
      <c r="D54" s="152" t="s">
        <v>667</v>
      </c>
      <c r="E54" s="153">
        <v>2000</v>
      </c>
      <c r="F54" s="982">
        <v>2000</v>
      </c>
      <c r="G54" s="155">
        <f>F54/E54*100</f>
        <v>100</v>
      </c>
      <c r="H54" s="139">
        <f t="shared" si="1"/>
        <v>4000</v>
      </c>
    </row>
    <row r="55" spans="1:8" ht="12.75">
      <c r="A55" s="167"/>
      <c r="B55" s="150"/>
      <c r="C55" s="150">
        <v>6050</v>
      </c>
      <c r="D55" s="152" t="s">
        <v>668</v>
      </c>
      <c r="E55" s="153">
        <v>179128</v>
      </c>
      <c r="F55" s="982">
        <v>325000</v>
      </c>
      <c r="G55" s="155">
        <f>F55/E55*100</f>
        <v>181.43450493501854</v>
      </c>
      <c r="H55" s="139">
        <f t="shared" si="1"/>
        <v>504128</v>
      </c>
    </row>
    <row r="56" spans="1:8" ht="12.75">
      <c r="A56" s="167"/>
      <c r="B56" s="150"/>
      <c r="C56" s="150">
        <v>6060</v>
      </c>
      <c r="D56" s="152" t="s">
        <v>669</v>
      </c>
      <c r="E56" s="153">
        <v>34000</v>
      </c>
      <c r="F56" s="982">
        <v>225000</v>
      </c>
      <c r="G56" s="153">
        <f>F56/E56*100</f>
        <v>661.7647058823529</v>
      </c>
      <c r="H56" s="139">
        <f t="shared" si="1"/>
        <v>259000</v>
      </c>
    </row>
    <row r="57" spans="1:8" ht="12.75">
      <c r="A57" s="167"/>
      <c r="B57" s="150"/>
      <c r="C57" s="150"/>
      <c r="D57" s="152"/>
      <c r="E57" s="153"/>
      <c r="F57" s="154"/>
      <c r="G57" s="153"/>
      <c r="H57" s="139"/>
    </row>
    <row r="58" spans="1:8" ht="12.75">
      <c r="A58" s="167"/>
      <c r="B58" s="109">
        <v>60078</v>
      </c>
      <c r="C58" s="145"/>
      <c r="D58" s="92" t="s">
        <v>670</v>
      </c>
      <c r="E58" s="146">
        <f>E59</f>
        <v>238705</v>
      </c>
      <c r="F58" s="146">
        <f>F59</f>
        <v>0</v>
      </c>
      <c r="G58" s="153">
        <f>F58/E58*100</f>
        <v>0</v>
      </c>
      <c r="H58" s="139">
        <f>E58+F58</f>
        <v>238705</v>
      </c>
    </row>
    <row r="59" spans="1:8" ht="12.75">
      <c r="A59" s="167"/>
      <c r="B59" s="150"/>
      <c r="C59" s="150">
        <v>6050</v>
      </c>
      <c r="D59" s="152" t="s">
        <v>668</v>
      </c>
      <c r="E59" s="153">
        <v>238705</v>
      </c>
      <c r="F59" s="154">
        <v>0</v>
      </c>
      <c r="G59" s="153">
        <f>F59/E59*100</f>
        <v>0</v>
      </c>
      <c r="H59" s="139">
        <f>E59+F59</f>
        <v>238705</v>
      </c>
    </row>
    <row r="60" spans="1:8" ht="12.75">
      <c r="A60" s="167"/>
      <c r="B60" s="150"/>
      <c r="C60" s="150"/>
      <c r="D60" s="152"/>
      <c r="E60" s="153"/>
      <c r="F60" s="154"/>
      <c r="G60" s="153"/>
      <c r="H60" s="139"/>
    </row>
    <row r="61" spans="1:8" ht="12.75">
      <c r="A61" s="167"/>
      <c r="B61" s="150"/>
      <c r="C61" s="150"/>
      <c r="D61" s="152"/>
      <c r="E61" s="153"/>
      <c r="F61" s="154"/>
      <c r="G61" s="153"/>
      <c r="H61" s="139"/>
    </row>
    <row r="62" spans="1:8" ht="13.5" thickBot="1">
      <c r="A62" s="107">
        <v>630</v>
      </c>
      <c r="B62" s="140"/>
      <c r="C62" s="171"/>
      <c r="D62" s="100" t="s">
        <v>671</v>
      </c>
      <c r="E62" s="141">
        <f>E63</f>
        <v>2000</v>
      </c>
      <c r="F62" s="159">
        <f>F63</f>
        <v>2000</v>
      </c>
      <c r="G62" s="142">
        <f>F62/E62*100</f>
        <v>100</v>
      </c>
      <c r="H62" s="143">
        <f>E62+F62</f>
        <v>4000</v>
      </c>
    </row>
    <row r="63" spans="1:8" ht="12.75">
      <c r="A63" s="167"/>
      <c r="B63" s="109">
        <v>63003</v>
      </c>
      <c r="C63" s="157"/>
      <c r="D63" s="92" t="s">
        <v>672</v>
      </c>
      <c r="E63" s="146">
        <f>SUM(E64:E67)</f>
        <v>2000</v>
      </c>
      <c r="F63" s="147">
        <f>SUM(F64:F67)</f>
        <v>2000</v>
      </c>
      <c r="G63" s="148">
        <f>F63/E63*100</f>
        <v>100</v>
      </c>
      <c r="H63" s="149">
        <f>E63+F63</f>
        <v>4000</v>
      </c>
    </row>
    <row r="64" spans="1:9" ht="12.75">
      <c r="A64" s="167"/>
      <c r="B64" s="169"/>
      <c r="C64" s="151" t="s">
        <v>673</v>
      </c>
      <c r="D64" s="152" t="s">
        <v>674</v>
      </c>
      <c r="E64" s="153">
        <v>1000</v>
      </c>
      <c r="F64" s="154">
        <v>1000</v>
      </c>
      <c r="G64" s="155">
        <f>F64/E64*100</f>
        <v>100</v>
      </c>
      <c r="H64" s="139">
        <f>E64+F64</f>
        <v>2000</v>
      </c>
      <c r="I64" s="122"/>
    </row>
    <row r="65" spans="1:9" ht="12.75">
      <c r="A65" s="167"/>
      <c r="B65" s="169"/>
      <c r="C65" s="151"/>
      <c r="D65" s="152" t="s">
        <v>675</v>
      </c>
      <c r="E65" s="153"/>
      <c r="F65" s="154"/>
      <c r="G65" s="153"/>
      <c r="H65" s="139"/>
      <c r="I65" s="122"/>
    </row>
    <row r="66" spans="1:8" ht="12.75">
      <c r="A66" s="167"/>
      <c r="B66" s="169"/>
      <c r="C66" s="151" t="s">
        <v>676</v>
      </c>
      <c r="D66" s="152" t="s">
        <v>652</v>
      </c>
      <c r="E66" s="153">
        <v>500</v>
      </c>
      <c r="F66" s="154">
        <v>500</v>
      </c>
      <c r="G66" s="155">
        <f>F66/E66*100</f>
        <v>100</v>
      </c>
      <c r="H66" s="139">
        <f>E66+F66</f>
        <v>1000</v>
      </c>
    </row>
    <row r="67" spans="1:8" ht="12.75">
      <c r="A67" s="167"/>
      <c r="B67" s="169"/>
      <c r="C67" s="151" t="s">
        <v>640</v>
      </c>
      <c r="D67" s="152" t="s">
        <v>641</v>
      </c>
      <c r="E67" s="153">
        <v>500</v>
      </c>
      <c r="F67" s="154">
        <v>500</v>
      </c>
      <c r="G67" s="155">
        <f>F67/E67*100</f>
        <v>100</v>
      </c>
      <c r="H67" s="139">
        <f>E67+F67</f>
        <v>1000</v>
      </c>
    </row>
    <row r="68" spans="1:8" ht="12.75">
      <c r="A68" s="167"/>
      <c r="B68" s="169"/>
      <c r="C68" s="151"/>
      <c r="D68" s="152"/>
      <c r="E68" s="153"/>
      <c r="F68" s="154"/>
      <c r="G68" s="153"/>
      <c r="H68" s="139"/>
    </row>
    <row r="69" spans="1:8" ht="13.5" thickBot="1">
      <c r="A69" s="107">
        <v>700</v>
      </c>
      <c r="B69" s="140"/>
      <c r="C69" s="140"/>
      <c r="D69" s="100" t="s">
        <v>677</v>
      </c>
      <c r="E69" s="141">
        <f>E70</f>
        <v>96804</v>
      </c>
      <c r="F69" s="159">
        <f>F70</f>
        <v>42000</v>
      </c>
      <c r="G69" s="142">
        <f aca="true" t="shared" si="2" ref="G69:G75">F69/E69*100</f>
        <v>43.386636915829925</v>
      </c>
      <c r="H69" s="143">
        <f aca="true" t="shared" si="3" ref="H69:H77">E69+F69</f>
        <v>138804</v>
      </c>
    </row>
    <row r="70" spans="1:8" ht="12.75">
      <c r="A70" s="167"/>
      <c r="B70" s="109">
        <v>70005</v>
      </c>
      <c r="C70" s="145"/>
      <c r="D70" s="92" t="s">
        <v>678</v>
      </c>
      <c r="E70" s="146">
        <f>SUM(E71:E77)</f>
        <v>96804</v>
      </c>
      <c r="F70" s="146">
        <f>SUM(F71:F77)</f>
        <v>42000</v>
      </c>
      <c r="G70" s="148">
        <f t="shared" si="2"/>
        <v>43.386636915829925</v>
      </c>
      <c r="H70" s="149">
        <f t="shared" si="3"/>
        <v>138804</v>
      </c>
    </row>
    <row r="71" spans="1:8" ht="12.75">
      <c r="A71" s="167"/>
      <c r="B71" s="150"/>
      <c r="C71" s="150">
        <v>4260</v>
      </c>
      <c r="D71" s="152" t="s">
        <v>653</v>
      </c>
      <c r="E71" s="153">
        <v>10000</v>
      </c>
      <c r="F71" s="154">
        <v>6000</v>
      </c>
      <c r="G71" s="155">
        <f t="shared" si="2"/>
        <v>60</v>
      </c>
      <c r="H71" s="139">
        <f t="shared" si="3"/>
        <v>16000</v>
      </c>
    </row>
    <row r="72" spans="1:8" ht="12.75">
      <c r="A72" s="167"/>
      <c r="B72" s="150"/>
      <c r="C72" s="150">
        <v>4270</v>
      </c>
      <c r="D72" s="152" t="s">
        <v>654</v>
      </c>
      <c r="E72" s="153">
        <v>20000</v>
      </c>
      <c r="F72" s="154">
        <v>10000</v>
      </c>
      <c r="G72" s="155">
        <f t="shared" si="2"/>
        <v>50</v>
      </c>
      <c r="H72" s="139">
        <f t="shared" si="3"/>
        <v>30000</v>
      </c>
    </row>
    <row r="73" spans="1:8" ht="12.75">
      <c r="A73" s="167"/>
      <c r="B73" s="150"/>
      <c r="C73" s="151" t="s">
        <v>640</v>
      </c>
      <c r="D73" s="152" t="s">
        <v>641</v>
      </c>
      <c r="E73" s="153">
        <v>51488</v>
      </c>
      <c r="F73" s="154">
        <v>14000</v>
      </c>
      <c r="G73" s="155">
        <f t="shared" si="2"/>
        <v>27.190801740211313</v>
      </c>
      <c r="H73" s="139">
        <f t="shared" si="3"/>
        <v>65488</v>
      </c>
    </row>
    <row r="74" spans="1:8" ht="12.75">
      <c r="A74" s="167"/>
      <c r="B74" s="150"/>
      <c r="C74" s="151" t="s">
        <v>45</v>
      </c>
      <c r="D74" s="152" t="s">
        <v>660</v>
      </c>
      <c r="E74" s="153">
        <v>0</v>
      </c>
      <c r="F74" s="154">
        <v>600</v>
      </c>
      <c r="G74" s="155">
        <v>0</v>
      </c>
      <c r="H74" s="139">
        <f t="shared" si="3"/>
        <v>600</v>
      </c>
    </row>
    <row r="75" spans="1:8" ht="12.75">
      <c r="A75" s="167"/>
      <c r="B75" s="150"/>
      <c r="C75" s="151" t="s">
        <v>679</v>
      </c>
      <c r="D75" s="152" t="s">
        <v>662</v>
      </c>
      <c r="E75" s="153">
        <v>11500</v>
      </c>
      <c r="F75" s="154">
        <v>10900</v>
      </c>
      <c r="G75" s="155">
        <f t="shared" si="2"/>
        <v>94.78260869565217</v>
      </c>
      <c r="H75" s="139">
        <f t="shared" si="3"/>
        <v>22400</v>
      </c>
    </row>
    <row r="76" spans="1:8" ht="12.75">
      <c r="A76" s="167"/>
      <c r="B76" s="150"/>
      <c r="C76" s="151" t="s">
        <v>680</v>
      </c>
      <c r="D76" s="152" t="s">
        <v>681</v>
      </c>
      <c r="E76" s="153">
        <v>0</v>
      </c>
      <c r="F76" s="154">
        <v>500</v>
      </c>
      <c r="G76" s="155">
        <v>0</v>
      </c>
      <c r="H76" s="139">
        <f t="shared" si="3"/>
        <v>500</v>
      </c>
    </row>
    <row r="77" spans="1:8" ht="12.75">
      <c r="A77" s="167"/>
      <c r="B77" s="150"/>
      <c r="C77" s="151" t="s">
        <v>642</v>
      </c>
      <c r="D77" s="152" t="s">
        <v>643</v>
      </c>
      <c r="E77" s="153">
        <v>3816</v>
      </c>
      <c r="F77" s="154">
        <v>0</v>
      </c>
      <c r="G77" s="155">
        <v>0</v>
      </c>
      <c r="H77" s="139">
        <f t="shared" si="3"/>
        <v>3816</v>
      </c>
    </row>
    <row r="78" spans="1:8" ht="14.25" customHeight="1">
      <c r="A78" s="167"/>
      <c r="B78" s="150"/>
      <c r="C78" s="150"/>
      <c r="D78" s="152"/>
      <c r="E78" s="153"/>
      <c r="F78" s="172"/>
      <c r="G78" s="153"/>
      <c r="H78" s="139"/>
    </row>
    <row r="79" spans="1:8" ht="13.5" thickBot="1">
      <c r="A79" s="107">
        <v>710</v>
      </c>
      <c r="B79" s="140"/>
      <c r="C79" s="171"/>
      <c r="D79" s="100" t="s">
        <v>682</v>
      </c>
      <c r="E79" s="141">
        <f>E80+E84+E87</f>
        <v>269553</v>
      </c>
      <c r="F79" s="159">
        <f>F80+F84+F87</f>
        <v>262864</v>
      </c>
      <c r="G79" s="142">
        <f>F79/E79*100</f>
        <v>97.51848430549836</v>
      </c>
      <c r="H79" s="143">
        <f>E79+F79</f>
        <v>532417</v>
      </c>
    </row>
    <row r="80" spans="1:8" ht="12.75">
      <c r="A80" s="167"/>
      <c r="B80" s="109">
        <v>71013</v>
      </c>
      <c r="C80" s="157"/>
      <c r="D80" s="92" t="s">
        <v>683</v>
      </c>
      <c r="E80" s="146">
        <f>SUM(E81:E82)</f>
        <v>40000</v>
      </c>
      <c r="F80" s="146">
        <f>SUM(F81:F82)</f>
        <v>40000</v>
      </c>
      <c r="G80" s="148">
        <f>F80/E80*100</f>
        <v>100</v>
      </c>
      <c r="H80" s="149">
        <f>E80+F80</f>
        <v>80000</v>
      </c>
    </row>
    <row r="81" spans="1:8" ht="12.75">
      <c r="A81" s="167"/>
      <c r="B81" s="150"/>
      <c r="C81" s="151" t="s">
        <v>640</v>
      </c>
      <c r="D81" s="152" t="s">
        <v>641</v>
      </c>
      <c r="E81" s="153">
        <v>40000</v>
      </c>
      <c r="F81" s="154">
        <v>39500</v>
      </c>
      <c r="G81" s="155">
        <f>F81/E81*100</f>
        <v>98.75</v>
      </c>
      <c r="H81" s="139">
        <f>E81+F81</f>
        <v>79500</v>
      </c>
    </row>
    <row r="82" spans="1:8" ht="12.75">
      <c r="A82" s="167"/>
      <c r="B82" s="150"/>
      <c r="C82" s="151" t="s">
        <v>680</v>
      </c>
      <c r="D82" s="152" t="s">
        <v>681</v>
      </c>
      <c r="E82" s="153">
        <v>0</v>
      </c>
      <c r="F82" s="154">
        <v>500</v>
      </c>
      <c r="G82" s="155">
        <v>0</v>
      </c>
      <c r="H82" s="139"/>
    </row>
    <row r="83" spans="1:8" ht="12.75">
      <c r="A83" s="167"/>
      <c r="B83" s="150"/>
      <c r="C83" s="151"/>
      <c r="D83" s="152"/>
      <c r="E83" s="153"/>
      <c r="F83" s="154"/>
      <c r="G83" s="153"/>
      <c r="H83" s="139"/>
    </row>
    <row r="84" spans="1:8" ht="12.75">
      <c r="A84" s="167"/>
      <c r="B84" s="109">
        <v>71014</v>
      </c>
      <c r="C84" s="157"/>
      <c r="D84" s="92" t="s">
        <v>684</v>
      </c>
      <c r="E84" s="146">
        <f>E85</f>
        <v>22000</v>
      </c>
      <c r="F84" s="147">
        <f>F85</f>
        <v>14000</v>
      </c>
      <c r="G84" s="158">
        <f>F84/E84*100</f>
        <v>63.63636363636363</v>
      </c>
      <c r="H84" s="149">
        <f>E84+F84</f>
        <v>36000</v>
      </c>
    </row>
    <row r="85" spans="1:8" ht="12.75">
      <c r="A85" s="167"/>
      <c r="B85" s="150"/>
      <c r="C85" s="151" t="s">
        <v>640</v>
      </c>
      <c r="D85" s="152" t="s">
        <v>641</v>
      </c>
      <c r="E85" s="153">
        <v>22000</v>
      </c>
      <c r="F85" s="154">
        <v>14000</v>
      </c>
      <c r="G85" s="155">
        <f>F85/E85*100</f>
        <v>63.63636363636363</v>
      </c>
      <c r="H85" s="139">
        <f>E85+F85</f>
        <v>36000</v>
      </c>
    </row>
    <row r="86" spans="1:8" ht="12.75">
      <c r="A86" s="167"/>
      <c r="B86" s="150"/>
      <c r="C86" s="151"/>
      <c r="D86" s="152"/>
      <c r="E86" s="153"/>
      <c r="F86" s="154"/>
      <c r="G86" s="153"/>
      <c r="H86" s="139"/>
    </row>
    <row r="87" spans="1:8" ht="12.75">
      <c r="A87" s="167"/>
      <c r="B87" s="109">
        <v>71015</v>
      </c>
      <c r="C87" s="145"/>
      <c r="D87" s="92" t="s">
        <v>685</v>
      </c>
      <c r="E87" s="146">
        <f>SUM(E88:E103)</f>
        <v>207553</v>
      </c>
      <c r="F87" s="147">
        <f>SUM(F88:F103)</f>
        <v>208864</v>
      </c>
      <c r="G87" s="158">
        <f aca="true" t="shared" si="4" ref="G87:G93">F87/E87*100</f>
        <v>100.6316458928563</v>
      </c>
      <c r="H87" s="149">
        <f aca="true" t="shared" si="5" ref="H87:H103">E87+F87</f>
        <v>416417</v>
      </c>
    </row>
    <row r="88" spans="1:10" ht="12.75">
      <c r="A88" s="167"/>
      <c r="B88" s="150"/>
      <c r="C88" s="150">
        <v>4010</v>
      </c>
      <c r="D88" s="152" t="s">
        <v>647</v>
      </c>
      <c r="E88" s="153">
        <v>129968</v>
      </c>
      <c r="F88" s="982">
        <v>121407</v>
      </c>
      <c r="G88" s="155">
        <f t="shared" si="4"/>
        <v>93.4129939677459</v>
      </c>
      <c r="H88" s="139">
        <f t="shared" si="5"/>
        <v>251375</v>
      </c>
      <c r="J88" s="122">
        <f>SUM(F88:F92)</f>
        <v>159831</v>
      </c>
    </row>
    <row r="89" spans="1:9" ht="12.75">
      <c r="A89" s="167"/>
      <c r="B89" s="150"/>
      <c r="C89" s="150">
        <v>4040</v>
      </c>
      <c r="D89" s="152" t="s">
        <v>648</v>
      </c>
      <c r="E89" s="153">
        <v>8287</v>
      </c>
      <c r="F89" s="982">
        <v>9723</v>
      </c>
      <c r="G89" s="155">
        <f t="shared" si="4"/>
        <v>117.3283456015446</v>
      </c>
      <c r="H89" s="139">
        <f t="shared" si="5"/>
        <v>18010</v>
      </c>
      <c r="I89" s="122"/>
    </row>
    <row r="90" spans="1:10" ht="12.75">
      <c r="A90" s="167"/>
      <c r="B90" s="150"/>
      <c r="C90" s="150">
        <v>4110</v>
      </c>
      <c r="D90" s="152" t="s">
        <v>649</v>
      </c>
      <c r="E90" s="153">
        <v>23966</v>
      </c>
      <c r="F90" s="982">
        <v>23335</v>
      </c>
      <c r="G90" s="155">
        <f t="shared" si="4"/>
        <v>97.36710339647836</v>
      </c>
      <c r="H90" s="139">
        <f t="shared" si="5"/>
        <v>47301</v>
      </c>
      <c r="J90" s="122">
        <f>SUM(H88:H92)</f>
        <v>326782</v>
      </c>
    </row>
    <row r="91" spans="1:8" ht="12.75">
      <c r="A91" s="167"/>
      <c r="B91" s="150"/>
      <c r="C91" s="150">
        <v>4120</v>
      </c>
      <c r="D91" s="152" t="s">
        <v>650</v>
      </c>
      <c r="E91" s="153">
        <v>3230</v>
      </c>
      <c r="F91" s="982">
        <v>3166</v>
      </c>
      <c r="G91" s="155">
        <f t="shared" si="4"/>
        <v>98.01857585139318</v>
      </c>
      <c r="H91" s="139">
        <f t="shared" si="5"/>
        <v>6396</v>
      </c>
    </row>
    <row r="92" spans="1:8" ht="12.75">
      <c r="A92" s="167"/>
      <c r="B92" s="150"/>
      <c r="C92" s="150">
        <v>4170</v>
      </c>
      <c r="D92" s="152" t="s">
        <v>651</v>
      </c>
      <c r="E92" s="153">
        <v>1500</v>
      </c>
      <c r="F92" s="982">
        <v>2200</v>
      </c>
      <c r="G92" s="155">
        <f t="shared" si="4"/>
        <v>146.66666666666666</v>
      </c>
      <c r="H92" s="139">
        <f t="shared" si="5"/>
        <v>3700</v>
      </c>
    </row>
    <row r="93" spans="1:10" ht="12.75">
      <c r="A93" s="167"/>
      <c r="B93" s="150"/>
      <c r="C93" s="150">
        <v>4210</v>
      </c>
      <c r="D93" s="152" t="s">
        <v>652</v>
      </c>
      <c r="E93" s="153">
        <v>16300</v>
      </c>
      <c r="F93" s="982">
        <v>14961</v>
      </c>
      <c r="G93" s="155">
        <f t="shared" si="4"/>
        <v>91.78527607361964</v>
      </c>
      <c r="H93" s="139">
        <f t="shared" si="5"/>
        <v>31261</v>
      </c>
      <c r="J93" s="122"/>
    </row>
    <row r="94" spans="1:10" ht="12.75">
      <c r="A94" s="167"/>
      <c r="B94" s="150"/>
      <c r="C94" s="150">
        <v>4270</v>
      </c>
      <c r="D94" s="152" t="s">
        <v>654</v>
      </c>
      <c r="E94" s="153">
        <v>0</v>
      </c>
      <c r="F94" s="982">
        <v>2800</v>
      </c>
      <c r="G94" s="155">
        <v>0</v>
      </c>
      <c r="H94" s="139">
        <f t="shared" si="5"/>
        <v>2800</v>
      </c>
      <c r="J94" s="122"/>
    </row>
    <row r="95" spans="1:10" ht="12.75">
      <c r="A95" s="167"/>
      <c r="B95" s="150"/>
      <c r="C95" s="150">
        <v>4280</v>
      </c>
      <c r="D95" s="152" t="s">
        <v>655</v>
      </c>
      <c r="E95" s="153">
        <v>0</v>
      </c>
      <c r="F95" s="982">
        <v>120</v>
      </c>
      <c r="G95" s="155">
        <v>0</v>
      </c>
      <c r="H95" s="139">
        <f t="shared" si="5"/>
        <v>120</v>
      </c>
      <c r="J95" s="122"/>
    </row>
    <row r="96" spans="1:10" ht="12.75">
      <c r="A96" s="167"/>
      <c r="B96" s="150"/>
      <c r="C96" s="150">
        <v>4300</v>
      </c>
      <c r="D96" s="152" t="s">
        <v>641</v>
      </c>
      <c r="E96" s="153">
        <v>18902</v>
      </c>
      <c r="F96" s="982">
        <v>7852</v>
      </c>
      <c r="G96" s="155">
        <f>F96/E96*100</f>
        <v>41.54057771664374</v>
      </c>
      <c r="H96" s="139">
        <f t="shared" si="5"/>
        <v>26754</v>
      </c>
      <c r="J96" s="122"/>
    </row>
    <row r="97" spans="1:10" ht="12.75">
      <c r="A97" s="167"/>
      <c r="B97" s="150"/>
      <c r="C97" s="150">
        <v>4350</v>
      </c>
      <c r="D97" s="152" t="s">
        <v>656</v>
      </c>
      <c r="E97" s="153">
        <v>0</v>
      </c>
      <c r="F97" s="982">
        <v>1200</v>
      </c>
      <c r="G97" s="155">
        <v>0</v>
      </c>
      <c r="H97" s="139">
        <f t="shared" si="5"/>
        <v>1200</v>
      </c>
      <c r="J97" s="122"/>
    </row>
    <row r="98" spans="1:10" ht="12.75">
      <c r="A98" s="167"/>
      <c r="B98" s="150"/>
      <c r="C98" s="150">
        <v>4370</v>
      </c>
      <c r="D98" s="152" t="s">
        <v>658</v>
      </c>
      <c r="E98" s="153">
        <v>0</v>
      </c>
      <c r="F98" s="982">
        <v>6000</v>
      </c>
      <c r="G98" s="155">
        <v>0</v>
      </c>
      <c r="H98" s="139">
        <f t="shared" si="5"/>
        <v>6000</v>
      </c>
      <c r="J98" s="122"/>
    </row>
    <row r="99" spans="1:10" ht="12.75">
      <c r="A99" s="167"/>
      <c r="B99" s="150"/>
      <c r="C99" s="150">
        <v>4400</v>
      </c>
      <c r="D99" s="152" t="s">
        <v>686</v>
      </c>
      <c r="E99" s="153">
        <v>0</v>
      </c>
      <c r="F99" s="982">
        <v>6600</v>
      </c>
      <c r="G99" s="155">
        <v>0</v>
      </c>
      <c r="H99" s="139">
        <f t="shared" si="5"/>
        <v>6600</v>
      </c>
      <c r="J99" s="122"/>
    </row>
    <row r="100" spans="1:10" ht="12.75">
      <c r="A100" s="167"/>
      <c r="B100" s="150"/>
      <c r="C100" s="150">
        <v>4410</v>
      </c>
      <c r="D100" s="152" t="s">
        <v>659</v>
      </c>
      <c r="E100" s="153">
        <v>0</v>
      </c>
      <c r="F100" s="982">
        <v>3000</v>
      </c>
      <c r="G100" s="155">
        <v>0</v>
      </c>
      <c r="H100" s="139">
        <f t="shared" si="5"/>
        <v>3000</v>
      </c>
      <c r="J100" s="122"/>
    </row>
    <row r="101" spans="1:8" ht="12.75">
      <c r="A101" s="167"/>
      <c r="B101" s="150"/>
      <c r="C101" s="150">
        <v>4430</v>
      </c>
      <c r="D101" s="152" t="s">
        <v>660</v>
      </c>
      <c r="E101" s="153">
        <v>2100</v>
      </c>
      <c r="F101" s="982">
        <v>3000</v>
      </c>
      <c r="G101" s="155">
        <f>F101/E101*100</f>
        <v>142.85714285714286</v>
      </c>
      <c r="H101" s="139">
        <f t="shared" si="5"/>
        <v>5100</v>
      </c>
    </row>
    <row r="102" spans="1:8" ht="12.75">
      <c r="A102" s="167"/>
      <c r="B102" s="150"/>
      <c r="C102" s="150">
        <v>4440</v>
      </c>
      <c r="D102" s="152" t="s">
        <v>661</v>
      </c>
      <c r="E102" s="153">
        <v>3300</v>
      </c>
      <c r="F102" s="982">
        <v>3500</v>
      </c>
      <c r="G102" s="155">
        <f>F102/E102*100</f>
        <v>106.06060606060606</v>
      </c>
      <c r="H102" s="139">
        <f t="shared" si="5"/>
        <v>6800</v>
      </c>
    </row>
    <row r="103" spans="1:10" ht="12.75">
      <c r="A103" s="167"/>
      <c r="B103" s="150"/>
      <c r="C103" s="150">
        <v>6060</v>
      </c>
      <c r="D103" s="152" t="s">
        <v>687</v>
      </c>
      <c r="E103" s="153">
        <v>0</v>
      </c>
      <c r="F103" s="982">
        <v>0</v>
      </c>
      <c r="G103" s="155">
        <v>0</v>
      </c>
      <c r="H103" s="139">
        <f t="shared" si="5"/>
        <v>0</v>
      </c>
      <c r="J103" s="122"/>
    </row>
    <row r="104" spans="1:8" ht="12" customHeight="1">
      <c r="A104" s="167"/>
      <c r="B104" s="150"/>
      <c r="C104" s="150"/>
      <c r="D104" s="152"/>
      <c r="E104" s="153"/>
      <c r="F104" s="154"/>
      <c r="G104" s="153"/>
      <c r="H104" s="139"/>
    </row>
    <row r="105" spans="1:8" ht="13.5" thickBot="1">
      <c r="A105" s="107">
        <v>750</v>
      </c>
      <c r="B105" s="140"/>
      <c r="C105" s="140"/>
      <c r="D105" s="100" t="s">
        <v>688</v>
      </c>
      <c r="E105" s="141">
        <f>E106+E126+E135+E162+E174</f>
        <v>4100997</v>
      </c>
      <c r="F105" s="159">
        <f>F106+F126+F135+F162+F174</f>
        <v>4772804</v>
      </c>
      <c r="G105" s="142">
        <f aca="true" t="shared" si="6" ref="G105:G118">F105/E105*100</f>
        <v>116.38155307111904</v>
      </c>
      <c r="H105" s="143">
        <f aca="true" t="shared" si="7" ref="H105:H111">E105+F105</f>
        <v>8873801</v>
      </c>
    </row>
    <row r="106" spans="1:8" ht="12.75">
      <c r="A106" s="167"/>
      <c r="B106" s="109">
        <v>75011</v>
      </c>
      <c r="C106" s="145"/>
      <c r="D106" s="92" t="s">
        <v>689</v>
      </c>
      <c r="E106" s="146">
        <f>SUM(E107:E124)</f>
        <v>256034</v>
      </c>
      <c r="F106" s="146">
        <f>SUM(F107:F124)</f>
        <v>257210</v>
      </c>
      <c r="G106" s="148">
        <f t="shared" si="6"/>
        <v>100.45931399735973</v>
      </c>
      <c r="H106" s="149">
        <f t="shared" si="7"/>
        <v>513244</v>
      </c>
    </row>
    <row r="107" spans="1:8" ht="12.75">
      <c r="A107" s="167"/>
      <c r="B107" s="150"/>
      <c r="C107" s="150">
        <v>3020</v>
      </c>
      <c r="D107" s="152" t="s">
        <v>646</v>
      </c>
      <c r="E107" s="153">
        <v>915</v>
      </c>
      <c r="F107" s="154">
        <v>470</v>
      </c>
      <c r="G107" s="155">
        <f t="shared" si="6"/>
        <v>51.36612021857923</v>
      </c>
      <c r="H107" s="139">
        <f t="shared" si="7"/>
        <v>1385</v>
      </c>
    </row>
    <row r="108" spans="1:8" ht="12.75">
      <c r="A108" s="167"/>
      <c r="B108" s="150"/>
      <c r="C108" s="150">
        <v>4010</v>
      </c>
      <c r="D108" s="152" t="s">
        <v>647</v>
      </c>
      <c r="E108" s="153">
        <v>159127</v>
      </c>
      <c r="F108" s="154">
        <f>152304+7615</f>
        <v>159919</v>
      </c>
      <c r="G108" s="155">
        <f t="shared" si="6"/>
        <v>100.49771566107574</v>
      </c>
      <c r="H108" s="139">
        <f t="shared" si="7"/>
        <v>319046</v>
      </c>
    </row>
    <row r="109" spans="1:10" ht="12.75">
      <c r="A109" s="167"/>
      <c r="B109" s="150"/>
      <c r="C109" s="150">
        <v>4040</v>
      </c>
      <c r="D109" s="152" t="s">
        <v>648</v>
      </c>
      <c r="E109" s="153">
        <v>11314</v>
      </c>
      <c r="F109" s="154">
        <v>11781</v>
      </c>
      <c r="G109" s="155">
        <f t="shared" si="6"/>
        <v>104.12762948559306</v>
      </c>
      <c r="H109" s="139">
        <f t="shared" si="7"/>
        <v>23095</v>
      </c>
      <c r="J109" s="122">
        <f>SUM(H108:H112)</f>
        <v>420755</v>
      </c>
    </row>
    <row r="110" spans="1:8" ht="12.75">
      <c r="A110" s="167"/>
      <c r="B110" s="150"/>
      <c r="C110" s="150">
        <v>4110</v>
      </c>
      <c r="D110" s="152" t="s">
        <v>649</v>
      </c>
      <c r="E110" s="153">
        <v>29834</v>
      </c>
      <c r="F110" s="154">
        <f>27807+1309</f>
        <v>29116</v>
      </c>
      <c r="G110" s="155">
        <f t="shared" si="6"/>
        <v>97.59334986927666</v>
      </c>
      <c r="H110" s="139">
        <f t="shared" si="7"/>
        <v>58950</v>
      </c>
    </row>
    <row r="111" spans="1:10" ht="12.75">
      <c r="A111" s="167"/>
      <c r="B111" s="150"/>
      <c r="C111" s="150">
        <v>4120</v>
      </c>
      <c r="D111" s="152" t="s">
        <v>650</v>
      </c>
      <c r="E111" s="153">
        <v>4330</v>
      </c>
      <c r="F111" s="154">
        <f>3868+186</f>
        <v>4054</v>
      </c>
      <c r="G111" s="155">
        <f t="shared" si="6"/>
        <v>93.62586605080831</v>
      </c>
      <c r="H111" s="139">
        <f t="shared" si="7"/>
        <v>8384</v>
      </c>
      <c r="J111" s="122">
        <f>SUM(F108:F112)</f>
        <v>210510</v>
      </c>
    </row>
    <row r="112" spans="1:8" ht="12.75">
      <c r="A112" s="167"/>
      <c r="B112" s="150"/>
      <c r="C112" s="150">
        <v>4170</v>
      </c>
      <c r="D112" s="152" t="s">
        <v>651</v>
      </c>
      <c r="E112" s="153">
        <v>5640</v>
      </c>
      <c r="F112" s="154">
        <v>5640</v>
      </c>
      <c r="G112" s="155">
        <f t="shared" si="6"/>
        <v>100</v>
      </c>
      <c r="H112" s="139">
        <f>F112+E112</f>
        <v>11280</v>
      </c>
    </row>
    <row r="113" spans="1:8" ht="12.75">
      <c r="A113" s="167"/>
      <c r="B113" s="150"/>
      <c r="C113" s="150">
        <v>4210</v>
      </c>
      <c r="D113" s="152" t="s">
        <v>652</v>
      </c>
      <c r="E113" s="153">
        <v>5581</v>
      </c>
      <c r="F113" s="154">
        <v>6000</v>
      </c>
      <c r="G113" s="155">
        <f t="shared" si="6"/>
        <v>107.50761512273786</v>
      </c>
      <c r="H113" s="139">
        <f aca="true" t="shared" si="8" ref="H113:H124">E113+F113</f>
        <v>11581</v>
      </c>
    </row>
    <row r="114" spans="1:8" ht="12.75">
      <c r="A114" s="167"/>
      <c r="B114" s="150"/>
      <c r="C114" s="150">
        <v>4260</v>
      </c>
      <c r="D114" s="152" t="s">
        <v>653</v>
      </c>
      <c r="E114" s="153">
        <v>5425</v>
      </c>
      <c r="F114" s="154">
        <v>7425</v>
      </c>
      <c r="G114" s="155">
        <f t="shared" si="6"/>
        <v>136.8663594470046</v>
      </c>
      <c r="H114" s="139">
        <f t="shared" si="8"/>
        <v>12850</v>
      </c>
    </row>
    <row r="115" spans="1:8" ht="12.75">
      <c r="A115" s="167"/>
      <c r="B115" s="150"/>
      <c r="C115" s="150">
        <v>4270</v>
      </c>
      <c r="D115" s="152" t="s">
        <v>654</v>
      </c>
      <c r="E115" s="153">
        <v>2600</v>
      </c>
      <c r="F115" s="154">
        <v>600</v>
      </c>
      <c r="G115" s="155">
        <f t="shared" si="6"/>
        <v>23.076923076923077</v>
      </c>
      <c r="H115" s="139">
        <f t="shared" si="8"/>
        <v>3200</v>
      </c>
    </row>
    <row r="116" spans="1:8" ht="12.75">
      <c r="A116" s="167"/>
      <c r="B116" s="150"/>
      <c r="C116" s="150">
        <v>4280</v>
      </c>
      <c r="D116" s="152" t="s">
        <v>655</v>
      </c>
      <c r="E116" s="153">
        <v>245</v>
      </c>
      <c r="F116" s="154">
        <v>245</v>
      </c>
      <c r="G116" s="155">
        <f t="shared" si="6"/>
        <v>100</v>
      </c>
      <c r="H116" s="139">
        <f t="shared" si="8"/>
        <v>490</v>
      </c>
    </row>
    <row r="117" spans="1:8" ht="12.75">
      <c r="A117" s="167"/>
      <c r="B117" s="150"/>
      <c r="C117" s="150">
        <v>4300</v>
      </c>
      <c r="D117" s="152" t="s">
        <v>641</v>
      </c>
      <c r="E117" s="153">
        <v>22067</v>
      </c>
      <c r="F117" s="154">
        <v>15979</v>
      </c>
      <c r="G117" s="155">
        <f t="shared" si="6"/>
        <v>72.4112928807722</v>
      </c>
      <c r="H117" s="139">
        <f t="shared" si="8"/>
        <v>38046</v>
      </c>
    </row>
    <row r="118" spans="1:8" ht="12.75">
      <c r="A118" s="167"/>
      <c r="B118" s="150"/>
      <c r="C118" s="150">
        <v>4350</v>
      </c>
      <c r="D118" s="152" t="s">
        <v>656</v>
      </c>
      <c r="E118" s="153">
        <v>2828</v>
      </c>
      <c r="F118" s="154">
        <v>2828</v>
      </c>
      <c r="G118" s="155">
        <f t="shared" si="6"/>
        <v>100</v>
      </c>
      <c r="H118" s="139">
        <f t="shared" si="8"/>
        <v>5656</v>
      </c>
    </row>
    <row r="119" spans="1:8" ht="12.75">
      <c r="A119" s="167"/>
      <c r="B119" s="150"/>
      <c r="C119" s="150">
        <v>4370</v>
      </c>
      <c r="D119" s="152" t="s">
        <v>658</v>
      </c>
      <c r="E119" s="153">
        <v>0</v>
      </c>
      <c r="F119" s="154">
        <v>3467</v>
      </c>
      <c r="G119" s="155">
        <v>0</v>
      </c>
      <c r="H119" s="139">
        <f t="shared" si="8"/>
        <v>3467</v>
      </c>
    </row>
    <row r="120" spans="1:8" ht="12.75">
      <c r="A120" s="167"/>
      <c r="B120" s="150"/>
      <c r="C120" s="150">
        <v>4410</v>
      </c>
      <c r="D120" s="152" t="s">
        <v>659</v>
      </c>
      <c r="E120" s="153">
        <v>1179</v>
      </c>
      <c r="F120" s="154">
        <v>2500</v>
      </c>
      <c r="G120" s="155">
        <f>F120/E120*100</f>
        <v>212.04410517387618</v>
      </c>
      <c r="H120" s="139">
        <f t="shared" si="8"/>
        <v>3679</v>
      </c>
    </row>
    <row r="121" spans="1:8" ht="12.75">
      <c r="A121" s="167"/>
      <c r="B121" s="150"/>
      <c r="C121" s="150">
        <v>4440</v>
      </c>
      <c r="D121" s="152" t="s">
        <v>661</v>
      </c>
      <c r="E121" s="153">
        <v>4949</v>
      </c>
      <c r="F121" s="154">
        <v>4586</v>
      </c>
      <c r="G121" s="155">
        <f>F121/E121*100</f>
        <v>92.66518488583553</v>
      </c>
      <c r="H121" s="139">
        <f t="shared" si="8"/>
        <v>9535</v>
      </c>
    </row>
    <row r="122" spans="1:8" ht="12.75">
      <c r="A122" s="167"/>
      <c r="B122" s="150"/>
      <c r="C122" s="150">
        <v>4700</v>
      </c>
      <c r="D122" s="152" t="s">
        <v>681</v>
      </c>
      <c r="E122" s="153">
        <v>0</v>
      </c>
      <c r="F122" s="154">
        <v>500</v>
      </c>
      <c r="G122" s="155">
        <v>0</v>
      </c>
      <c r="H122" s="139">
        <f t="shared" si="8"/>
        <v>500</v>
      </c>
    </row>
    <row r="123" spans="1:8" ht="12.75">
      <c r="A123" s="167"/>
      <c r="B123" s="150"/>
      <c r="C123" s="150">
        <v>4740</v>
      </c>
      <c r="D123" s="152" t="s">
        <v>690</v>
      </c>
      <c r="E123" s="153">
        <v>0</v>
      </c>
      <c r="F123" s="154">
        <v>1100</v>
      </c>
      <c r="G123" s="155">
        <v>0</v>
      </c>
      <c r="H123" s="139">
        <f t="shared" si="8"/>
        <v>1100</v>
      </c>
    </row>
    <row r="124" spans="1:8" ht="12.75">
      <c r="A124" s="167"/>
      <c r="B124" s="150"/>
      <c r="C124" s="150">
        <v>4750</v>
      </c>
      <c r="D124" s="152" t="s">
        <v>691</v>
      </c>
      <c r="E124" s="153">
        <v>0</v>
      </c>
      <c r="F124" s="154">
        <v>1000</v>
      </c>
      <c r="G124" s="155">
        <v>0</v>
      </c>
      <c r="H124" s="139">
        <f t="shared" si="8"/>
        <v>1000</v>
      </c>
    </row>
    <row r="125" spans="1:8" ht="12.75">
      <c r="A125" s="167"/>
      <c r="B125" s="150"/>
      <c r="C125" s="150"/>
      <c r="D125" s="152"/>
      <c r="E125" s="153"/>
      <c r="F125" s="154"/>
      <c r="G125" s="153"/>
      <c r="H125" s="139"/>
    </row>
    <row r="126" spans="1:8" ht="12.75">
      <c r="A126" s="167"/>
      <c r="B126" s="109">
        <v>75019</v>
      </c>
      <c r="C126" s="157"/>
      <c r="D126" s="92" t="s">
        <v>692</v>
      </c>
      <c r="E126" s="146">
        <f>SUM(E127:E133)</f>
        <v>238312</v>
      </c>
      <c r="F126" s="146">
        <f>SUM(F127:F133)</f>
        <v>237400</v>
      </c>
      <c r="G126" s="158">
        <f>F126/E126*100</f>
        <v>99.61730840243042</v>
      </c>
      <c r="H126" s="149">
        <f aca="true" t="shared" si="9" ref="H126:H133">E126+F126</f>
        <v>475712</v>
      </c>
    </row>
    <row r="127" spans="1:8" ht="12.75">
      <c r="A127" s="167"/>
      <c r="B127" s="150"/>
      <c r="C127" s="150">
        <v>3030</v>
      </c>
      <c r="D127" s="152" t="s">
        <v>693</v>
      </c>
      <c r="E127" s="153">
        <v>225600</v>
      </c>
      <c r="F127" s="154">
        <v>224000</v>
      </c>
      <c r="G127" s="155">
        <f>F127/E127*100</f>
        <v>99.29078014184397</v>
      </c>
      <c r="H127" s="139">
        <f t="shared" si="9"/>
        <v>449600</v>
      </c>
    </row>
    <row r="128" spans="1:8" ht="12.75">
      <c r="A128" s="167"/>
      <c r="B128" s="150"/>
      <c r="C128" s="150">
        <v>4210</v>
      </c>
      <c r="D128" s="152" t="s">
        <v>652</v>
      </c>
      <c r="E128" s="153">
        <v>6000</v>
      </c>
      <c r="F128" s="154">
        <v>3500</v>
      </c>
      <c r="G128" s="155">
        <f>F128/E128*100</f>
        <v>58.333333333333336</v>
      </c>
      <c r="H128" s="139">
        <f t="shared" si="9"/>
        <v>9500</v>
      </c>
    </row>
    <row r="129" spans="1:8" ht="12.75">
      <c r="A129" s="167"/>
      <c r="B129" s="150"/>
      <c r="C129" s="150">
        <v>4300</v>
      </c>
      <c r="D129" s="152" t="s">
        <v>641</v>
      </c>
      <c r="E129" s="153">
        <v>6000</v>
      </c>
      <c r="F129" s="154">
        <v>7500</v>
      </c>
      <c r="G129" s="155">
        <f>F129/E129*100</f>
        <v>125</v>
      </c>
      <c r="H129" s="139">
        <f t="shared" si="9"/>
        <v>13500</v>
      </c>
    </row>
    <row r="130" spans="1:8" ht="12.75">
      <c r="A130" s="167"/>
      <c r="B130" s="150"/>
      <c r="C130" s="150">
        <v>4370</v>
      </c>
      <c r="D130" s="152" t="s">
        <v>658</v>
      </c>
      <c r="E130" s="153">
        <v>0</v>
      </c>
      <c r="F130" s="154">
        <v>500</v>
      </c>
      <c r="G130" s="155">
        <v>0</v>
      </c>
      <c r="H130" s="139">
        <f t="shared" si="9"/>
        <v>500</v>
      </c>
    </row>
    <row r="131" spans="1:8" ht="12.75">
      <c r="A131" s="167"/>
      <c r="B131" s="150"/>
      <c r="C131" s="150">
        <v>4410</v>
      </c>
      <c r="D131" s="152" t="s">
        <v>659</v>
      </c>
      <c r="E131" s="153">
        <v>700</v>
      </c>
      <c r="F131" s="154">
        <v>1400</v>
      </c>
      <c r="G131" s="155">
        <f>F131/E131*100</f>
        <v>200</v>
      </c>
      <c r="H131" s="139">
        <f t="shared" si="9"/>
        <v>2100</v>
      </c>
    </row>
    <row r="132" spans="1:8" ht="12.75">
      <c r="A132" s="167"/>
      <c r="B132" s="150"/>
      <c r="C132" s="150">
        <v>4420</v>
      </c>
      <c r="D132" s="152" t="s">
        <v>694</v>
      </c>
      <c r="E132" s="153">
        <v>0</v>
      </c>
      <c r="F132" s="154">
        <v>500</v>
      </c>
      <c r="G132" s="155">
        <v>0</v>
      </c>
      <c r="H132" s="139">
        <f t="shared" si="9"/>
        <v>500</v>
      </c>
    </row>
    <row r="133" spans="1:8" ht="12.75">
      <c r="A133" s="167"/>
      <c r="B133" s="150"/>
      <c r="C133" s="150">
        <v>4580</v>
      </c>
      <c r="D133" s="152" t="s">
        <v>667</v>
      </c>
      <c r="E133" s="153">
        <v>12</v>
      </c>
      <c r="F133" s="154">
        <v>0</v>
      </c>
      <c r="G133" s="155">
        <f>F133/E133*100</f>
        <v>0</v>
      </c>
      <c r="H133" s="139">
        <f t="shared" si="9"/>
        <v>12</v>
      </c>
    </row>
    <row r="134" spans="1:8" ht="12.75">
      <c r="A134" s="167"/>
      <c r="B134" s="150"/>
      <c r="C134" s="150"/>
      <c r="D134" s="152"/>
      <c r="E134" s="153"/>
      <c r="F134" s="154"/>
      <c r="G134" s="153"/>
      <c r="H134" s="139"/>
    </row>
    <row r="135" spans="1:8" ht="12.75">
      <c r="A135" s="167"/>
      <c r="B135" s="109">
        <v>75020</v>
      </c>
      <c r="C135" s="145"/>
      <c r="D135" s="92" t="s">
        <v>695</v>
      </c>
      <c r="E135" s="146">
        <f>SUM(E136:E160)</f>
        <v>3552602</v>
      </c>
      <c r="F135" s="147">
        <f>SUM(F136:F160)</f>
        <v>4246194</v>
      </c>
      <c r="G135" s="158">
        <f aca="true" t="shared" si="10" ref="G135:G147">F135/E135*100</f>
        <v>119.52349292152624</v>
      </c>
      <c r="H135" s="149">
        <f aca="true" t="shared" si="11" ref="H135:H159">E135+F135</f>
        <v>7798796</v>
      </c>
    </row>
    <row r="136" spans="1:8" ht="12.75">
      <c r="A136" s="167"/>
      <c r="B136" s="150"/>
      <c r="C136" s="150">
        <v>3020</v>
      </c>
      <c r="D136" s="152" t="s">
        <v>646</v>
      </c>
      <c r="E136" s="153">
        <v>3274</v>
      </c>
      <c r="F136" s="154">
        <v>3260</v>
      </c>
      <c r="G136" s="155">
        <f t="shared" si="10"/>
        <v>99.57238851557727</v>
      </c>
      <c r="H136" s="139">
        <f t="shared" si="11"/>
        <v>6534</v>
      </c>
    </row>
    <row r="137" spans="1:10" ht="12.75">
      <c r="A137" s="167"/>
      <c r="B137" s="173"/>
      <c r="C137" s="150">
        <v>4010</v>
      </c>
      <c r="D137" s="152" t="s">
        <v>647</v>
      </c>
      <c r="E137" s="153">
        <v>1848949</v>
      </c>
      <c r="F137" s="154">
        <f>1864707+93235</f>
        <v>1957942</v>
      </c>
      <c r="G137" s="155">
        <f t="shared" si="10"/>
        <v>105.89486243265769</v>
      </c>
      <c r="H137" s="139">
        <f t="shared" si="11"/>
        <v>3806891</v>
      </c>
      <c r="J137" s="122">
        <f>SUM(H137:H141)</f>
        <v>4955379</v>
      </c>
    </row>
    <row r="138" spans="1:8" ht="12.75">
      <c r="A138" s="167"/>
      <c r="B138" s="173"/>
      <c r="C138" s="150">
        <v>4040</v>
      </c>
      <c r="D138" s="152" t="s">
        <v>648</v>
      </c>
      <c r="E138" s="153">
        <v>147416</v>
      </c>
      <c r="F138" s="154">
        <v>147874</v>
      </c>
      <c r="G138" s="155">
        <f t="shared" si="10"/>
        <v>100.31068540728279</v>
      </c>
      <c r="H138" s="139">
        <f t="shared" si="11"/>
        <v>295290</v>
      </c>
    </row>
    <row r="139" spans="1:10" ht="12.75">
      <c r="A139" s="167"/>
      <c r="B139" s="150"/>
      <c r="C139" s="150">
        <v>4110</v>
      </c>
      <c r="D139" s="152" t="s">
        <v>649</v>
      </c>
      <c r="E139" s="153">
        <v>314600</v>
      </c>
      <c r="F139" s="154">
        <f>334470+16027</f>
        <v>350497</v>
      </c>
      <c r="G139" s="155">
        <f t="shared" si="10"/>
        <v>111.41036236490783</v>
      </c>
      <c r="H139" s="139">
        <f t="shared" si="11"/>
        <v>665097</v>
      </c>
      <c r="J139" s="122">
        <f>SUM(F137:F141)</f>
        <v>2556050</v>
      </c>
    </row>
    <row r="140" spans="1:8" ht="12.75">
      <c r="A140" s="167"/>
      <c r="B140" s="150"/>
      <c r="C140" s="150">
        <v>4120</v>
      </c>
      <c r="D140" s="152" t="s">
        <v>650</v>
      </c>
      <c r="E140" s="153">
        <v>44744</v>
      </c>
      <c r="F140" s="154">
        <f>47560+1165</f>
        <v>48725</v>
      </c>
      <c r="G140" s="155">
        <f t="shared" si="10"/>
        <v>108.89728231718219</v>
      </c>
      <c r="H140" s="139">
        <f t="shared" si="11"/>
        <v>93469</v>
      </c>
    </row>
    <row r="141" spans="1:8" ht="12.75">
      <c r="A141" s="167"/>
      <c r="B141" s="150"/>
      <c r="C141" s="150">
        <v>4170</v>
      </c>
      <c r="D141" s="152" t="s">
        <v>651</v>
      </c>
      <c r="E141" s="153">
        <v>43620</v>
      </c>
      <c r="F141" s="154">
        <v>51012</v>
      </c>
      <c r="G141" s="155">
        <f t="shared" si="10"/>
        <v>116.94635488308116</v>
      </c>
      <c r="H141" s="139">
        <f t="shared" si="11"/>
        <v>94632</v>
      </c>
    </row>
    <row r="142" spans="1:8" ht="12.75">
      <c r="A142" s="167"/>
      <c r="B142" s="150"/>
      <c r="C142" s="150">
        <v>4210</v>
      </c>
      <c r="D142" s="152" t="s">
        <v>652</v>
      </c>
      <c r="E142" s="153">
        <v>158450</v>
      </c>
      <c r="F142" s="154">
        <v>156122</v>
      </c>
      <c r="G142" s="155">
        <f t="shared" si="10"/>
        <v>98.53076680340801</v>
      </c>
      <c r="H142" s="139">
        <f t="shared" si="11"/>
        <v>314572</v>
      </c>
    </row>
    <row r="143" spans="1:8" ht="12.75">
      <c r="A143" s="167"/>
      <c r="B143" s="150"/>
      <c r="C143" s="150">
        <v>4260</v>
      </c>
      <c r="D143" s="152" t="s">
        <v>653</v>
      </c>
      <c r="E143" s="153">
        <v>57507</v>
      </c>
      <c r="F143" s="154">
        <v>57500</v>
      </c>
      <c r="G143" s="155">
        <f t="shared" si="10"/>
        <v>99.9878275688177</v>
      </c>
      <c r="H143" s="139">
        <f t="shared" si="11"/>
        <v>115007</v>
      </c>
    </row>
    <row r="144" spans="1:8" ht="12.75">
      <c r="A144" s="167"/>
      <c r="B144" s="150"/>
      <c r="C144" s="150">
        <v>4270</v>
      </c>
      <c r="D144" s="152" t="s">
        <v>654</v>
      </c>
      <c r="E144" s="153">
        <v>34643</v>
      </c>
      <c r="F144" s="154">
        <v>7700</v>
      </c>
      <c r="G144" s="155">
        <f t="shared" si="10"/>
        <v>22.226712467165083</v>
      </c>
      <c r="H144" s="139">
        <f t="shared" si="11"/>
        <v>42343</v>
      </c>
    </row>
    <row r="145" spans="1:8" ht="12.75">
      <c r="A145" s="167"/>
      <c r="B145" s="150"/>
      <c r="C145" s="150">
        <v>4280</v>
      </c>
      <c r="D145" s="152" t="s">
        <v>655</v>
      </c>
      <c r="E145" s="153">
        <v>3696</v>
      </c>
      <c r="F145" s="154">
        <v>3700</v>
      </c>
      <c r="G145" s="155">
        <f t="shared" si="10"/>
        <v>100.1082251082251</v>
      </c>
      <c r="H145" s="139">
        <f t="shared" si="11"/>
        <v>7396</v>
      </c>
    </row>
    <row r="146" spans="1:8" ht="12.75">
      <c r="A146" s="167"/>
      <c r="B146" s="150"/>
      <c r="C146" s="150">
        <v>4300</v>
      </c>
      <c r="D146" s="152" t="s">
        <v>641</v>
      </c>
      <c r="E146" s="153">
        <v>665777</v>
      </c>
      <c r="F146" s="154">
        <v>665780</v>
      </c>
      <c r="G146" s="155">
        <f t="shared" si="10"/>
        <v>100.00045060132747</v>
      </c>
      <c r="H146" s="139">
        <f t="shared" si="11"/>
        <v>1331557</v>
      </c>
    </row>
    <row r="147" spans="1:8" ht="12.75">
      <c r="A147" s="167"/>
      <c r="B147" s="150"/>
      <c r="C147" s="150">
        <v>4350</v>
      </c>
      <c r="D147" s="152" t="s">
        <v>696</v>
      </c>
      <c r="E147" s="153">
        <v>9029</v>
      </c>
      <c r="F147" s="154">
        <v>6040</v>
      </c>
      <c r="G147" s="155">
        <f t="shared" si="10"/>
        <v>66.89555875512238</v>
      </c>
      <c r="H147" s="139">
        <f t="shared" si="11"/>
        <v>15069</v>
      </c>
    </row>
    <row r="148" spans="1:8" ht="12.75">
      <c r="A148" s="167"/>
      <c r="B148" s="150"/>
      <c r="C148" s="150">
        <v>4360</v>
      </c>
      <c r="D148" s="152" t="s">
        <v>697</v>
      </c>
      <c r="E148" s="153">
        <v>0</v>
      </c>
      <c r="F148" s="154">
        <v>6280</v>
      </c>
      <c r="G148" s="155">
        <v>0</v>
      </c>
      <c r="H148" s="139">
        <f t="shared" si="11"/>
        <v>6280</v>
      </c>
    </row>
    <row r="149" spans="1:8" ht="12.75">
      <c r="A149" s="167"/>
      <c r="B149" s="150"/>
      <c r="C149" s="150">
        <v>4370</v>
      </c>
      <c r="D149" s="152" t="s">
        <v>658</v>
      </c>
      <c r="E149" s="153">
        <v>0</v>
      </c>
      <c r="F149" s="154">
        <v>30000</v>
      </c>
      <c r="G149" s="155">
        <v>0</v>
      </c>
      <c r="H149" s="139">
        <f t="shared" si="11"/>
        <v>30000</v>
      </c>
    </row>
    <row r="150" spans="1:8" ht="12.75">
      <c r="A150" s="167"/>
      <c r="B150" s="150"/>
      <c r="C150" s="150">
        <v>4410</v>
      </c>
      <c r="D150" s="152" t="s">
        <v>659</v>
      </c>
      <c r="E150" s="153">
        <v>15000</v>
      </c>
      <c r="F150" s="154">
        <v>12672</v>
      </c>
      <c r="G150" s="155">
        <f aca="true" t="shared" si="12" ref="G150:G155">F150/E150*100</f>
        <v>84.48</v>
      </c>
      <c r="H150" s="139">
        <f t="shared" si="11"/>
        <v>27672</v>
      </c>
    </row>
    <row r="151" spans="1:8" ht="12.75">
      <c r="A151" s="167"/>
      <c r="B151" s="150"/>
      <c r="C151" s="150">
        <v>4420</v>
      </c>
      <c r="D151" s="152" t="s">
        <v>694</v>
      </c>
      <c r="E151" s="153">
        <v>750</v>
      </c>
      <c r="F151" s="154">
        <v>1000</v>
      </c>
      <c r="G151" s="155">
        <f t="shared" si="12"/>
        <v>133.33333333333331</v>
      </c>
      <c r="H151" s="139">
        <f t="shared" si="11"/>
        <v>1750</v>
      </c>
    </row>
    <row r="152" spans="1:8" ht="12.75">
      <c r="A152" s="167"/>
      <c r="B152" s="150"/>
      <c r="C152" s="150">
        <v>4430</v>
      </c>
      <c r="D152" s="152" t="s">
        <v>660</v>
      </c>
      <c r="E152" s="153">
        <v>5251</v>
      </c>
      <c r="F152" s="154">
        <v>5000</v>
      </c>
      <c r="G152" s="155">
        <f t="shared" si="12"/>
        <v>95.21995810321843</v>
      </c>
      <c r="H152" s="139">
        <f t="shared" si="11"/>
        <v>10251</v>
      </c>
    </row>
    <row r="153" spans="1:8" ht="12.75">
      <c r="A153" s="167"/>
      <c r="B153" s="150"/>
      <c r="C153" s="150">
        <v>4440</v>
      </c>
      <c r="D153" s="152" t="s">
        <v>661</v>
      </c>
      <c r="E153" s="153">
        <v>54150</v>
      </c>
      <c r="F153" s="154">
        <v>53840</v>
      </c>
      <c r="G153" s="155">
        <f t="shared" si="12"/>
        <v>99.4275161588181</v>
      </c>
      <c r="H153" s="139">
        <f t="shared" si="11"/>
        <v>107990</v>
      </c>
    </row>
    <row r="154" spans="1:8" ht="12.75">
      <c r="A154" s="167"/>
      <c r="B154" s="150"/>
      <c r="C154" s="150">
        <v>4530</v>
      </c>
      <c r="D154" s="152" t="s">
        <v>666</v>
      </c>
      <c r="E154" s="153">
        <v>1250</v>
      </c>
      <c r="F154" s="154">
        <v>1000</v>
      </c>
      <c r="G154" s="155">
        <f t="shared" si="12"/>
        <v>80</v>
      </c>
      <c r="H154" s="139">
        <f t="shared" si="11"/>
        <v>2250</v>
      </c>
    </row>
    <row r="155" spans="1:8" ht="12.75">
      <c r="A155" s="167"/>
      <c r="B155" s="150"/>
      <c r="C155" s="150">
        <v>4580</v>
      </c>
      <c r="D155" s="152" t="s">
        <v>667</v>
      </c>
      <c r="E155" s="153">
        <v>31</v>
      </c>
      <c r="F155" s="154">
        <v>0</v>
      </c>
      <c r="G155" s="155">
        <f t="shared" si="12"/>
        <v>0</v>
      </c>
      <c r="H155" s="139">
        <f t="shared" si="11"/>
        <v>31</v>
      </c>
    </row>
    <row r="156" spans="1:8" ht="12.75">
      <c r="A156" s="167"/>
      <c r="B156" s="150"/>
      <c r="C156" s="150">
        <v>4700</v>
      </c>
      <c r="D156" s="152" t="s">
        <v>681</v>
      </c>
      <c r="E156" s="153">
        <v>0</v>
      </c>
      <c r="F156" s="154">
        <v>5000</v>
      </c>
      <c r="G156" s="155">
        <v>0</v>
      </c>
      <c r="H156" s="139">
        <f t="shared" si="11"/>
        <v>5000</v>
      </c>
    </row>
    <row r="157" spans="1:8" ht="12.75">
      <c r="A157" s="167"/>
      <c r="B157" s="150"/>
      <c r="C157" s="150">
        <v>4740</v>
      </c>
      <c r="D157" s="152" t="s">
        <v>690</v>
      </c>
      <c r="E157" s="153">
        <v>0</v>
      </c>
      <c r="F157" s="154">
        <v>6000</v>
      </c>
      <c r="G157" s="155">
        <v>0</v>
      </c>
      <c r="H157" s="139">
        <f t="shared" si="11"/>
        <v>6000</v>
      </c>
    </row>
    <row r="158" spans="1:8" ht="12.75">
      <c r="A158" s="167"/>
      <c r="B158" s="150"/>
      <c r="C158" s="150">
        <v>4750</v>
      </c>
      <c r="D158" s="152" t="s">
        <v>691</v>
      </c>
      <c r="E158" s="153">
        <v>0</v>
      </c>
      <c r="F158" s="154">
        <v>5000</v>
      </c>
      <c r="G158" s="155">
        <v>0</v>
      </c>
      <c r="H158" s="139">
        <f t="shared" si="11"/>
        <v>5000</v>
      </c>
    </row>
    <row r="159" spans="1:8" ht="12.75">
      <c r="A159" s="167"/>
      <c r="B159" s="150"/>
      <c r="C159" s="150">
        <v>6050</v>
      </c>
      <c r="D159" s="152" t="s">
        <v>668</v>
      </c>
      <c r="E159" s="153">
        <v>74465</v>
      </c>
      <c r="F159" s="982">
        <v>520000</v>
      </c>
      <c r="G159" s="155">
        <f>F159/E159*100</f>
        <v>698.3146444638421</v>
      </c>
      <c r="H159" s="139">
        <f t="shared" si="11"/>
        <v>594465</v>
      </c>
    </row>
    <row r="160" spans="1:8" ht="12.75">
      <c r="A160" s="167"/>
      <c r="B160" s="150"/>
      <c r="C160" s="150">
        <v>6060</v>
      </c>
      <c r="D160" s="152" t="s">
        <v>698</v>
      </c>
      <c r="E160" s="153">
        <v>70000</v>
      </c>
      <c r="F160" s="982">
        <v>144250</v>
      </c>
      <c r="G160" s="155">
        <f>F160/E160*100</f>
        <v>206.07142857142856</v>
      </c>
      <c r="H160" s="139">
        <f>F160+E160</f>
        <v>214250</v>
      </c>
    </row>
    <row r="161" spans="1:8" ht="12.75">
      <c r="A161" s="167"/>
      <c r="B161" s="150"/>
      <c r="C161" s="150"/>
      <c r="D161" s="152"/>
      <c r="E161" s="153"/>
      <c r="F161" s="154"/>
      <c r="G161" s="153"/>
      <c r="H161" s="139"/>
    </row>
    <row r="162" spans="1:8" ht="12.75">
      <c r="A162" s="167"/>
      <c r="B162" s="109">
        <v>75045</v>
      </c>
      <c r="C162" s="145"/>
      <c r="D162" s="92" t="s">
        <v>699</v>
      </c>
      <c r="E162" s="146">
        <f>SUM(E163:E172)</f>
        <v>15999</v>
      </c>
      <c r="F162" s="146">
        <f>SUM(F163:F172)</f>
        <v>17000</v>
      </c>
      <c r="G162" s="158">
        <f aca="true" t="shared" si="13" ref="G162:G168">F162/E162*100</f>
        <v>106.256641040065</v>
      </c>
      <c r="H162" s="149">
        <f aca="true" t="shared" si="14" ref="H162:H172">E162+F162</f>
        <v>32999</v>
      </c>
    </row>
    <row r="163" spans="1:8" ht="12.75">
      <c r="A163" s="167"/>
      <c r="B163" s="150"/>
      <c r="C163" s="150">
        <v>3030</v>
      </c>
      <c r="D163" s="152" t="s">
        <v>693</v>
      </c>
      <c r="E163" s="153">
        <v>1330</v>
      </c>
      <c r="F163" s="154">
        <v>1350</v>
      </c>
      <c r="G163" s="155">
        <f t="shared" si="13"/>
        <v>101.50375939849626</v>
      </c>
      <c r="H163" s="139">
        <f t="shared" si="14"/>
        <v>2680</v>
      </c>
    </row>
    <row r="164" spans="1:10" ht="12.75">
      <c r="A164" s="167"/>
      <c r="B164" s="150"/>
      <c r="C164" s="150">
        <v>4110</v>
      </c>
      <c r="D164" s="152" t="s">
        <v>649</v>
      </c>
      <c r="E164" s="153">
        <v>885</v>
      </c>
      <c r="F164" s="154">
        <v>910</v>
      </c>
      <c r="G164" s="155">
        <f t="shared" si="13"/>
        <v>102.82485875706216</v>
      </c>
      <c r="H164" s="139">
        <f t="shared" si="14"/>
        <v>1795</v>
      </c>
      <c r="J164" s="122">
        <f>SUM(H164:H166)</f>
        <v>15861</v>
      </c>
    </row>
    <row r="165" spans="1:8" ht="12.75">
      <c r="A165" s="167"/>
      <c r="B165" s="150"/>
      <c r="C165" s="150">
        <v>4120</v>
      </c>
      <c r="D165" s="152" t="s">
        <v>650</v>
      </c>
      <c r="E165" s="153">
        <v>126</v>
      </c>
      <c r="F165" s="154">
        <v>140</v>
      </c>
      <c r="G165" s="155">
        <f t="shared" si="13"/>
        <v>111.11111111111111</v>
      </c>
      <c r="H165" s="139">
        <f t="shared" si="14"/>
        <v>266</v>
      </c>
    </row>
    <row r="166" spans="1:8" ht="12.75">
      <c r="A166" s="167"/>
      <c r="B166" s="150"/>
      <c r="C166" s="150">
        <v>4170</v>
      </c>
      <c r="D166" s="152" t="s">
        <v>651</v>
      </c>
      <c r="E166" s="153">
        <v>6800</v>
      </c>
      <c r="F166" s="154">
        <v>7000</v>
      </c>
      <c r="G166" s="155">
        <f t="shared" si="13"/>
        <v>102.94117647058823</v>
      </c>
      <c r="H166" s="139">
        <f t="shared" si="14"/>
        <v>13800</v>
      </c>
    </row>
    <row r="167" spans="1:8" ht="12.75">
      <c r="A167" s="167"/>
      <c r="B167" s="150"/>
      <c r="C167" s="150">
        <v>4210</v>
      </c>
      <c r="D167" s="152" t="s">
        <v>652</v>
      </c>
      <c r="E167" s="153">
        <v>4340</v>
      </c>
      <c r="F167" s="154">
        <v>4350</v>
      </c>
      <c r="G167" s="155">
        <f t="shared" si="13"/>
        <v>100.23041474654377</v>
      </c>
      <c r="H167" s="139">
        <f t="shared" si="14"/>
        <v>8690</v>
      </c>
    </row>
    <row r="168" spans="1:8" ht="12.75">
      <c r="A168" s="167"/>
      <c r="B168" s="150"/>
      <c r="C168" s="150">
        <v>4300</v>
      </c>
      <c r="D168" s="152" t="s">
        <v>641</v>
      </c>
      <c r="E168" s="153">
        <v>2518</v>
      </c>
      <c r="F168" s="154">
        <v>2300</v>
      </c>
      <c r="G168" s="155">
        <f t="shared" si="13"/>
        <v>91.34233518665607</v>
      </c>
      <c r="H168" s="139">
        <f t="shared" si="14"/>
        <v>4818</v>
      </c>
    </row>
    <row r="169" spans="1:8" ht="12.75">
      <c r="A169" s="167"/>
      <c r="B169" s="150"/>
      <c r="C169" s="150">
        <v>4370</v>
      </c>
      <c r="D169" s="152" t="s">
        <v>658</v>
      </c>
      <c r="E169" s="153">
        <v>0</v>
      </c>
      <c r="F169" s="154">
        <v>400</v>
      </c>
      <c r="G169" s="155">
        <v>0</v>
      </c>
      <c r="H169" s="139">
        <f t="shared" si="14"/>
        <v>400</v>
      </c>
    </row>
    <row r="170" spans="1:8" ht="12.75">
      <c r="A170" s="167"/>
      <c r="B170" s="150"/>
      <c r="C170" s="150">
        <v>4410</v>
      </c>
      <c r="D170" s="152" t="s">
        <v>659</v>
      </c>
      <c r="E170" s="153">
        <v>0</v>
      </c>
      <c r="F170" s="154">
        <v>200</v>
      </c>
      <c r="G170" s="155">
        <v>0</v>
      </c>
      <c r="H170" s="139">
        <f t="shared" si="14"/>
        <v>200</v>
      </c>
    </row>
    <row r="171" spans="1:8" ht="12.75">
      <c r="A171" s="167"/>
      <c r="B171" s="150"/>
      <c r="C171" s="150">
        <v>4740</v>
      </c>
      <c r="D171" s="152" t="s">
        <v>690</v>
      </c>
      <c r="E171" s="153">
        <v>0</v>
      </c>
      <c r="F171" s="154">
        <v>200</v>
      </c>
      <c r="G171" s="155">
        <v>0</v>
      </c>
      <c r="H171" s="139">
        <f t="shared" si="14"/>
        <v>200</v>
      </c>
    </row>
    <row r="172" spans="1:8" ht="12.75">
      <c r="A172" s="167"/>
      <c r="B172" s="150"/>
      <c r="C172" s="150">
        <v>4750</v>
      </c>
      <c r="D172" s="152" t="s">
        <v>691</v>
      </c>
      <c r="E172" s="153">
        <v>0</v>
      </c>
      <c r="F172" s="154">
        <v>150</v>
      </c>
      <c r="G172" s="155">
        <v>0</v>
      </c>
      <c r="H172" s="139">
        <f t="shared" si="14"/>
        <v>150</v>
      </c>
    </row>
    <row r="173" spans="1:8" ht="12.75">
      <c r="A173" s="167"/>
      <c r="B173" s="150"/>
      <c r="C173" s="150"/>
      <c r="D173" s="152"/>
      <c r="E173" s="153"/>
      <c r="F173" s="154"/>
      <c r="G173" s="153"/>
      <c r="H173" s="139"/>
    </row>
    <row r="174" spans="1:8" ht="12.75">
      <c r="A174" s="167"/>
      <c r="B174" s="109">
        <v>75095</v>
      </c>
      <c r="C174" s="145"/>
      <c r="D174" s="92" t="s">
        <v>621</v>
      </c>
      <c r="E174" s="146">
        <f>SUM(E175:E181)</f>
        <v>38050</v>
      </c>
      <c r="F174" s="147">
        <f>SUM(F175:F181)</f>
        <v>15000</v>
      </c>
      <c r="G174" s="158">
        <f>F174/E174*100</f>
        <v>39.42181340341656</v>
      </c>
      <c r="H174" s="149">
        <f aca="true" t="shared" si="15" ref="H174:H181">E174+F174</f>
        <v>53050</v>
      </c>
    </row>
    <row r="175" spans="1:8" ht="12.75">
      <c r="A175" s="167"/>
      <c r="B175" s="150"/>
      <c r="C175" s="151" t="s">
        <v>700</v>
      </c>
      <c r="D175" s="152" t="s">
        <v>651</v>
      </c>
      <c r="E175" s="153">
        <v>28000</v>
      </c>
      <c r="F175" s="154">
        <v>0</v>
      </c>
      <c r="G175" s="155">
        <v>0</v>
      </c>
      <c r="H175" s="139">
        <f t="shared" si="15"/>
        <v>28000</v>
      </c>
    </row>
    <row r="176" spans="1:8" ht="12.75">
      <c r="A176" s="167"/>
      <c r="B176" s="150"/>
      <c r="C176" s="151" t="s">
        <v>676</v>
      </c>
      <c r="D176" s="152" t="s">
        <v>652</v>
      </c>
      <c r="E176" s="153">
        <v>1940</v>
      </c>
      <c r="F176" s="154">
        <v>5000</v>
      </c>
      <c r="G176" s="155">
        <f>F176/E176*100</f>
        <v>257.7319587628866</v>
      </c>
      <c r="H176" s="139">
        <f t="shared" si="15"/>
        <v>6940</v>
      </c>
    </row>
    <row r="177" spans="1:8" ht="12.75">
      <c r="A177" s="167"/>
      <c r="B177" s="150"/>
      <c r="C177" s="151" t="s">
        <v>640</v>
      </c>
      <c r="D177" s="152" t="s">
        <v>641</v>
      </c>
      <c r="E177" s="153">
        <v>60</v>
      </c>
      <c r="F177" s="154">
        <v>0</v>
      </c>
      <c r="G177" s="155">
        <f>F177/E177*100</f>
        <v>0</v>
      </c>
      <c r="H177" s="139">
        <f t="shared" si="15"/>
        <v>60</v>
      </c>
    </row>
    <row r="178" spans="1:8" ht="12.75">
      <c r="A178" s="167"/>
      <c r="B178" s="150"/>
      <c r="C178" s="150">
        <v>4430</v>
      </c>
      <c r="D178" s="152" t="s">
        <v>660</v>
      </c>
      <c r="E178" s="153">
        <v>8050</v>
      </c>
      <c r="F178" s="154">
        <v>8000</v>
      </c>
      <c r="G178" s="155">
        <f>F178/E178*100</f>
        <v>99.37888198757764</v>
      </c>
      <c r="H178" s="139">
        <f t="shared" si="15"/>
        <v>16050</v>
      </c>
    </row>
    <row r="179" spans="1:8" ht="12.75">
      <c r="A179" s="167"/>
      <c r="B179" s="150"/>
      <c r="C179" s="150">
        <v>4750</v>
      </c>
      <c r="D179" s="152" t="s">
        <v>691</v>
      </c>
      <c r="E179" s="153">
        <v>0</v>
      </c>
      <c r="F179" s="154">
        <v>2000</v>
      </c>
      <c r="G179" s="155">
        <v>0</v>
      </c>
      <c r="H179" s="139">
        <f t="shared" si="15"/>
        <v>2000</v>
      </c>
    </row>
    <row r="180" spans="1:8" ht="12.75">
      <c r="A180" s="167"/>
      <c r="B180" s="150"/>
      <c r="C180" s="150">
        <v>6050</v>
      </c>
      <c r="D180" s="152" t="s">
        <v>668</v>
      </c>
      <c r="E180" s="153">
        <v>0</v>
      </c>
      <c r="F180" s="154">
        <v>0</v>
      </c>
      <c r="G180" s="155">
        <v>0</v>
      </c>
      <c r="H180" s="139">
        <f t="shared" si="15"/>
        <v>0</v>
      </c>
    </row>
    <row r="181" spans="1:8" ht="12.75">
      <c r="A181" s="167"/>
      <c r="B181" s="150"/>
      <c r="C181" s="150">
        <v>6060</v>
      </c>
      <c r="D181" s="152" t="s">
        <v>698</v>
      </c>
      <c r="E181" s="153">
        <v>0</v>
      </c>
      <c r="F181" s="154">
        <v>0</v>
      </c>
      <c r="G181" s="155">
        <v>0</v>
      </c>
      <c r="H181" s="139">
        <f t="shared" si="15"/>
        <v>0</v>
      </c>
    </row>
    <row r="182" spans="1:8" ht="12.75">
      <c r="A182" s="167"/>
      <c r="B182" s="150"/>
      <c r="C182" s="150"/>
      <c r="D182" s="152"/>
      <c r="E182" s="153"/>
      <c r="F182" s="154"/>
      <c r="G182" s="155"/>
      <c r="H182" s="139"/>
    </row>
    <row r="183" spans="1:8" ht="12.75">
      <c r="A183" s="167"/>
      <c r="B183" s="150"/>
      <c r="C183" s="150"/>
      <c r="D183" s="174" t="s">
        <v>701</v>
      </c>
      <c r="E183" s="153"/>
      <c r="F183" s="154"/>
      <c r="G183" s="153"/>
      <c r="H183" s="139"/>
    </row>
    <row r="184" spans="1:8" ht="13.5" thickBot="1">
      <c r="A184" s="107">
        <v>751</v>
      </c>
      <c r="B184" s="140"/>
      <c r="C184" s="140"/>
      <c r="D184" s="175" t="s">
        <v>702</v>
      </c>
      <c r="E184" s="141">
        <f>E186</f>
        <v>18109</v>
      </c>
      <c r="F184" s="141">
        <f>F186</f>
        <v>0</v>
      </c>
      <c r="G184" s="176">
        <f>F184/E184*100</f>
        <v>0</v>
      </c>
      <c r="H184" s="177">
        <f>E184+F184</f>
        <v>18109</v>
      </c>
    </row>
    <row r="185" spans="1:8" ht="12.75">
      <c r="A185" s="167"/>
      <c r="B185" s="150">
        <v>75109</v>
      </c>
      <c r="C185" s="150"/>
      <c r="D185" s="178" t="s">
        <v>703</v>
      </c>
      <c r="E185" s="153"/>
      <c r="F185" s="154"/>
      <c r="G185" s="153"/>
      <c r="H185" s="139"/>
    </row>
    <row r="186" spans="1:8" ht="12.75">
      <c r="A186" s="167"/>
      <c r="B186" s="109"/>
      <c r="C186" s="145"/>
      <c r="D186" s="179" t="s">
        <v>704</v>
      </c>
      <c r="E186" s="146">
        <f>SUM(E187:E192)</f>
        <v>18109</v>
      </c>
      <c r="F186" s="146">
        <f>SUM(F187:F192)</f>
        <v>0</v>
      </c>
      <c r="G186" s="158">
        <f aca="true" t="shared" si="16" ref="G186:G192">F186/E186*100</f>
        <v>0</v>
      </c>
      <c r="H186" s="149">
        <f aca="true" t="shared" si="17" ref="H186:H192">E186+F186</f>
        <v>18109</v>
      </c>
    </row>
    <row r="187" spans="1:8" ht="12.75">
      <c r="A187" s="167"/>
      <c r="B187" s="150"/>
      <c r="C187" s="150">
        <v>3030</v>
      </c>
      <c r="D187" s="152" t="s">
        <v>693</v>
      </c>
      <c r="E187" s="153">
        <v>1470</v>
      </c>
      <c r="F187" s="154">
        <v>0</v>
      </c>
      <c r="G187" s="155">
        <f t="shared" si="16"/>
        <v>0</v>
      </c>
      <c r="H187" s="139">
        <f t="shared" si="17"/>
        <v>1470</v>
      </c>
    </row>
    <row r="188" spans="1:8" ht="12.75">
      <c r="A188" s="167"/>
      <c r="B188" s="150"/>
      <c r="C188" s="150">
        <v>4110</v>
      </c>
      <c r="D188" s="152" t="s">
        <v>649</v>
      </c>
      <c r="E188" s="153">
        <v>891</v>
      </c>
      <c r="F188" s="154">
        <v>0</v>
      </c>
      <c r="G188" s="155">
        <f t="shared" si="16"/>
        <v>0</v>
      </c>
      <c r="H188" s="139">
        <f t="shared" si="17"/>
        <v>891</v>
      </c>
    </row>
    <row r="189" spans="1:8" ht="12.75">
      <c r="A189" s="167"/>
      <c r="B189" s="150"/>
      <c r="C189" s="150">
        <v>4120</v>
      </c>
      <c r="D189" s="152" t="s">
        <v>650</v>
      </c>
      <c r="E189" s="153">
        <v>122</v>
      </c>
      <c r="F189" s="154">
        <v>0</v>
      </c>
      <c r="G189" s="155">
        <f t="shared" si="16"/>
        <v>0</v>
      </c>
      <c r="H189" s="139">
        <f t="shared" si="17"/>
        <v>122</v>
      </c>
    </row>
    <row r="190" spans="1:8" ht="12.75">
      <c r="A190" s="167"/>
      <c r="B190" s="150"/>
      <c r="C190" s="150">
        <v>4170</v>
      </c>
      <c r="D190" s="152" t="s">
        <v>651</v>
      </c>
      <c r="E190" s="153">
        <v>5000</v>
      </c>
      <c r="F190" s="154">
        <v>0</v>
      </c>
      <c r="G190" s="155">
        <f t="shared" si="16"/>
        <v>0</v>
      </c>
      <c r="H190" s="139">
        <f t="shared" si="17"/>
        <v>5000</v>
      </c>
    </row>
    <row r="191" spans="1:8" ht="12.75">
      <c r="A191" s="167"/>
      <c r="B191" s="150"/>
      <c r="C191" s="150">
        <v>4210</v>
      </c>
      <c r="D191" s="152" t="s">
        <v>652</v>
      </c>
      <c r="E191" s="153">
        <v>6626</v>
      </c>
      <c r="F191" s="154">
        <v>0</v>
      </c>
      <c r="G191" s="155">
        <f t="shared" si="16"/>
        <v>0</v>
      </c>
      <c r="H191" s="139">
        <f t="shared" si="17"/>
        <v>6626</v>
      </c>
    </row>
    <row r="192" spans="1:8" ht="12.75">
      <c r="A192" s="167"/>
      <c r="B192" s="150"/>
      <c r="C192" s="150">
        <v>4300</v>
      </c>
      <c r="D192" s="152" t="s">
        <v>641</v>
      </c>
      <c r="E192" s="153">
        <v>4000</v>
      </c>
      <c r="F192" s="154">
        <v>0</v>
      </c>
      <c r="G192" s="155">
        <f t="shared" si="16"/>
        <v>0</v>
      </c>
      <c r="H192" s="139">
        <f t="shared" si="17"/>
        <v>4000</v>
      </c>
    </row>
    <row r="193" spans="1:8" ht="12.75">
      <c r="A193" s="167"/>
      <c r="B193" s="150"/>
      <c r="C193" s="150"/>
      <c r="D193" s="152"/>
      <c r="E193" s="153"/>
      <c r="F193" s="154"/>
      <c r="G193" s="153"/>
      <c r="H193" s="139"/>
    </row>
    <row r="194" spans="1:8" ht="13.5" thickBot="1">
      <c r="A194" s="107">
        <v>754</v>
      </c>
      <c r="B194" s="140"/>
      <c r="C194" s="140"/>
      <c r="D194" s="100" t="s">
        <v>705</v>
      </c>
      <c r="E194" s="141">
        <f>E201+E195</f>
        <v>15300</v>
      </c>
      <c r="F194" s="159">
        <f>F201+F195</f>
        <v>8300</v>
      </c>
      <c r="G194" s="142">
        <f>F194/E194*100</f>
        <v>54.248366013071895</v>
      </c>
      <c r="H194" s="143">
        <f>E194+F194</f>
        <v>23600</v>
      </c>
    </row>
    <row r="195" spans="1:8" ht="12.75">
      <c r="A195" s="144"/>
      <c r="B195" s="180">
        <v>75414</v>
      </c>
      <c r="C195" s="181"/>
      <c r="D195" s="103" t="s">
        <v>706</v>
      </c>
      <c r="E195" s="182">
        <f>SUM(E196:E199)</f>
        <v>5000</v>
      </c>
      <c r="F195" s="182">
        <f>SUM(F196:F199)</f>
        <v>1000</v>
      </c>
      <c r="G195" s="148">
        <f>F195/E195*100</f>
        <v>20</v>
      </c>
      <c r="H195" s="149">
        <f>E195+F195</f>
        <v>6000</v>
      </c>
    </row>
    <row r="196" spans="1:8" ht="12.75">
      <c r="A196" s="144"/>
      <c r="B196" s="150"/>
      <c r="C196" s="150">
        <v>6610</v>
      </c>
      <c r="D196" s="152" t="s">
        <v>707</v>
      </c>
      <c r="E196" s="153">
        <v>5000</v>
      </c>
      <c r="F196" s="154">
        <v>0</v>
      </c>
      <c r="G196" s="155">
        <f>F196/E196*100</f>
        <v>0</v>
      </c>
      <c r="H196" s="139">
        <f>E196+F196</f>
        <v>5000</v>
      </c>
    </row>
    <row r="197" spans="1:8" ht="12.75">
      <c r="A197" s="144"/>
      <c r="B197" s="150"/>
      <c r="C197" s="150"/>
      <c r="D197" s="152" t="s">
        <v>708</v>
      </c>
      <c r="E197" s="153"/>
      <c r="F197" s="154"/>
      <c r="G197" s="155"/>
      <c r="H197" s="139"/>
    </row>
    <row r="198" spans="1:8" ht="12.75">
      <c r="A198" s="144"/>
      <c r="B198" s="150"/>
      <c r="C198" s="150"/>
      <c r="D198" s="152" t="s">
        <v>709</v>
      </c>
      <c r="E198" s="153"/>
      <c r="F198" s="154"/>
      <c r="G198" s="155"/>
      <c r="H198" s="139"/>
    </row>
    <row r="199" spans="1:8" ht="12.75">
      <c r="A199" s="144"/>
      <c r="B199" s="150"/>
      <c r="C199" s="150">
        <v>4210</v>
      </c>
      <c r="D199" s="152" t="s">
        <v>652</v>
      </c>
      <c r="E199" s="153">
        <v>0</v>
      </c>
      <c r="F199" s="154">
        <v>1000</v>
      </c>
      <c r="G199" s="155">
        <v>0</v>
      </c>
      <c r="H199" s="139">
        <f>E199+F199</f>
        <v>1000</v>
      </c>
    </row>
    <row r="200" spans="1:8" ht="12.75">
      <c r="A200" s="144"/>
      <c r="B200" s="150"/>
      <c r="C200" s="150"/>
      <c r="D200" s="152"/>
      <c r="E200" s="153"/>
      <c r="F200" s="154"/>
      <c r="G200" s="153"/>
      <c r="H200" s="139"/>
    </row>
    <row r="201" spans="1:8" ht="12.75">
      <c r="A201" s="167"/>
      <c r="B201" s="109">
        <v>75495</v>
      </c>
      <c r="C201" s="145"/>
      <c r="D201" s="92" t="s">
        <v>621</v>
      </c>
      <c r="E201" s="146">
        <f>SUM(E202:E207)</f>
        <v>10300</v>
      </c>
      <c r="F201" s="147">
        <f>SUM(F202:F207)</f>
        <v>7300</v>
      </c>
      <c r="G201" s="158">
        <f>F201/E201*100</f>
        <v>70.87378640776699</v>
      </c>
      <c r="H201" s="149">
        <f>E201+F201</f>
        <v>17600</v>
      </c>
    </row>
    <row r="202" spans="1:8" ht="12.75">
      <c r="A202" s="167"/>
      <c r="B202" s="150"/>
      <c r="C202" s="150">
        <v>2310</v>
      </c>
      <c r="D202" s="152" t="s">
        <v>710</v>
      </c>
      <c r="E202" s="153">
        <v>3000</v>
      </c>
      <c r="F202" s="154">
        <v>0</v>
      </c>
      <c r="G202" s="155">
        <v>0</v>
      </c>
      <c r="H202" s="139">
        <f>E202+F202</f>
        <v>3000</v>
      </c>
    </row>
    <row r="203" spans="1:8" ht="12.75">
      <c r="A203" s="167"/>
      <c r="B203" s="150"/>
      <c r="C203" s="150"/>
      <c r="D203" s="152" t="s">
        <v>711</v>
      </c>
      <c r="E203" s="153"/>
      <c r="F203" s="154"/>
      <c r="G203" s="155"/>
      <c r="H203" s="139"/>
    </row>
    <row r="204" spans="1:8" ht="12.75">
      <c r="A204" s="167"/>
      <c r="B204" s="150"/>
      <c r="C204" s="150"/>
      <c r="D204" s="152" t="s">
        <v>712</v>
      </c>
      <c r="E204" s="153"/>
      <c r="F204" s="154"/>
      <c r="G204" s="155"/>
      <c r="H204" s="139"/>
    </row>
    <row r="205" spans="1:8" ht="12.75">
      <c r="A205" s="167"/>
      <c r="B205" s="150"/>
      <c r="C205" s="150">
        <v>4210</v>
      </c>
      <c r="D205" s="152" t="s">
        <v>652</v>
      </c>
      <c r="E205" s="153">
        <v>5700</v>
      </c>
      <c r="F205" s="154">
        <v>5600</v>
      </c>
      <c r="G205" s="155">
        <v>0</v>
      </c>
      <c r="H205" s="139">
        <f>E205+F205</f>
        <v>11300</v>
      </c>
    </row>
    <row r="206" spans="1:8" ht="12.75">
      <c r="A206" s="167"/>
      <c r="B206" s="150"/>
      <c r="C206" s="150">
        <v>4300</v>
      </c>
      <c r="D206" s="152" t="s">
        <v>641</v>
      </c>
      <c r="E206" s="153">
        <v>1200</v>
      </c>
      <c r="F206" s="154">
        <v>1200</v>
      </c>
      <c r="G206" s="155">
        <v>0</v>
      </c>
      <c r="H206" s="139">
        <f>E206+F206</f>
        <v>2400</v>
      </c>
    </row>
    <row r="207" spans="1:8" ht="12.75">
      <c r="A207" s="167"/>
      <c r="B207" s="150"/>
      <c r="C207" s="150">
        <v>4410</v>
      </c>
      <c r="D207" s="152" t="s">
        <v>659</v>
      </c>
      <c r="E207" s="153">
        <v>400</v>
      </c>
      <c r="F207" s="154">
        <v>500</v>
      </c>
      <c r="G207" s="155">
        <f>F207/E207*100</f>
        <v>125</v>
      </c>
      <c r="H207" s="139">
        <f>E207+F207</f>
        <v>900</v>
      </c>
    </row>
    <row r="208" spans="1:8" ht="12.75">
      <c r="A208" s="167"/>
      <c r="B208" s="150"/>
      <c r="C208" s="150"/>
      <c r="D208" s="152"/>
      <c r="E208" s="153"/>
      <c r="F208" s="154"/>
      <c r="G208" s="153"/>
      <c r="H208" s="139"/>
    </row>
    <row r="209" spans="1:8" ht="13.5" thickBot="1">
      <c r="A209" s="107">
        <v>757</v>
      </c>
      <c r="B209" s="140"/>
      <c r="C209" s="140"/>
      <c r="D209" s="100" t="s">
        <v>713</v>
      </c>
      <c r="E209" s="141">
        <f>E210+E214</f>
        <v>774444</v>
      </c>
      <c r="F209" s="141">
        <f>F210+F214</f>
        <v>1048285</v>
      </c>
      <c r="G209" s="142">
        <f>F209/E209*100</f>
        <v>135.3596903068524</v>
      </c>
      <c r="H209" s="143">
        <f>E209+F209</f>
        <v>1822729</v>
      </c>
    </row>
    <row r="210" spans="1:8" ht="12.75">
      <c r="A210" s="167"/>
      <c r="B210" s="109">
        <v>75702</v>
      </c>
      <c r="C210" s="145"/>
      <c r="D210" s="119" t="s">
        <v>714</v>
      </c>
      <c r="E210" s="146">
        <f>SUM(E211:E211)</f>
        <v>630000</v>
      </c>
      <c r="F210" s="147">
        <f>SUM(F211:F211)</f>
        <v>759397</v>
      </c>
      <c r="G210" s="148">
        <f>F210/E210*100</f>
        <v>120.53920634920634</v>
      </c>
      <c r="H210" s="149">
        <f>E210+F210</f>
        <v>1389397</v>
      </c>
    </row>
    <row r="211" spans="1:8" ht="12.75">
      <c r="A211" s="167"/>
      <c r="B211" s="150"/>
      <c r="C211" s="150">
        <v>8070</v>
      </c>
      <c r="D211" s="152" t="s">
        <v>715</v>
      </c>
      <c r="E211" s="153">
        <v>630000</v>
      </c>
      <c r="F211" s="154">
        <v>759397</v>
      </c>
      <c r="G211" s="155">
        <f>F211/E211*100</f>
        <v>120.53920634920634</v>
      </c>
      <c r="H211" s="139">
        <f>E211+F211</f>
        <v>1389397</v>
      </c>
    </row>
    <row r="212" spans="1:8" ht="12.75">
      <c r="A212" s="167"/>
      <c r="B212" s="150"/>
      <c r="C212" s="150"/>
      <c r="D212" s="152"/>
      <c r="E212" s="153"/>
      <c r="F212" s="154"/>
      <c r="G212" s="153"/>
      <c r="H212" s="139"/>
    </row>
    <row r="213" spans="1:8" ht="12.75">
      <c r="A213" s="167"/>
      <c r="B213" s="150"/>
      <c r="C213" s="150"/>
      <c r="D213" s="152" t="s">
        <v>716</v>
      </c>
      <c r="E213" s="153"/>
      <c r="F213" s="154"/>
      <c r="G213" s="153"/>
      <c r="H213" s="139"/>
    </row>
    <row r="214" spans="1:8" ht="12.75">
      <c r="A214" s="167"/>
      <c r="B214" s="109">
        <v>75704</v>
      </c>
      <c r="C214" s="145"/>
      <c r="D214" s="92" t="s">
        <v>717</v>
      </c>
      <c r="E214" s="146">
        <f>E215</f>
        <v>144444</v>
      </c>
      <c r="F214" s="146">
        <f>F215</f>
        <v>288888</v>
      </c>
      <c r="G214" s="158">
        <f>F214/E214*100</f>
        <v>200</v>
      </c>
      <c r="H214" s="149">
        <f>E214+F214</f>
        <v>433332</v>
      </c>
    </row>
    <row r="215" spans="1:8" ht="12.75">
      <c r="A215" s="167"/>
      <c r="B215" s="150"/>
      <c r="C215" s="150">
        <v>8020</v>
      </c>
      <c r="D215" s="152" t="s">
        <v>718</v>
      </c>
      <c r="E215" s="153">
        <v>144444</v>
      </c>
      <c r="F215" s="154">
        <v>288888</v>
      </c>
      <c r="G215" s="155">
        <f>F215/E215*100</f>
        <v>200</v>
      </c>
      <c r="H215" s="139">
        <f>E215+F215</f>
        <v>433332</v>
      </c>
    </row>
    <row r="216" spans="1:8" ht="12.75">
      <c r="A216" s="167"/>
      <c r="B216" s="150"/>
      <c r="C216" s="150"/>
      <c r="D216" s="152"/>
      <c r="E216" s="153"/>
      <c r="F216" s="154"/>
      <c r="G216" s="153"/>
      <c r="H216" s="139"/>
    </row>
    <row r="217" spans="1:8" ht="12.75">
      <c r="A217" s="167"/>
      <c r="B217" s="150"/>
      <c r="C217" s="150"/>
      <c r="D217" s="152"/>
      <c r="E217" s="153"/>
      <c r="F217" s="154"/>
      <c r="G217" s="153"/>
      <c r="H217" s="139"/>
    </row>
    <row r="218" spans="1:8" ht="13.5" thickBot="1">
      <c r="A218" s="107">
        <v>758</v>
      </c>
      <c r="B218" s="140"/>
      <c r="C218" s="140"/>
      <c r="D218" s="100" t="s">
        <v>719</v>
      </c>
      <c r="E218" s="141">
        <f>E219</f>
        <v>0</v>
      </c>
      <c r="F218" s="159">
        <f>F219</f>
        <v>1500000</v>
      </c>
      <c r="G218" s="142">
        <v>0</v>
      </c>
      <c r="H218" s="143">
        <f>E218+F218</f>
        <v>1500000</v>
      </c>
    </row>
    <row r="219" spans="1:8" ht="12.75">
      <c r="A219" s="167"/>
      <c r="B219" s="109">
        <v>75818</v>
      </c>
      <c r="C219" s="145"/>
      <c r="D219" s="92" t="s">
        <v>720</v>
      </c>
      <c r="E219" s="146">
        <f>E220</f>
        <v>0</v>
      </c>
      <c r="F219" s="147">
        <f>F220</f>
        <v>1500000</v>
      </c>
      <c r="G219" s="148">
        <v>0</v>
      </c>
      <c r="H219" s="149">
        <f>E219+F219</f>
        <v>1500000</v>
      </c>
    </row>
    <row r="220" spans="1:8" ht="12.75">
      <c r="A220" s="167"/>
      <c r="B220" s="150"/>
      <c r="C220" s="150">
        <v>4810</v>
      </c>
      <c r="D220" s="152" t="s">
        <v>721</v>
      </c>
      <c r="E220" s="153">
        <v>0</v>
      </c>
      <c r="F220" s="154">
        <v>1500000</v>
      </c>
      <c r="G220" s="155">
        <v>0</v>
      </c>
      <c r="H220" s="139">
        <f>E220+F220</f>
        <v>1500000</v>
      </c>
    </row>
    <row r="221" spans="1:8" ht="12.75">
      <c r="A221" s="167"/>
      <c r="B221" s="150"/>
      <c r="C221" s="150"/>
      <c r="D221" s="152"/>
      <c r="E221" s="153"/>
      <c r="F221" s="154"/>
      <c r="G221" s="153"/>
      <c r="H221" s="139"/>
    </row>
    <row r="222" spans="1:8" ht="13.5" thickBot="1">
      <c r="A222" s="107">
        <v>801</v>
      </c>
      <c r="B222" s="140"/>
      <c r="C222" s="140"/>
      <c r="D222" s="100" t="s">
        <v>722</v>
      </c>
      <c r="E222" s="141">
        <f>E223+E237+E253+E277+E303+E308+E321</f>
        <v>9074112</v>
      </c>
      <c r="F222" s="141">
        <f>F223+F237+F253+F277+F303+F308+F321</f>
        <v>6932225</v>
      </c>
      <c r="G222" s="142">
        <f aca="true" t="shared" si="18" ref="G222:G235">F222/E222*100</f>
        <v>76.39562967704168</v>
      </c>
      <c r="H222" s="143">
        <f aca="true" t="shared" si="19" ref="H222:H235">E222+F222</f>
        <v>16006337</v>
      </c>
    </row>
    <row r="223" spans="1:8" ht="12.75">
      <c r="A223" s="167"/>
      <c r="B223" s="109">
        <v>80101</v>
      </c>
      <c r="C223" s="145"/>
      <c r="D223" s="92" t="s">
        <v>723</v>
      </c>
      <c r="E223" s="146">
        <f>SUM(E224:E235)</f>
        <v>88232</v>
      </c>
      <c r="F223" s="147">
        <f>SUM(F224:F235)</f>
        <v>131490</v>
      </c>
      <c r="G223" s="148">
        <f t="shared" si="18"/>
        <v>149.0275636957113</v>
      </c>
      <c r="H223" s="183">
        <f t="shared" si="19"/>
        <v>219722</v>
      </c>
    </row>
    <row r="224" spans="1:8" ht="12.75">
      <c r="A224" s="167"/>
      <c r="B224" s="150"/>
      <c r="C224" s="150">
        <v>3020</v>
      </c>
      <c r="D224" s="152" t="s">
        <v>646</v>
      </c>
      <c r="E224" s="153">
        <v>4815</v>
      </c>
      <c r="F224" s="154">
        <v>5083</v>
      </c>
      <c r="G224" s="155">
        <f t="shared" si="18"/>
        <v>105.56593977154725</v>
      </c>
      <c r="H224" s="139">
        <f t="shared" si="19"/>
        <v>9898</v>
      </c>
    </row>
    <row r="225" spans="1:10" ht="12.75">
      <c r="A225" s="167"/>
      <c r="B225" s="150"/>
      <c r="C225" s="150">
        <v>4010</v>
      </c>
      <c r="D225" s="152" t="s">
        <v>647</v>
      </c>
      <c r="E225" s="153">
        <v>53871</v>
      </c>
      <c r="F225" s="154">
        <v>58099</v>
      </c>
      <c r="G225" s="155">
        <f t="shared" si="18"/>
        <v>107.84837853390508</v>
      </c>
      <c r="H225" s="139">
        <f t="shared" si="19"/>
        <v>111970</v>
      </c>
      <c r="J225" s="122">
        <f>SUM(F225:F228)</f>
        <v>75987</v>
      </c>
    </row>
    <row r="226" spans="1:8" ht="12.75">
      <c r="A226" s="167"/>
      <c r="B226" s="150"/>
      <c r="C226" s="150">
        <v>4040</v>
      </c>
      <c r="D226" s="152" t="s">
        <v>648</v>
      </c>
      <c r="E226" s="153">
        <v>3779</v>
      </c>
      <c r="F226" s="154">
        <v>4313</v>
      </c>
      <c r="G226" s="155">
        <f t="shared" si="18"/>
        <v>114.13072241333685</v>
      </c>
      <c r="H226" s="139">
        <f t="shared" si="19"/>
        <v>8092</v>
      </c>
    </row>
    <row r="227" spans="1:8" ht="12.75">
      <c r="A227" s="167"/>
      <c r="B227" s="150"/>
      <c r="C227" s="150">
        <v>4110</v>
      </c>
      <c r="D227" s="152" t="s">
        <v>649</v>
      </c>
      <c r="E227" s="153">
        <v>10339</v>
      </c>
      <c r="F227" s="154">
        <v>11927</v>
      </c>
      <c r="G227" s="155">
        <f t="shared" si="18"/>
        <v>115.35931908308348</v>
      </c>
      <c r="H227" s="139">
        <f t="shared" si="19"/>
        <v>22266</v>
      </c>
    </row>
    <row r="228" spans="1:8" ht="12.75">
      <c r="A228" s="167"/>
      <c r="B228" s="150"/>
      <c r="C228" s="150">
        <v>4120</v>
      </c>
      <c r="D228" s="152" t="s">
        <v>650</v>
      </c>
      <c r="E228" s="153">
        <v>1469</v>
      </c>
      <c r="F228" s="154">
        <v>1648</v>
      </c>
      <c r="G228" s="155">
        <f t="shared" si="18"/>
        <v>112.18515997277059</v>
      </c>
      <c r="H228" s="139">
        <f t="shared" si="19"/>
        <v>3117</v>
      </c>
    </row>
    <row r="229" spans="1:8" ht="12.75">
      <c r="A229" s="167"/>
      <c r="B229" s="150"/>
      <c r="C229" s="150">
        <v>4210</v>
      </c>
      <c r="D229" s="152" t="s">
        <v>652</v>
      </c>
      <c r="E229" s="153">
        <v>4500</v>
      </c>
      <c r="F229" s="154">
        <v>37970</v>
      </c>
      <c r="G229" s="155">
        <f t="shared" si="18"/>
        <v>843.7777777777777</v>
      </c>
      <c r="H229" s="139">
        <f t="shared" si="19"/>
        <v>42470</v>
      </c>
    </row>
    <row r="230" spans="1:8" ht="12.75">
      <c r="A230" s="167"/>
      <c r="B230" s="150"/>
      <c r="C230" s="150">
        <v>4240</v>
      </c>
      <c r="D230" s="152" t="s">
        <v>724</v>
      </c>
      <c r="E230" s="153">
        <v>500</v>
      </c>
      <c r="F230" s="154">
        <v>2000</v>
      </c>
      <c r="G230" s="155">
        <f t="shared" si="18"/>
        <v>400</v>
      </c>
      <c r="H230" s="139">
        <f t="shared" si="19"/>
        <v>2500</v>
      </c>
    </row>
    <row r="231" spans="1:8" ht="12.75">
      <c r="A231" s="167"/>
      <c r="B231" s="150"/>
      <c r="C231" s="150">
        <v>4260</v>
      </c>
      <c r="D231" s="152" t="s">
        <v>653</v>
      </c>
      <c r="E231" s="153">
        <v>2420</v>
      </c>
      <c r="F231" s="154">
        <v>4000</v>
      </c>
      <c r="G231" s="155">
        <f t="shared" si="18"/>
        <v>165.28925619834712</v>
      </c>
      <c r="H231" s="139">
        <f t="shared" si="19"/>
        <v>6420</v>
      </c>
    </row>
    <row r="232" spans="1:8" ht="12.75">
      <c r="A232" s="167"/>
      <c r="B232" s="150"/>
      <c r="C232" s="150">
        <v>4270</v>
      </c>
      <c r="D232" s="152" t="s">
        <v>654</v>
      </c>
      <c r="E232" s="153">
        <v>500</v>
      </c>
      <c r="F232" s="154">
        <v>1000</v>
      </c>
      <c r="G232" s="155">
        <f t="shared" si="18"/>
        <v>200</v>
      </c>
      <c r="H232" s="139">
        <f t="shared" si="19"/>
        <v>1500</v>
      </c>
    </row>
    <row r="233" spans="1:8" ht="12.75">
      <c r="A233" s="167"/>
      <c r="B233" s="150"/>
      <c r="C233" s="150">
        <v>4300</v>
      </c>
      <c r="D233" s="152" t="s">
        <v>641</v>
      </c>
      <c r="E233" s="153">
        <v>1447</v>
      </c>
      <c r="F233" s="154">
        <v>1000</v>
      </c>
      <c r="G233" s="155">
        <f t="shared" si="18"/>
        <v>69.1085003455425</v>
      </c>
      <c r="H233" s="139">
        <f t="shared" si="19"/>
        <v>2447</v>
      </c>
    </row>
    <row r="234" spans="1:8" ht="12.75">
      <c r="A234" s="167"/>
      <c r="B234" s="150"/>
      <c r="C234" s="150">
        <v>4410</v>
      </c>
      <c r="D234" s="152" t="s">
        <v>659</v>
      </c>
      <c r="E234" s="153">
        <v>700</v>
      </c>
      <c r="F234" s="154">
        <v>500</v>
      </c>
      <c r="G234" s="155">
        <f t="shared" si="18"/>
        <v>71.42857142857143</v>
      </c>
      <c r="H234" s="139">
        <f t="shared" si="19"/>
        <v>1200</v>
      </c>
    </row>
    <row r="235" spans="1:8" ht="12.75">
      <c r="A235" s="167"/>
      <c r="B235" s="150"/>
      <c r="C235" s="150">
        <v>4440</v>
      </c>
      <c r="D235" s="152" t="s">
        <v>661</v>
      </c>
      <c r="E235" s="153">
        <v>3892</v>
      </c>
      <c r="F235" s="154">
        <v>3950</v>
      </c>
      <c r="G235" s="155">
        <f t="shared" si="18"/>
        <v>101.4902363823227</v>
      </c>
      <c r="H235" s="139">
        <f t="shared" si="19"/>
        <v>7842</v>
      </c>
    </row>
    <row r="236" spans="1:8" ht="12.75">
      <c r="A236" s="167"/>
      <c r="B236" s="150"/>
      <c r="C236" s="150"/>
      <c r="D236" s="152"/>
      <c r="E236" s="153"/>
      <c r="F236" s="154"/>
      <c r="G236" s="153"/>
      <c r="H236" s="139"/>
    </row>
    <row r="237" spans="1:8" ht="12.75">
      <c r="A237" s="184"/>
      <c r="B237" s="109">
        <v>80110</v>
      </c>
      <c r="C237" s="145"/>
      <c r="D237" s="92" t="s">
        <v>725</v>
      </c>
      <c r="E237" s="146">
        <f>SUM(E238:E251)</f>
        <v>373330</v>
      </c>
      <c r="F237" s="981">
        <f>SUM(F238:F251)</f>
        <v>407213</v>
      </c>
      <c r="G237" s="158">
        <f aca="true" t="shared" si="20" ref="G237:G247">F237/E237*100</f>
        <v>109.07588460611255</v>
      </c>
      <c r="H237" s="149">
        <f aca="true" t="shared" si="21" ref="H237:H251">E237+F237</f>
        <v>780543</v>
      </c>
    </row>
    <row r="238" spans="1:8" ht="12.75">
      <c r="A238" s="184"/>
      <c r="B238" s="150"/>
      <c r="C238" s="150">
        <v>3020</v>
      </c>
      <c r="D238" s="152" t="s">
        <v>646</v>
      </c>
      <c r="E238" s="153">
        <v>13293</v>
      </c>
      <c r="F238" s="154">
        <v>13819</v>
      </c>
      <c r="G238" s="155">
        <f t="shared" si="20"/>
        <v>103.9569698337471</v>
      </c>
      <c r="H238" s="139">
        <f t="shared" si="21"/>
        <v>27112</v>
      </c>
    </row>
    <row r="239" spans="1:10" ht="12.75">
      <c r="A239" s="184"/>
      <c r="B239" s="150"/>
      <c r="C239" s="150">
        <v>4010</v>
      </c>
      <c r="D239" s="152" t="s">
        <v>647</v>
      </c>
      <c r="E239" s="153">
        <v>231232</v>
      </c>
      <c r="F239" s="154">
        <v>233395</v>
      </c>
      <c r="G239" s="155">
        <f t="shared" si="20"/>
        <v>100.93542416274563</v>
      </c>
      <c r="H239" s="139">
        <f t="shared" si="21"/>
        <v>464627</v>
      </c>
      <c r="J239" s="122">
        <f>SUM(F239:F242)</f>
        <v>306381</v>
      </c>
    </row>
    <row r="240" spans="1:8" ht="12.75">
      <c r="A240" s="184"/>
      <c r="B240" s="150"/>
      <c r="C240" s="150">
        <v>4040</v>
      </c>
      <c r="D240" s="152" t="s">
        <v>648</v>
      </c>
      <c r="E240" s="153">
        <v>15237</v>
      </c>
      <c r="F240" s="154">
        <v>19253</v>
      </c>
      <c r="G240" s="155">
        <f t="shared" si="20"/>
        <v>126.35689440178513</v>
      </c>
      <c r="H240" s="139">
        <f t="shared" si="21"/>
        <v>34490</v>
      </c>
    </row>
    <row r="241" spans="1:8" ht="12.75">
      <c r="A241" s="184"/>
      <c r="B241" s="150"/>
      <c r="C241" s="150">
        <v>4110</v>
      </c>
      <c r="D241" s="152" t="s">
        <v>649</v>
      </c>
      <c r="E241" s="153">
        <v>44191</v>
      </c>
      <c r="F241" s="154">
        <v>47221</v>
      </c>
      <c r="G241" s="155">
        <f t="shared" si="20"/>
        <v>106.85659976013216</v>
      </c>
      <c r="H241" s="139">
        <f t="shared" si="21"/>
        <v>91412</v>
      </c>
    </row>
    <row r="242" spans="1:8" ht="12.75">
      <c r="A242" s="184"/>
      <c r="B242" s="150"/>
      <c r="C242" s="150">
        <v>4120</v>
      </c>
      <c r="D242" s="152" t="s">
        <v>650</v>
      </c>
      <c r="E242" s="153">
        <v>6162</v>
      </c>
      <c r="F242" s="154">
        <v>6512</v>
      </c>
      <c r="G242" s="155">
        <f t="shared" si="20"/>
        <v>105.67997403440441</v>
      </c>
      <c r="H242" s="139">
        <f t="shared" si="21"/>
        <v>12674</v>
      </c>
    </row>
    <row r="243" spans="1:8" ht="12.75">
      <c r="A243" s="184"/>
      <c r="B243" s="150"/>
      <c r="C243" s="150">
        <v>4210</v>
      </c>
      <c r="D243" s="152" t="s">
        <v>652</v>
      </c>
      <c r="E243" s="153">
        <v>6820</v>
      </c>
      <c r="F243" s="154">
        <v>40470</v>
      </c>
      <c r="G243" s="155">
        <f t="shared" si="20"/>
        <v>593.4017595307918</v>
      </c>
      <c r="H243" s="139">
        <f t="shared" si="21"/>
        <v>47290</v>
      </c>
    </row>
    <row r="244" spans="1:8" ht="12.75">
      <c r="A244" s="184"/>
      <c r="B244" s="150"/>
      <c r="C244" s="150">
        <v>4240</v>
      </c>
      <c r="D244" s="152" t="s">
        <v>726</v>
      </c>
      <c r="E244" s="153">
        <v>1000</v>
      </c>
      <c r="F244" s="154">
        <v>6000</v>
      </c>
      <c r="G244" s="155">
        <f t="shared" si="20"/>
        <v>600</v>
      </c>
      <c r="H244" s="139">
        <f t="shared" si="21"/>
        <v>7000</v>
      </c>
    </row>
    <row r="245" spans="1:8" ht="12.75">
      <c r="A245" s="184"/>
      <c r="B245" s="150"/>
      <c r="C245" s="150">
        <v>4260</v>
      </c>
      <c r="D245" s="152" t="s">
        <v>653</v>
      </c>
      <c r="E245" s="153">
        <v>3000</v>
      </c>
      <c r="F245" s="154">
        <v>6000</v>
      </c>
      <c r="G245" s="155">
        <f t="shared" si="20"/>
        <v>200</v>
      </c>
      <c r="H245" s="139">
        <f t="shared" si="21"/>
        <v>9000</v>
      </c>
    </row>
    <row r="246" spans="1:8" ht="12.75">
      <c r="A246" s="184"/>
      <c r="B246" s="150"/>
      <c r="C246" s="150">
        <v>4270</v>
      </c>
      <c r="D246" s="152" t="s">
        <v>654</v>
      </c>
      <c r="E246" s="153">
        <v>20373</v>
      </c>
      <c r="F246" s="154">
        <v>2000</v>
      </c>
      <c r="G246" s="155">
        <f t="shared" si="20"/>
        <v>9.816914543758896</v>
      </c>
      <c r="H246" s="139">
        <f t="shared" si="21"/>
        <v>22373</v>
      </c>
    </row>
    <row r="247" spans="1:8" ht="12.75">
      <c r="A247" s="184"/>
      <c r="B247" s="150"/>
      <c r="C247" s="150">
        <v>4300</v>
      </c>
      <c r="D247" s="152" t="s">
        <v>641</v>
      </c>
      <c r="E247" s="153">
        <v>6034</v>
      </c>
      <c r="F247" s="154">
        <v>2000</v>
      </c>
      <c r="G247" s="155">
        <f t="shared" si="20"/>
        <v>33.145508783559826</v>
      </c>
      <c r="H247" s="139">
        <f t="shared" si="21"/>
        <v>8034</v>
      </c>
    </row>
    <row r="248" spans="1:8" ht="12.75">
      <c r="A248" s="184"/>
      <c r="B248" s="150"/>
      <c r="C248" s="150">
        <v>4350</v>
      </c>
      <c r="D248" s="152" t="s">
        <v>696</v>
      </c>
      <c r="E248" s="153">
        <v>0</v>
      </c>
      <c r="F248" s="154">
        <v>2000</v>
      </c>
      <c r="G248" s="155">
        <v>0</v>
      </c>
      <c r="H248" s="139">
        <f t="shared" si="21"/>
        <v>2000</v>
      </c>
    </row>
    <row r="249" spans="1:8" ht="12.75">
      <c r="A249" s="184"/>
      <c r="B249" s="150"/>
      <c r="C249" s="150">
        <v>4370</v>
      </c>
      <c r="D249" s="152" t="s">
        <v>658</v>
      </c>
      <c r="E249" s="153">
        <v>0</v>
      </c>
      <c r="F249" s="154">
        <v>1000</v>
      </c>
      <c r="G249" s="155"/>
      <c r="H249" s="139">
        <f t="shared" si="21"/>
        <v>1000</v>
      </c>
    </row>
    <row r="250" spans="1:8" ht="12.75">
      <c r="A250" s="184"/>
      <c r="B250" s="150"/>
      <c r="C250" s="150">
        <v>4410</v>
      </c>
      <c r="D250" s="152" t="s">
        <v>659</v>
      </c>
      <c r="E250" s="153">
        <v>500</v>
      </c>
      <c r="F250" s="154">
        <v>500</v>
      </c>
      <c r="G250" s="155">
        <f>F250/E250*100</f>
        <v>100</v>
      </c>
      <c r="H250" s="139">
        <f t="shared" si="21"/>
        <v>1000</v>
      </c>
    </row>
    <row r="251" spans="1:8" ht="12.75">
      <c r="A251" s="184"/>
      <c r="B251" s="150"/>
      <c r="C251" s="150">
        <v>4440</v>
      </c>
      <c r="D251" s="152" t="s">
        <v>661</v>
      </c>
      <c r="E251" s="153">
        <v>25488</v>
      </c>
      <c r="F251" s="154">
        <v>27043</v>
      </c>
      <c r="G251" s="155">
        <f>F251/E251*100</f>
        <v>106.10091023226616</v>
      </c>
      <c r="H251" s="139">
        <f t="shared" si="21"/>
        <v>52531</v>
      </c>
    </row>
    <row r="252" spans="1:8" ht="12.75">
      <c r="A252" s="184"/>
      <c r="B252" s="150"/>
      <c r="C252" s="150"/>
      <c r="D252" s="152"/>
      <c r="E252" s="153"/>
      <c r="F252" s="154"/>
      <c r="G252" s="153"/>
      <c r="H252" s="139"/>
    </row>
    <row r="253" spans="1:8" ht="12.75">
      <c r="A253" s="184"/>
      <c r="B253" s="109">
        <v>80120</v>
      </c>
      <c r="C253" s="145"/>
      <c r="D253" s="92" t="s">
        <v>727</v>
      </c>
      <c r="E253" s="146">
        <f>SUM(E254:E275)</f>
        <v>4250137</v>
      </c>
      <c r="F253" s="146">
        <f>SUM(F254:F275)</f>
        <v>2133006</v>
      </c>
      <c r="G253" s="158">
        <f aca="true" t="shared" si="22" ref="G253:G266">F253/E253*100</f>
        <v>50.18675868566119</v>
      </c>
      <c r="H253" s="149">
        <f aca="true" t="shared" si="23" ref="H253:H275">E253+F253</f>
        <v>6383143</v>
      </c>
    </row>
    <row r="254" spans="1:8" ht="12.75">
      <c r="A254" s="184"/>
      <c r="B254" s="150"/>
      <c r="C254" s="150">
        <v>3020</v>
      </c>
      <c r="D254" s="152" t="s">
        <v>646</v>
      </c>
      <c r="E254" s="153">
        <v>5835</v>
      </c>
      <c r="F254" s="154">
        <v>6435</v>
      </c>
      <c r="G254" s="155">
        <f t="shared" si="22"/>
        <v>110.28277634961438</v>
      </c>
      <c r="H254" s="139">
        <f t="shared" si="23"/>
        <v>12270</v>
      </c>
    </row>
    <row r="255" spans="1:10" ht="12.75">
      <c r="A255" s="184"/>
      <c r="B255" s="150"/>
      <c r="C255" s="150">
        <v>4010</v>
      </c>
      <c r="D255" s="152" t="s">
        <v>647</v>
      </c>
      <c r="E255" s="153">
        <v>1375187</v>
      </c>
      <c r="F255" s="154">
        <f>1382588+13169+65485</f>
        <v>1461242</v>
      </c>
      <c r="G255" s="155">
        <f t="shared" si="22"/>
        <v>106.25769440810595</v>
      </c>
      <c r="H255" s="139">
        <f t="shared" si="23"/>
        <v>2836429</v>
      </c>
      <c r="J255" s="122">
        <f>SUM(F255:F259)</f>
        <v>1888353</v>
      </c>
    </row>
    <row r="256" spans="1:8" ht="12.75">
      <c r="A256" s="184"/>
      <c r="B256" s="150"/>
      <c r="C256" s="150">
        <v>4040</v>
      </c>
      <c r="D256" s="152" t="s">
        <v>648</v>
      </c>
      <c r="E256" s="153">
        <v>109324</v>
      </c>
      <c r="F256" s="154">
        <v>116891</v>
      </c>
      <c r="G256" s="155">
        <f t="shared" si="22"/>
        <v>106.92162745600233</v>
      </c>
      <c r="H256" s="139">
        <f t="shared" si="23"/>
        <v>226215</v>
      </c>
    </row>
    <row r="257" spans="1:8" ht="12.75">
      <c r="A257" s="184"/>
      <c r="B257" s="150"/>
      <c r="C257" s="150">
        <v>4110</v>
      </c>
      <c r="D257" s="152" t="s">
        <v>649</v>
      </c>
      <c r="E257" s="153">
        <v>250240</v>
      </c>
      <c r="F257" s="154">
        <f>258066+2354+9002</f>
        <v>269422</v>
      </c>
      <c r="G257" s="155">
        <f t="shared" si="22"/>
        <v>107.6654411764706</v>
      </c>
      <c r="H257" s="139">
        <f t="shared" si="23"/>
        <v>519662</v>
      </c>
    </row>
    <row r="258" spans="1:8" ht="12.75">
      <c r="A258" s="184"/>
      <c r="B258" s="150"/>
      <c r="C258" s="150">
        <v>4120</v>
      </c>
      <c r="D258" s="152" t="s">
        <v>650</v>
      </c>
      <c r="E258" s="153">
        <v>36239</v>
      </c>
      <c r="F258" s="154">
        <f>36741+323+734</f>
        <v>37798</v>
      </c>
      <c r="G258" s="155">
        <f t="shared" si="22"/>
        <v>104.30199508816469</v>
      </c>
      <c r="H258" s="139">
        <f t="shared" si="23"/>
        <v>74037</v>
      </c>
    </row>
    <row r="259" spans="1:8" ht="12.75">
      <c r="A259" s="184"/>
      <c r="B259" s="150"/>
      <c r="C259" s="150">
        <v>4170</v>
      </c>
      <c r="D259" s="152" t="s">
        <v>651</v>
      </c>
      <c r="E259" s="153">
        <v>7500</v>
      </c>
      <c r="F259" s="154">
        <v>3000</v>
      </c>
      <c r="G259" s="155">
        <f t="shared" si="22"/>
        <v>40</v>
      </c>
      <c r="H259" s="139">
        <f t="shared" si="23"/>
        <v>10500</v>
      </c>
    </row>
    <row r="260" spans="1:8" ht="12.75">
      <c r="A260" s="184"/>
      <c r="B260" s="150"/>
      <c r="C260" s="150">
        <v>4210</v>
      </c>
      <c r="D260" s="152" t="s">
        <v>652</v>
      </c>
      <c r="E260" s="153">
        <v>20060</v>
      </c>
      <c r="F260" s="154">
        <v>16550</v>
      </c>
      <c r="G260" s="155">
        <f t="shared" si="22"/>
        <v>82.5024925224327</v>
      </c>
      <c r="H260" s="139">
        <f t="shared" si="23"/>
        <v>36610</v>
      </c>
    </row>
    <row r="261" spans="1:8" ht="12.75">
      <c r="A261" s="184"/>
      <c r="B261" s="150"/>
      <c r="C261" s="150">
        <v>4240</v>
      </c>
      <c r="D261" s="152" t="s">
        <v>726</v>
      </c>
      <c r="E261" s="153">
        <v>2537</v>
      </c>
      <c r="F261" s="154">
        <v>2537</v>
      </c>
      <c r="G261" s="155">
        <f t="shared" si="22"/>
        <v>100</v>
      </c>
      <c r="H261" s="139">
        <f t="shared" si="23"/>
        <v>5074</v>
      </c>
    </row>
    <row r="262" spans="1:8" ht="12.75">
      <c r="A262" s="184"/>
      <c r="B262" s="150"/>
      <c r="C262" s="150">
        <v>4260</v>
      </c>
      <c r="D262" s="152" t="s">
        <v>653</v>
      </c>
      <c r="E262" s="185">
        <v>73453</v>
      </c>
      <c r="F262" s="154">
        <v>73453</v>
      </c>
      <c r="G262" s="155">
        <f t="shared" si="22"/>
        <v>100</v>
      </c>
      <c r="H262" s="139">
        <f t="shared" si="23"/>
        <v>146906</v>
      </c>
    </row>
    <row r="263" spans="1:10" ht="12.75">
      <c r="A263" s="184"/>
      <c r="B263" s="150"/>
      <c r="C263" s="150">
        <v>4270</v>
      </c>
      <c r="D263" s="152" t="s">
        <v>654</v>
      </c>
      <c r="E263" s="153">
        <v>149839</v>
      </c>
      <c r="F263" s="154">
        <v>5000</v>
      </c>
      <c r="G263" s="155">
        <f t="shared" si="22"/>
        <v>3.336914955385447</v>
      </c>
      <c r="H263" s="139">
        <f t="shared" si="23"/>
        <v>154839</v>
      </c>
      <c r="J263" s="122">
        <f>SUM(F254:F271)</f>
        <v>2107006</v>
      </c>
    </row>
    <row r="264" spans="1:8" ht="12.75">
      <c r="A264" s="184"/>
      <c r="B264" s="150"/>
      <c r="C264" s="150">
        <v>4280</v>
      </c>
      <c r="D264" s="152" t="s">
        <v>655</v>
      </c>
      <c r="E264" s="153">
        <v>700</v>
      </c>
      <c r="F264" s="154">
        <v>700</v>
      </c>
      <c r="G264" s="155">
        <f t="shared" si="22"/>
        <v>100</v>
      </c>
      <c r="H264" s="139">
        <f t="shared" si="23"/>
        <v>1400</v>
      </c>
    </row>
    <row r="265" spans="1:8" ht="12.75">
      <c r="A265" s="184"/>
      <c r="B265" s="186"/>
      <c r="C265" s="150">
        <v>4300</v>
      </c>
      <c r="D265" s="152" t="s">
        <v>641</v>
      </c>
      <c r="E265" s="153">
        <v>16111</v>
      </c>
      <c r="F265" s="154">
        <v>11100</v>
      </c>
      <c r="G265" s="155">
        <f t="shared" si="22"/>
        <v>68.89702687604742</v>
      </c>
      <c r="H265" s="139">
        <f t="shared" si="23"/>
        <v>27211</v>
      </c>
    </row>
    <row r="266" spans="1:8" ht="12.75">
      <c r="A266" s="184"/>
      <c r="B266" s="186"/>
      <c r="C266" s="150">
        <v>4350</v>
      </c>
      <c r="D266" s="152" t="s">
        <v>696</v>
      </c>
      <c r="E266" s="153">
        <v>600</v>
      </c>
      <c r="F266" s="154">
        <v>990</v>
      </c>
      <c r="G266" s="155">
        <f t="shared" si="22"/>
        <v>165</v>
      </c>
      <c r="H266" s="139">
        <f t="shared" si="23"/>
        <v>1590</v>
      </c>
    </row>
    <row r="267" spans="1:8" ht="12.75">
      <c r="A267" s="184"/>
      <c r="B267" s="186"/>
      <c r="C267" s="150">
        <v>4360</v>
      </c>
      <c r="D267" s="152" t="s">
        <v>697</v>
      </c>
      <c r="E267" s="153">
        <v>0</v>
      </c>
      <c r="F267" s="154">
        <v>600</v>
      </c>
      <c r="G267" s="155">
        <v>0</v>
      </c>
      <c r="H267" s="139">
        <f t="shared" si="23"/>
        <v>600</v>
      </c>
    </row>
    <row r="268" spans="1:8" ht="12.75">
      <c r="A268" s="184"/>
      <c r="B268" s="186"/>
      <c r="C268" s="150">
        <v>4370</v>
      </c>
      <c r="D268" s="152" t="s">
        <v>658</v>
      </c>
      <c r="E268" s="153">
        <v>0</v>
      </c>
      <c r="F268" s="154">
        <v>3000</v>
      </c>
      <c r="G268" s="155">
        <v>0</v>
      </c>
      <c r="H268" s="139">
        <f t="shared" si="23"/>
        <v>3000</v>
      </c>
    </row>
    <row r="269" spans="1:8" ht="12.75">
      <c r="A269" s="184"/>
      <c r="B269" s="186"/>
      <c r="C269" s="150">
        <v>4410</v>
      </c>
      <c r="D269" s="152" t="s">
        <v>659</v>
      </c>
      <c r="E269" s="153">
        <v>4000</v>
      </c>
      <c r="F269" s="154">
        <v>2000</v>
      </c>
      <c r="G269" s="155">
        <f>F269/E269*100</f>
        <v>50</v>
      </c>
      <c r="H269" s="139">
        <f t="shared" si="23"/>
        <v>6000</v>
      </c>
    </row>
    <row r="270" spans="1:8" ht="12.75">
      <c r="A270" s="184"/>
      <c r="B270" s="186"/>
      <c r="C270" s="150">
        <v>4430</v>
      </c>
      <c r="D270" s="152" t="s">
        <v>660</v>
      </c>
      <c r="E270" s="153">
        <v>7761</v>
      </c>
      <c r="F270" s="154">
        <v>7761</v>
      </c>
      <c r="G270" s="155">
        <f>F270/E270*100</f>
        <v>100</v>
      </c>
      <c r="H270" s="139">
        <f t="shared" si="23"/>
        <v>15522</v>
      </c>
    </row>
    <row r="271" spans="1:8" ht="12.75">
      <c r="A271" s="184"/>
      <c r="B271" s="186"/>
      <c r="C271" s="150">
        <v>4440</v>
      </c>
      <c r="D271" s="152" t="s">
        <v>661</v>
      </c>
      <c r="E271" s="153">
        <v>90751</v>
      </c>
      <c r="F271" s="154">
        <v>88527</v>
      </c>
      <c r="G271" s="155">
        <f>F271/E271*100</f>
        <v>97.54933829930249</v>
      </c>
      <c r="H271" s="139">
        <f t="shared" si="23"/>
        <v>179278</v>
      </c>
    </row>
    <row r="272" spans="1:8" ht="12.75">
      <c r="A272" s="184"/>
      <c r="B272" s="186"/>
      <c r="C272" s="150">
        <v>4740</v>
      </c>
      <c r="D272" s="152" t="s">
        <v>690</v>
      </c>
      <c r="E272" s="153">
        <v>0</v>
      </c>
      <c r="F272" s="154">
        <v>5000</v>
      </c>
      <c r="G272" s="155">
        <v>0</v>
      </c>
      <c r="H272" s="139">
        <f t="shared" si="23"/>
        <v>5000</v>
      </c>
    </row>
    <row r="273" spans="1:8" ht="12.75">
      <c r="A273" s="184"/>
      <c r="B273" s="186"/>
      <c r="C273" s="150">
        <v>4750</v>
      </c>
      <c r="D273" s="152" t="s">
        <v>691</v>
      </c>
      <c r="E273" s="153">
        <v>0</v>
      </c>
      <c r="F273" s="154">
        <v>1000</v>
      </c>
      <c r="G273" s="155">
        <v>0</v>
      </c>
      <c r="H273" s="139">
        <f t="shared" si="23"/>
        <v>1000</v>
      </c>
    </row>
    <row r="274" spans="1:8" ht="12.75">
      <c r="A274" s="184"/>
      <c r="B274" s="186"/>
      <c r="C274" s="150">
        <v>6050</v>
      </c>
      <c r="D274" s="152" t="s">
        <v>668</v>
      </c>
      <c r="E274" s="153">
        <v>2100000</v>
      </c>
      <c r="F274" s="154">
        <v>0</v>
      </c>
      <c r="G274" s="155">
        <f>F274/E274*100</f>
        <v>0</v>
      </c>
      <c r="H274" s="139">
        <f t="shared" si="23"/>
        <v>2100000</v>
      </c>
    </row>
    <row r="275" spans="1:8" ht="12.75">
      <c r="A275" s="184"/>
      <c r="B275" s="186"/>
      <c r="C275" s="150">
        <v>6060</v>
      </c>
      <c r="D275" s="152" t="s">
        <v>728</v>
      </c>
      <c r="E275" s="153">
        <v>0</v>
      </c>
      <c r="F275" s="982">
        <v>20000</v>
      </c>
      <c r="G275" s="155">
        <v>0</v>
      </c>
      <c r="H275" s="139">
        <f t="shared" si="23"/>
        <v>20000</v>
      </c>
    </row>
    <row r="276" spans="1:8" ht="12.75">
      <c r="A276" s="184"/>
      <c r="B276" s="150"/>
      <c r="C276" s="150"/>
      <c r="D276" s="152"/>
      <c r="E276" s="153"/>
      <c r="F276" s="154"/>
      <c r="G276" s="153"/>
      <c r="H276" s="139"/>
    </row>
    <row r="277" spans="1:8" ht="12.75">
      <c r="A277" s="184"/>
      <c r="B277" s="109">
        <v>80130</v>
      </c>
      <c r="C277" s="145"/>
      <c r="D277" s="92" t="s">
        <v>729</v>
      </c>
      <c r="E277" s="146">
        <f>SUM(E278:E301)</f>
        <v>4175656</v>
      </c>
      <c r="F277" s="147">
        <f>SUM(F278:F301)</f>
        <v>4082962</v>
      </c>
      <c r="G277" s="158">
        <f aca="true" t="shared" si="24" ref="G277:G290">F277/E277*100</f>
        <v>97.78013322936565</v>
      </c>
      <c r="H277" s="149">
        <f aca="true" t="shared" si="25" ref="H277:H301">E277+F277</f>
        <v>8258618</v>
      </c>
    </row>
    <row r="278" spans="1:8" ht="12.75">
      <c r="A278" s="184"/>
      <c r="B278" s="186"/>
      <c r="C278" s="150">
        <v>3020</v>
      </c>
      <c r="D278" s="152" t="s">
        <v>646</v>
      </c>
      <c r="E278" s="153">
        <v>41591</v>
      </c>
      <c r="F278" s="154">
        <v>39245</v>
      </c>
      <c r="G278" s="155">
        <f t="shared" si="24"/>
        <v>94.35935659157029</v>
      </c>
      <c r="H278" s="139">
        <f t="shared" si="25"/>
        <v>80836</v>
      </c>
    </row>
    <row r="279" spans="1:10" ht="12.75">
      <c r="A279" s="184"/>
      <c r="B279" s="186"/>
      <c r="C279" s="150">
        <v>4010</v>
      </c>
      <c r="D279" s="152" t="s">
        <v>647</v>
      </c>
      <c r="E279" s="153">
        <v>2379698</v>
      </c>
      <c r="F279" s="154">
        <f>2465575+1561+1537+12788+4391</f>
        <v>2485852</v>
      </c>
      <c r="G279" s="155">
        <f t="shared" si="24"/>
        <v>104.46081813742751</v>
      </c>
      <c r="H279" s="139">
        <f t="shared" si="25"/>
        <v>4865550</v>
      </c>
      <c r="J279" s="122">
        <f>SUM(F279:F283)</f>
        <v>3213537</v>
      </c>
    </row>
    <row r="280" spans="1:8" ht="12.75">
      <c r="A280" s="184"/>
      <c r="B280" s="186"/>
      <c r="C280" s="150">
        <v>4040</v>
      </c>
      <c r="D280" s="152" t="s">
        <v>648</v>
      </c>
      <c r="E280" s="153">
        <v>194010</v>
      </c>
      <c r="F280" s="154">
        <v>201692</v>
      </c>
      <c r="G280" s="155">
        <f t="shared" si="24"/>
        <v>103.95958971187052</v>
      </c>
      <c r="H280" s="139">
        <f t="shared" si="25"/>
        <v>395702</v>
      </c>
    </row>
    <row r="281" spans="1:8" ht="12.75">
      <c r="A281" s="184"/>
      <c r="B281" s="186"/>
      <c r="C281" s="150">
        <v>4110</v>
      </c>
      <c r="D281" s="152" t="s">
        <v>649</v>
      </c>
      <c r="E281" s="153">
        <v>460914</v>
      </c>
      <c r="F281" s="154">
        <f>458170+279+275+2286+785</f>
        <v>461795</v>
      </c>
      <c r="G281" s="155">
        <f t="shared" si="24"/>
        <v>100.1911419483895</v>
      </c>
      <c r="H281" s="139">
        <f t="shared" si="25"/>
        <v>922709</v>
      </c>
    </row>
    <row r="282" spans="1:8" ht="12.75">
      <c r="A282" s="184"/>
      <c r="B282" s="186"/>
      <c r="C282" s="150">
        <v>4120</v>
      </c>
      <c r="D282" s="152" t="s">
        <v>650</v>
      </c>
      <c r="E282" s="153">
        <v>64933</v>
      </c>
      <c r="F282" s="154">
        <f>63702+38+37+313+108</f>
        <v>64198</v>
      </c>
      <c r="G282" s="155">
        <f t="shared" si="24"/>
        <v>98.86806400443534</v>
      </c>
      <c r="H282" s="139">
        <f t="shared" si="25"/>
        <v>129131</v>
      </c>
    </row>
    <row r="283" spans="1:8" ht="12.75">
      <c r="A283" s="184"/>
      <c r="B283" s="186"/>
      <c r="C283" s="150">
        <v>4170</v>
      </c>
      <c r="D283" s="152" t="s">
        <v>651</v>
      </c>
      <c r="E283" s="153">
        <v>5760</v>
      </c>
      <c r="F283" s="154">
        <v>0</v>
      </c>
      <c r="G283" s="155">
        <f t="shared" si="24"/>
        <v>0</v>
      </c>
      <c r="H283" s="139">
        <f t="shared" si="25"/>
        <v>5760</v>
      </c>
    </row>
    <row r="284" spans="1:8" ht="12.75">
      <c r="A284" s="184"/>
      <c r="B284" s="186"/>
      <c r="C284" s="150">
        <v>4210</v>
      </c>
      <c r="D284" s="152" t="s">
        <v>652</v>
      </c>
      <c r="E284" s="153">
        <v>343744</v>
      </c>
      <c r="F284" s="154">
        <v>317850</v>
      </c>
      <c r="G284" s="155">
        <f t="shared" si="24"/>
        <v>92.46706851610502</v>
      </c>
      <c r="H284" s="139">
        <f t="shared" si="25"/>
        <v>661594</v>
      </c>
    </row>
    <row r="285" spans="1:8" ht="12.75">
      <c r="A285" s="184"/>
      <c r="B285" s="186"/>
      <c r="C285" s="150">
        <v>4240</v>
      </c>
      <c r="D285" s="152" t="s">
        <v>726</v>
      </c>
      <c r="E285" s="153">
        <v>27318</v>
      </c>
      <c r="F285" s="154">
        <v>26800</v>
      </c>
      <c r="G285" s="155">
        <f t="shared" si="24"/>
        <v>98.10381433487078</v>
      </c>
      <c r="H285" s="139">
        <f t="shared" si="25"/>
        <v>54118</v>
      </c>
    </row>
    <row r="286" spans="1:10" ht="12.75">
      <c r="A286" s="184"/>
      <c r="B286" s="186"/>
      <c r="C286" s="150">
        <v>4260</v>
      </c>
      <c r="D286" s="152" t="s">
        <v>653</v>
      </c>
      <c r="E286" s="153">
        <v>125204</v>
      </c>
      <c r="F286" s="154">
        <v>124204</v>
      </c>
      <c r="G286" s="155">
        <f t="shared" si="24"/>
        <v>99.2013034727325</v>
      </c>
      <c r="H286" s="139">
        <f t="shared" si="25"/>
        <v>249408</v>
      </c>
      <c r="J286" s="122">
        <f>SUM(F278:F297)</f>
        <v>4053462</v>
      </c>
    </row>
    <row r="287" spans="1:8" ht="12.75">
      <c r="A287" s="184"/>
      <c r="B287" s="186"/>
      <c r="C287" s="150">
        <v>4270</v>
      </c>
      <c r="D287" s="152" t="s">
        <v>654</v>
      </c>
      <c r="E287" s="153">
        <v>137666</v>
      </c>
      <c r="F287" s="154">
        <v>19500</v>
      </c>
      <c r="G287" s="155">
        <f t="shared" si="24"/>
        <v>14.164717504685253</v>
      </c>
      <c r="H287" s="139">
        <f t="shared" si="25"/>
        <v>157166</v>
      </c>
    </row>
    <row r="288" spans="1:8" ht="12.75">
      <c r="A288" s="184"/>
      <c r="B288" s="186"/>
      <c r="C288" s="150">
        <v>4280</v>
      </c>
      <c r="D288" s="152" t="s">
        <v>655</v>
      </c>
      <c r="E288" s="153">
        <v>1800</v>
      </c>
      <c r="F288" s="154">
        <v>1800</v>
      </c>
      <c r="G288" s="155">
        <f t="shared" si="24"/>
        <v>100</v>
      </c>
      <c r="H288" s="139">
        <f t="shared" si="25"/>
        <v>3600</v>
      </c>
    </row>
    <row r="289" spans="1:8" ht="12.75">
      <c r="A289" s="184"/>
      <c r="B289" s="186"/>
      <c r="C289" s="150">
        <v>4300</v>
      </c>
      <c r="D289" s="152" t="s">
        <v>641</v>
      </c>
      <c r="E289" s="153">
        <v>170655</v>
      </c>
      <c r="F289" s="154">
        <v>76110</v>
      </c>
      <c r="G289" s="155">
        <f t="shared" si="24"/>
        <v>44.598751867803465</v>
      </c>
      <c r="H289" s="139">
        <f t="shared" si="25"/>
        <v>246765</v>
      </c>
    </row>
    <row r="290" spans="1:8" ht="12.75">
      <c r="A290" s="184"/>
      <c r="B290" s="186"/>
      <c r="C290" s="150">
        <v>4350</v>
      </c>
      <c r="D290" s="152" t="s">
        <v>696</v>
      </c>
      <c r="E290" s="153">
        <v>5247</v>
      </c>
      <c r="F290" s="154">
        <v>9160</v>
      </c>
      <c r="G290" s="155">
        <f t="shared" si="24"/>
        <v>174.5759481608538</v>
      </c>
      <c r="H290" s="139">
        <f t="shared" si="25"/>
        <v>14407</v>
      </c>
    </row>
    <row r="291" spans="1:8" ht="12.75">
      <c r="A291" s="184"/>
      <c r="B291" s="186"/>
      <c r="C291" s="150">
        <v>4360</v>
      </c>
      <c r="D291" s="152" t="s">
        <v>697</v>
      </c>
      <c r="E291" s="187">
        <v>0</v>
      </c>
      <c r="F291" s="154">
        <v>780</v>
      </c>
      <c r="G291" s="155">
        <v>0</v>
      </c>
      <c r="H291" s="139">
        <f t="shared" si="25"/>
        <v>780</v>
      </c>
    </row>
    <row r="292" spans="1:8" ht="12.75">
      <c r="A292" s="184"/>
      <c r="B292" s="186"/>
      <c r="C292" s="150">
        <v>4370</v>
      </c>
      <c r="D292" s="152" t="s">
        <v>658</v>
      </c>
      <c r="E292" s="187">
        <v>0</v>
      </c>
      <c r="F292" s="154">
        <v>13320</v>
      </c>
      <c r="G292" s="155">
        <v>0</v>
      </c>
      <c r="H292" s="139">
        <f t="shared" si="25"/>
        <v>13320</v>
      </c>
    </row>
    <row r="293" spans="1:8" ht="12.75">
      <c r="A293" s="184"/>
      <c r="B293" s="186"/>
      <c r="C293" s="150">
        <v>4400</v>
      </c>
      <c r="D293" s="152" t="s">
        <v>686</v>
      </c>
      <c r="E293" s="187">
        <v>0</v>
      </c>
      <c r="F293" s="154">
        <v>32400</v>
      </c>
      <c r="G293" s="155">
        <v>0</v>
      </c>
      <c r="H293" s="139">
        <f t="shared" si="25"/>
        <v>32400</v>
      </c>
    </row>
    <row r="294" spans="1:8" ht="12.75">
      <c r="A294" s="184"/>
      <c r="B294" s="186"/>
      <c r="C294" s="150">
        <v>4410</v>
      </c>
      <c r="D294" s="188" t="s">
        <v>659</v>
      </c>
      <c r="E294" s="189">
        <v>4800</v>
      </c>
      <c r="F294" s="154">
        <v>4800</v>
      </c>
      <c r="G294" s="155">
        <f>F294/E294*100</f>
        <v>100</v>
      </c>
      <c r="H294" s="139">
        <f t="shared" si="25"/>
        <v>9600</v>
      </c>
    </row>
    <row r="295" spans="1:8" ht="12.75">
      <c r="A295" s="184"/>
      <c r="B295" s="186"/>
      <c r="C295" s="150">
        <v>4430</v>
      </c>
      <c r="D295" s="152" t="s">
        <v>660</v>
      </c>
      <c r="E295" s="153">
        <v>17648</v>
      </c>
      <c r="F295" s="154">
        <v>17648</v>
      </c>
      <c r="G295" s="155">
        <f>F295/E295*100</f>
        <v>100</v>
      </c>
      <c r="H295" s="139">
        <f t="shared" si="25"/>
        <v>35296</v>
      </c>
    </row>
    <row r="296" spans="1:8" ht="12.75">
      <c r="A296" s="184"/>
      <c r="B296" s="186"/>
      <c r="C296" s="150">
        <v>4440</v>
      </c>
      <c r="D296" s="152" t="s">
        <v>661</v>
      </c>
      <c r="E296" s="153">
        <v>155668</v>
      </c>
      <c r="F296" s="154">
        <v>156308</v>
      </c>
      <c r="G296" s="155">
        <f>F296/E296*100</f>
        <v>100.41113138217233</v>
      </c>
      <c r="H296" s="139">
        <f t="shared" si="25"/>
        <v>311976</v>
      </c>
    </row>
    <row r="297" spans="1:8" ht="12.75">
      <c r="A297" s="184"/>
      <c r="B297" s="186"/>
      <c r="C297" s="150">
        <v>4530</v>
      </c>
      <c r="D297" s="152" t="s">
        <v>730</v>
      </c>
      <c r="E297" s="153">
        <v>1000</v>
      </c>
      <c r="F297" s="154">
        <v>0</v>
      </c>
      <c r="G297" s="155">
        <f>F297/E297*100</f>
        <v>0</v>
      </c>
      <c r="H297" s="139">
        <f t="shared" si="25"/>
        <v>1000</v>
      </c>
    </row>
    <row r="298" spans="1:8" ht="12.75">
      <c r="A298" s="184"/>
      <c r="B298" s="186"/>
      <c r="C298" s="150">
        <v>4740</v>
      </c>
      <c r="D298" s="152" t="s">
        <v>690</v>
      </c>
      <c r="E298" s="153">
        <v>0</v>
      </c>
      <c r="F298" s="154">
        <v>9000</v>
      </c>
      <c r="G298" s="155">
        <v>0</v>
      </c>
      <c r="H298" s="139">
        <f t="shared" si="25"/>
        <v>9000</v>
      </c>
    </row>
    <row r="299" spans="1:8" ht="12.75">
      <c r="A299" s="184"/>
      <c r="B299" s="186"/>
      <c r="C299" s="150">
        <v>4750</v>
      </c>
      <c r="D299" s="152" t="s">
        <v>691</v>
      </c>
      <c r="E299" s="153">
        <v>0</v>
      </c>
      <c r="F299" s="154">
        <v>7000</v>
      </c>
      <c r="G299" s="155">
        <v>0</v>
      </c>
      <c r="H299" s="139">
        <f t="shared" si="25"/>
        <v>7000</v>
      </c>
    </row>
    <row r="300" spans="1:8" ht="12.75">
      <c r="A300" s="184"/>
      <c r="B300" s="186"/>
      <c r="C300" s="150">
        <v>6050</v>
      </c>
      <c r="D300" s="152" t="s">
        <v>668</v>
      </c>
      <c r="E300" s="153">
        <v>0</v>
      </c>
      <c r="F300" s="982">
        <v>13500</v>
      </c>
      <c r="G300" s="155">
        <v>0</v>
      </c>
      <c r="H300" s="139">
        <f t="shared" si="25"/>
        <v>13500</v>
      </c>
    </row>
    <row r="301" spans="1:8" ht="12.75">
      <c r="A301" s="184"/>
      <c r="B301" s="186"/>
      <c r="C301" s="150">
        <v>6060</v>
      </c>
      <c r="D301" s="152" t="s">
        <v>669</v>
      </c>
      <c r="E301" s="153">
        <v>38000</v>
      </c>
      <c r="F301" s="154">
        <v>0</v>
      </c>
      <c r="G301" s="155">
        <v>0</v>
      </c>
      <c r="H301" s="139">
        <f t="shared" si="25"/>
        <v>38000</v>
      </c>
    </row>
    <row r="302" spans="1:8" ht="12.75">
      <c r="A302" s="184"/>
      <c r="B302" s="186"/>
      <c r="C302" s="150"/>
      <c r="D302" s="152"/>
      <c r="E302" s="153"/>
      <c r="F302" s="154"/>
      <c r="G302" s="153"/>
      <c r="H302" s="139"/>
    </row>
    <row r="303" spans="1:8" ht="12.75">
      <c r="A303" s="184"/>
      <c r="B303" s="109">
        <v>80146</v>
      </c>
      <c r="C303" s="145"/>
      <c r="D303" s="92" t="s">
        <v>731</v>
      </c>
      <c r="E303" s="146">
        <f>SUM(E304:E306)</f>
        <v>31930</v>
      </c>
      <c r="F303" s="146">
        <f>SUM(F304:F306)</f>
        <v>49800</v>
      </c>
      <c r="G303" s="158">
        <f>F303/E303*100</f>
        <v>155.9661760100219</v>
      </c>
      <c r="H303" s="149">
        <f>E303+F303</f>
        <v>81730</v>
      </c>
    </row>
    <row r="304" spans="1:8" ht="12.75">
      <c r="A304" s="184"/>
      <c r="B304" s="150"/>
      <c r="C304" s="150">
        <v>4170</v>
      </c>
      <c r="D304" s="152" t="s">
        <v>651</v>
      </c>
      <c r="E304" s="153">
        <v>500</v>
      </c>
      <c r="F304" s="154">
        <v>0</v>
      </c>
      <c r="G304" s="155">
        <f>F304/E304*100</f>
        <v>0</v>
      </c>
      <c r="H304" s="139"/>
    </row>
    <row r="305" spans="1:8" ht="12.75">
      <c r="A305" s="184"/>
      <c r="B305" s="150"/>
      <c r="C305" s="150">
        <v>4300</v>
      </c>
      <c r="D305" s="152" t="s">
        <v>641</v>
      </c>
      <c r="E305" s="153">
        <v>28271</v>
      </c>
      <c r="F305" s="154">
        <v>49800</v>
      </c>
      <c r="G305" s="155">
        <f>F305/E305*100</f>
        <v>176.15224081213964</v>
      </c>
      <c r="H305" s="139">
        <f>E305+F305</f>
        <v>78071</v>
      </c>
    </row>
    <row r="306" spans="1:8" ht="12.75">
      <c r="A306" s="184"/>
      <c r="B306" s="150"/>
      <c r="C306" s="150">
        <v>4410</v>
      </c>
      <c r="D306" s="152" t="s">
        <v>659</v>
      </c>
      <c r="E306" s="153">
        <v>3159</v>
      </c>
      <c r="F306" s="154">
        <v>0</v>
      </c>
      <c r="G306" s="155">
        <f>F306/E306*100</f>
        <v>0</v>
      </c>
      <c r="H306" s="139">
        <f>E306+F306</f>
        <v>3159</v>
      </c>
    </row>
    <row r="307" spans="1:8" ht="12.75">
      <c r="A307" s="184"/>
      <c r="B307" s="150"/>
      <c r="C307" s="150"/>
      <c r="D307" s="152"/>
      <c r="E307" s="153"/>
      <c r="F307" s="154"/>
      <c r="G307" s="153"/>
      <c r="H307" s="139"/>
    </row>
    <row r="308" spans="1:8" ht="12.75">
      <c r="A308" s="184"/>
      <c r="B308" s="109">
        <v>80195</v>
      </c>
      <c r="C308" s="145"/>
      <c r="D308" s="92" t="s">
        <v>621</v>
      </c>
      <c r="E308" s="146">
        <f>SUM(E309:E319)</f>
        <v>124787</v>
      </c>
      <c r="F308" s="147">
        <f>SUM(F309:F319)</f>
        <v>104756</v>
      </c>
      <c r="G308" s="158">
        <f>F308/E308*100</f>
        <v>83.9478471315121</v>
      </c>
      <c r="H308" s="149">
        <f>E308+F308</f>
        <v>229543</v>
      </c>
    </row>
    <row r="309" spans="1:8" ht="12.75">
      <c r="A309" s="184"/>
      <c r="B309" s="150"/>
      <c r="C309" s="150">
        <v>2820</v>
      </c>
      <c r="D309" s="152" t="s">
        <v>732</v>
      </c>
      <c r="E309" s="153">
        <v>0</v>
      </c>
      <c r="F309" s="154">
        <v>10000</v>
      </c>
      <c r="G309" s="155">
        <v>0</v>
      </c>
      <c r="H309" s="139">
        <f>E309+F309</f>
        <v>10000</v>
      </c>
    </row>
    <row r="310" spans="1:8" ht="12.75">
      <c r="A310" s="184"/>
      <c r="B310" s="150"/>
      <c r="C310" s="150"/>
      <c r="D310" s="152" t="s">
        <v>733</v>
      </c>
      <c r="E310" s="153"/>
      <c r="F310" s="154"/>
      <c r="G310" s="153"/>
      <c r="H310" s="139"/>
    </row>
    <row r="311" spans="1:8" ht="12.75">
      <c r="A311" s="184"/>
      <c r="B311" s="150"/>
      <c r="C311" s="150">
        <v>3030</v>
      </c>
      <c r="D311" s="152" t="s">
        <v>693</v>
      </c>
      <c r="E311" s="153">
        <v>824</v>
      </c>
      <c r="F311" s="154">
        <v>0</v>
      </c>
      <c r="G311" s="155">
        <f aca="true" t="shared" si="26" ref="G311:G319">F311/E311*100</f>
        <v>0</v>
      </c>
      <c r="H311" s="139">
        <f aca="true" t="shared" si="27" ref="H311:H319">F311+E311</f>
        <v>824</v>
      </c>
    </row>
    <row r="312" spans="1:8" ht="12.75">
      <c r="A312" s="184"/>
      <c r="B312" s="150"/>
      <c r="C312" s="150">
        <v>4010</v>
      </c>
      <c r="D312" s="152" t="s">
        <v>647</v>
      </c>
      <c r="E312" s="153">
        <v>20081</v>
      </c>
      <c r="F312" s="154">
        <v>29733</v>
      </c>
      <c r="G312" s="155">
        <f t="shared" si="26"/>
        <v>148.06533539166375</v>
      </c>
      <c r="H312" s="139">
        <f t="shared" si="27"/>
        <v>49814</v>
      </c>
    </row>
    <row r="313" spans="1:8" ht="12.75">
      <c r="A313" s="184"/>
      <c r="B313" s="150"/>
      <c r="C313" s="150">
        <v>4110</v>
      </c>
      <c r="D313" s="152" t="s">
        <v>649</v>
      </c>
      <c r="E313" s="153">
        <v>4307</v>
      </c>
      <c r="F313" s="154">
        <v>6361</v>
      </c>
      <c r="G313" s="155">
        <f t="shared" si="26"/>
        <v>147.6898072904574</v>
      </c>
      <c r="H313" s="139">
        <f t="shared" si="27"/>
        <v>10668</v>
      </c>
    </row>
    <row r="314" spans="1:8" ht="12.75">
      <c r="A314" s="184"/>
      <c r="B314" s="150"/>
      <c r="C314" s="150">
        <v>4120</v>
      </c>
      <c r="D314" s="152" t="s">
        <v>650</v>
      </c>
      <c r="E314" s="153">
        <v>612</v>
      </c>
      <c r="F314" s="154">
        <v>907</v>
      </c>
      <c r="G314" s="155">
        <f t="shared" si="26"/>
        <v>148.20261437908496</v>
      </c>
      <c r="H314" s="139">
        <f t="shared" si="27"/>
        <v>1519</v>
      </c>
    </row>
    <row r="315" spans="1:8" ht="12.75">
      <c r="A315" s="184"/>
      <c r="B315" s="150"/>
      <c r="C315" s="150">
        <v>4170</v>
      </c>
      <c r="D315" s="152" t="s">
        <v>651</v>
      </c>
      <c r="E315" s="153">
        <v>400</v>
      </c>
      <c r="F315" s="154">
        <v>0</v>
      </c>
      <c r="G315" s="155">
        <f t="shared" si="26"/>
        <v>0</v>
      </c>
      <c r="H315" s="139">
        <f t="shared" si="27"/>
        <v>400</v>
      </c>
    </row>
    <row r="316" spans="1:8" ht="12.75">
      <c r="A316" s="184"/>
      <c r="B316" s="150"/>
      <c r="C316" s="150">
        <v>4210</v>
      </c>
      <c r="D316" s="152" t="s">
        <v>652</v>
      </c>
      <c r="E316" s="153">
        <v>8150</v>
      </c>
      <c r="F316" s="154">
        <v>0</v>
      </c>
      <c r="G316" s="155">
        <f t="shared" si="26"/>
        <v>0</v>
      </c>
      <c r="H316" s="139">
        <f t="shared" si="27"/>
        <v>8150</v>
      </c>
    </row>
    <row r="317" spans="1:8" ht="12.75">
      <c r="A317" s="184"/>
      <c r="B317" s="150"/>
      <c r="C317" s="150">
        <v>4300</v>
      </c>
      <c r="D317" s="152" t="s">
        <v>641</v>
      </c>
      <c r="E317" s="153">
        <v>39524</v>
      </c>
      <c r="F317" s="154">
        <v>0</v>
      </c>
      <c r="G317" s="155">
        <f t="shared" si="26"/>
        <v>0</v>
      </c>
      <c r="H317" s="139">
        <f t="shared" si="27"/>
        <v>39524</v>
      </c>
    </row>
    <row r="318" spans="1:8" ht="12.75">
      <c r="A318" s="184"/>
      <c r="B318" s="150"/>
      <c r="C318" s="150">
        <v>4410</v>
      </c>
      <c r="D318" s="152" t="s">
        <v>659</v>
      </c>
      <c r="E318" s="153">
        <v>25</v>
      </c>
      <c r="F318" s="154">
        <v>0</v>
      </c>
      <c r="G318" s="155">
        <f t="shared" si="26"/>
        <v>0</v>
      </c>
      <c r="H318" s="139">
        <f t="shared" si="27"/>
        <v>25</v>
      </c>
    </row>
    <row r="319" spans="1:8" ht="12.75">
      <c r="A319" s="184"/>
      <c r="B319" s="150"/>
      <c r="C319" s="150">
        <v>4440</v>
      </c>
      <c r="D319" s="152" t="s">
        <v>661</v>
      </c>
      <c r="E319" s="153">
        <v>50864</v>
      </c>
      <c r="F319" s="154">
        <v>57755</v>
      </c>
      <c r="G319" s="155">
        <f t="shared" si="26"/>
        <v>113.5478924189997</v>
      </c>
      <c r="H319" s="139">
        <f t="shared" si="27"/>
        <v>108619</v>
      </c>
    </row>
    <row r="320" spans="1:8" ht="12.75">
      <c r="A320" s="184"/>
      <c r="B320" s="150"/>
      <c r="C320" s="150"/>
      <c r="D320" s="152"/>
      <c r="E320" s="153"/>
      <c r="F320" s="154"/>
      <c r="G320" s="155"/>
      <c r="H320" s="139"/>
    </row>
    <row r="321" spans="1:8" ht="12.75">
      <c r="A321" s="184"/>
      <c r="B321" s="109">
        <v>80197</v>
      </c>
      <c r="C321" s="145"/>
      <c r="D321" s="92" t="s">
        <v>407</v>
      </c>
      <c r="E321" s="146">
        <f>E322</f>
        <v>30040</v>
      </c>
      <c r="F321" s="146">
        <f>F322</f>
        <v>22998</v>
      </c>
      <c r="G321" s="158">
        <f>F321/E321*100</f>
        <v>76.55792276964047</v>
      </c>
      <c r="H321" s="149">
        <f>F321+E321</f>
        <v>53038</v>
      </c>
    </row>
    <row r="322" spans="1:8" ht="12.75">
      <c r="A322" s="184"/>
      <c r="B322" s="150"/>
      <c r="C322" s="150">
        <v>4110</v>
      </c>
      <c r="D322" s="152" t="s">
        <v>649</v>
      </c>
      <c r="E322" s="153">
        <v>30040</v>
      </c>
      <c r="F322" s="154">
        <v>22998</v>
      </c>
      <c r="G322" s="155">
        <f>F322/E322*100</f>
        <v>76.55792276964047</v>
      </c>
      <c r="H322" s="139">
        <f>F322+E322</f>
        <v>53038</v>
      </c>
    </row>
    <row r="323" spans="1:8" ht="12.75">
      <c r="A323" s="184"/>
      <c r="B323" s="150"/>
      <c r="C323" s="150"/>
      <c r="D323" s="152"/>
      <c r="E323" s="153"/>
      <c r="F323" s="154"/>
      <c r="G323" s="153"/>
      <c r="H323" s="139"/>
    </row>
    <row r="324" spans="1:8" ht="13.5" thickBot="1">
      <c r="A324" s="190">
        <v>803</v>
      </c>
      <c r="B324" s="140"/>
      <c r="C324" s="140"/>
      <c r="D324" s="100" t="s">
        <v>734</v>
      </c>
      <c r="E324" s="141">
        <f>E325</f>
        <v>388183</v>
      </c>
      <c r="F324" s="191">
        <f>F325</f>
        <v>614084</v>
      </c>
      <c r="G324" s="142">
        <f aca="true" t="shared" si="28" ref="G324:G334">F324/E324*100</f>
        <v>158.1944598295134</v>
      </c>
      <c r="H324" s="143">
        <f aca="true" t="shared" si="29" ref="H324:H334">F324+E324</f>
        <v>1002267</v>
      </c>
    </row>
    <row r="325" spans="1:8" ht="12.75">
      <c r="A325" s="184"/>
      <c r="B325" s="109">
        <v>80309</v>
      </c>
      <c r="C325" s="145"/>
      <c r="D325" s="92" t="s">
        <v>735</v>
      </c>
      <c r="E325" s="146">
        <f>SUM(E326:E334)</f>
        <v>388183</v>
      </c>
      <c r="F325" s="192">
        <f>SUM(F326:F334)</f>
        <v>614084</v>
      </c>
      <c r="G325" s="148">
        <f t="shared" si="28"/>
        <v>158.1944598295134</v>
      </c>
      <c r="H325" s="149">
        <f t="shared" si="29"/>
        <v>1002267</v>
      </c>
    </row>
    <row r="326" spans="1:8" ht="12.75">
      <c r="A326" s="184"/>
      <c r="B326" s="150"/>
      <c r="C326" s="150">
        <v>3210</v>
      </c>
      <c r="D326" s="152" t="s">
        <v>736</v>
      </c>
      <c r="E326" s="153">
        <v>18280</v>
      </c>
      <c r="F326" s="154">
        <v>40131</v>
      </c>
      <c r="G326" s="155">
        <f t="shared" si="28"/>
        <v>219.53501094091905</v>
      </c>
      <c r="H326" s="139">
        <f t="shared" si="29"/>
        <v>58411</v>
      </c>
    </row>
    <row r="327" spans="1:8" ht="12.75">
      <c r="A327" s="184"/>
      <c r="B327" s="150"/>
      <c r="C327" s="150">
        <v>3218</v>
      </c>
      <c r="D327" s="152" t="s">
        <v>736</v>
      </c>
      <c r="E327" s="153">
        <v>249076</v>
      </c>
      <c r="F327" s="154">
        <v>399877</v>
      </c>
      <c r="G327" s="155">
        <f t="shared" si="28"/>
        <v>160.54417125696574</v>
      </c>
      <c r="H327" s="139">
        <f t="shared" si="29"/>
        <v>648953</v>
      </c>
    </row>
    <row r="328" spans="1:8" ht="12.75">
      <c r="A328" s="184"/>
      <c r="B328" s="150"/>
      <c r="C328" s="150">
        <v>3219</v>
      </c>
      <c r="D328" s="152" t="s">
        <v>736</v>
      </c>
      <c r="E328" s="153">
        <v>83025</v>
      </c>
      <c r="F328" s="154">
        <v>133292</v>
      </c>
      <c r="G328" s="155">
        <f t="shared" si="28"/>
        <v>160.54441433303222</v>
      </c>
      <c r="H328" s="139">
        <f t="shared" si="29"/>
        <v>216317</v>
      </c>
    </row>
    <row r="329" spans="1:8" ht="12.75">
      <c r="A329" s="184"/>
      <c r="B329" s="150"/>
      <c r="C329" s="150">
        <v>4210</v>
      </c>
      <c r="D329" s="152" t="s">
        <v>652</v>
      </c>
      <c r="E329" s="153">
        <v>984</v>
      </c>
      <c r="F329" s="154">
        <v>263</v>
      </c>
      <c r="G329" s="155">
        <f t="shared" si="28"/>
        <v>26.727642276422763</v>
      </c>
      <c r="H329" s="139">
        <f t="shared" si="29"/>
        <v>1247</v>
      </c>
    </row>
    <row r="330" spans="1:8" ht="12.75">
      <c r="A330" s="184"/>
      <c r="B330" s="150"/>
      <c r="C330" s="150">
        <v>4218</v>
      </c>
      <c r="D330" s="152" t="s">
        <v>652</v>
      </c>
      <c r="E330" s="153">
        <v>10481</v>
      </c>
      <c r="F330" s="154">
        <v>2619</v>
      </c>
      <c r="G330" s="155">
        <f t="shared" si="28"/>
        <v>24.98807365709379</v>
      </c>
      <c r="H330" s="139">
        <f t="shared" si="29"/>
        <v>13100</v>
      </c>
    </row>
    <row r="331" spans="1:8" ht="12.75">
      <c r="A331" s="184"/>
      <c r="B331" s="150"/>
      <c r="C331" s="150">
        <v>4219</v>
      </c>
      <c r="D331" s="152" t="s">
        <v>652</v>
      </c>
      <c r="E331" s="153">
        <v>3494</v>
      </c>
      <c r="F331" s="154">
        <v>873</v>
      </c>
      <c r="G331" s="155">
        <f t="shared" si="28"/>
        <v>24.985689753863767</v>
      </c>
      <c r="H331" s="139">
        <f t="shared" si="29"/>
        <v>4367</v>
      </c>
    </row>
    <row r="332" spans="1:8" ht="12.75">
      <c r="A332" s="184"/>
      <c r="B332" s="150"/>
      <c r="C332" s="150">
        <v>4300</v>
      </c>
      <c r="D332" s="152" t="s">
        <v>641</v>
      </c>
      <c r="E332" s="153">
        <v>4826</v>
      </c>
      <c r="F332" s="154">
        <v>2592</v>
      </c>
      <c r="G332" s="155">
        <f t="shared" si="28"/>
        <v>53.70907583920431</v>
      </c>
      <c r="H332" s="139">
        <f t="shared" si="29"/>
        <v>7418</v>
      </c>
    </row>
    <row r="333" spans="1:8" ht="12.75">
      <c r="A333" s="184"/>
      <c r="B333" s="150"/>
      <c r="C333" s="150">
        <v>4308</v>
      </c>
      <c r="D333" s="152" t="s">
        <v>641</v>
      </c>
      <c r="E333" s="153">
        <v>13513</v>
      </c>
      <c r="F333" s="154">
        <v>25828</v>
      </c>
      <c r="G333" s="155">
        <f t="shared" si="28"/>
        <v>191.13446310959816</v>
      </c>
      <c r="H333" s="139">
        <f t="shared" si="29"/>
        <v>39341</v>
      </c>
    </row>
    <row r="334" spans="1:8" ht="12.75">
      <c r="A334" s="184"/>
      <c r="B334" s="150"/>
      <c r="C334" s="150">
        <v>4309</v>
      </c>
      <c r="D334" s="152" t="s">
        <v>641</v>
      </c>
      <c r="E334" s="153">
        <v>4504</v>
      </c>
      <c r="F334" s="154">
        <v>8609</v>
      </c>
      <c r="G334" s="155">
        <f t="shared" si="28"/>
        <v>191.1412078152753</v>
      </c>
      <c r="H334" s="139">
        <f t="shared" si="29"/>
        <v>13113</v>
      </c>
    </row>
    <row r="335" spans="1:8" ht="12.75">
      <c r="A335" s="184"/>
      <c r="B335" s="150"/>
      <c r="C335" s="150"/>
      <c r="D335" s="152"/>
      <c r="E335" s="153"/>
      <c r="F335" s="154"/>
      <c r="G335" s="153"/>
      <c r="H335" s="139"/>
    </row>
    <row r="336" spans="1:8" ht="13.5" thickBot="1">
      <c r="A336" s="193">
        <v>851</v>
      </c>
      <c r="B336" s="194"/>
      <c r="C336" s="195"/>
      <c r="D336" s="117" t="s">
        <v>737</v>
      </c>
      <c r="E336" s="141">
        <f>E354+E358+E351+E337+E347</f>
        <v>3234906</v>
      </c>
      <c r="F336" s="159">
        <f>F354+F358+F351+F337+F347</f>
        <v>3245925</v>
      </c>
      <c r="G336" s="142">
        <f>F336/E336*100</f>
        <v>100.3406281357171</v>
      </c>
      <c r="H336" s="143">
        <f>E336+F336</f>
        <v>6480831</v>
      </c>
    </row>
    <row r="337" spans="1:8" ht="12.75">
      <c r="A337" s="196"/>
      <c r="B337" s="180">
        <v>85111</v>
      </c>
      <c r="C337" s="197"/>
      <c r="D337" s="118" t="s">
        <v>738</v>
      </c>
      <c r="E337" s="182">
        <f>SUM(E338:E343)</f>
        <v>652481</v>
      </c>
      <c r="F337" s="182">
        <f>SUM(F338:F343)</f>
        <v>0</v>
      </c>
      <c r="G337" s="148">
        <f>F337/E337*100</f>
        <v>0</v>
      </c>
      <c r="H337" s="183">
        <f>F337+E337</f>
        <v>652481</v>
      </c>
    </row>
    <row r="338" spans="1:8" ht="12.75">
      <c r="A338" s="196"/>
      <c r="B338" s="156"/>
      <c r="C338" s="198">
        <v>2560</v>
      </c>
      <c r="D338" s="188" t="s">
        <v>739</v>
      </c>
      <c r="E338" s="153">
        <v>0</v>
      </c>
      <c r="F338" s="199">
        <v>0</v>
      </c>
      <c r="G338" s="155">
        <v>0</v>
      </c>
      <c r="H338" s="139">
        <f>E338+F338</f>
        <v>0</v>
      </c>
    </row>
    <row r="339" spans="1:8" ht="12.75">
      <c r="A339" s="196"/>
      <c r="B339" s="156"/>
      <c r="C339" s="198"/>
      <c r="D339" s="188" t="s">
        <v>740</v>
      </c>
      <c r="E339" s="153"/>
      <c r="F339" s="199"/>
      <c r="G339" s="155"/>
      <c r="H339" s="139"/>
    </row>
    <row r="340" spans="1:8" ht="12.75">
      <c r="A340" s="196"/>
      <c r="B340" s="156"/>
      <c r="C340" s="198">
        <v>6220</v>
      </c>
      <c r="D340" s="188" t="s">
        <v>741</v>
      </c>
      <c r="E340" s="153">
        <v>593800</v>
      </c>
      <c r="F340" s="199">
        <v>0</v>
      </c>
      <c r="G340" s="155">
        <f>F340/E340*100</f>
        <v>0</v>
      </c>
      <c r="H340" s="139">
        <f>E340+F340</f>
        <v>593800</v>
      </c>
    </row>
    <row r="341" spans="1:8" ht="12.75">
      <c r="A341" s="196"/>
      <c r="B341" s="156"/>
      <c r="C341" s="198"/>
      <c r="D341" s="188" t="s">
        <v>742</v>
      </c>
      <c r="E341" s="153"/>
      <c r="F341" s="199"/>
      <c r="G341" s="155"/>
      <c r="H341" s="139"/>
    </row>
    <row r="342" spans="1:8" ht="12.75">
      <c r="A342" s="196"/>
      <c r="B342" s="156"/>
      <c r="C342" s="198"/>
      <c r="D342" s="188" t="s">
        <v>743</v>
      </c>
      <c r="E342" s="153"/>
      <c r="F342" s="199"/>
      <c r="G342" s="155"/>
      <c r="H342" s="139"/>
    </row>
    <row r="343" spans="1:8" ht="12.75">
      <c r="A343" s="196"/>
      <c r="B343" s="156"/>
      <c r="C343" s="198">
        <v>6229</v>
      </c>
      <c r="D343" s="188" t="s">
        <v>741</v>
      </c>
      <c r="E343" s="153">
        <v>58681</v>
      </c>
      <c r="F343" s="199">
        <v>0</v>
      </c>
      <c r="G343" s="155">
        <f>F343/E343*100</f>
        <v>0</v>
      </c>
      <c r="H343" s="139">
        <f>E343+F343</f>
        <v>58681</v>
      </c>
    </row>
    <row r="344" spans="1:8" ht="12.75">
      <c r="A344" s="196"/>
      <c r="B344" s="156"/>
      <c r="C344" s="198"/>
      <c r="D344" s="188" t="s">
        <v>742</v>
      </c>
      <c r="E344" s="153"/>
      <c r="F344" s="199"/>
      <c r="G344" s="153"/>
      <c r="H344" s="139"/>
    </row>
    <row r="345" spans="1:8" ht="12.75">
      <c r="A345" s="196"/>
      <c r="B345" s="156"/>
      <c r="C345" s="198"/>
      <c r="D345" s="188" t="s">
        <v>743</v>
      </c>
      <c r="E345" s="153"/>
      <c r="F345" s="199"/>
      <c r="G345" s="153"/>
      <c r="H345" s="139"/>
    </row>
    <row r="346" spans="1:8" ht="12.75">
      <c r="A346" s="196"/>
      <c r="B346" s="156"/>
      <c r="C346" s="198"/>
      <c r="D346" s="188"/>
      <c r="E346" s="153"/>
      <c r="F346" s="199"/>
      <c r="G346" s="153"/>
      <c r="H346" s="139"/>
    </row>
    <row r="347" spans="1:8" ht="12.75">
      <c r="A347" s="196"/>
      <c r="B347" s="109">
        <v>85141</v>
      </c>
      <c r="C347" s="200"/>
      <c r="D347" s="201" t="s">
        <v>744</v>
      </c>
      <c r="E347" s="146">
        <f>E348</f>
        <v>35000</v>
      </c>
      <c r="F347" s="147">
        <f>F348</f>
        <v>0</v>
      </c>
      <c r="G347" s="158">
        <v>0</v>
      </c>
      <c r="H347" s="149">
        <f>F347+E347</f>
        <v>35000</v>
      </c>
    </row>
    <row r="348" spans="1:8" ht="12.75">
      <c r="A348" s="196"/>
      <c r="B348" s="156"/>
      <c r="C348" s="150">
        <v>6620</v>
      </c>
      <c r="D348" s="166" t="s">
        <v>137</v>
      </c>
      <c r="E348" s="153">
        <v>35000</v>
      </c>
      <c r="F348" s="199">
        <v>0</v>
      </c>
      <c r="G348" s="155">
        <v>0</v>
      </c>
      <c r="H348" s="139">
        <f>F348+E348</f>
        <v>35000</v>
      </c>
    </row>
    <row r="349" spans="1:8" ht="12.75">
      <c r="A349" s="196"/>
      <c r="B349" s="156"/>
      <c r="C349" s="198"/>
      <c r="D349" s="166" t="s">
        <v>138</v>
      </c>
      <c r="E349" s="153"/>
      <c r="F349" s="199"/>
      <c r="G349" s="155"/>
      <c r="H349" s="139"/>
    </row>
    <row r="350" spans="1:8" ht="12.75">
      <c r="A350" s="196"/>
      <c r="B350" s="202"/>
      <c r="C350" s="203"/>
      <c r="D350" s="204"/>
      <c r="E350" s="205"/>
      <c r="F350" s="206"/>
      <c r="G350" s="153"/>
      <c r="H350" s="207"/>
    </row>
    <row r="351" spans="1:8" ht="12.75">
      <c r="A351" s="196"/>
      <c r="B351" s="109">
        <v>85149</v>
      </c>
      <c r="C351" s="109"/>
      <c r="D351" s="201" t="s">
        <v>746</v>
      </c>
      <c r="E351" s="146">
        <f>SUM(E352:E352)</f>
        <v>3000</v>
      </c>
      <c r="F351" s="147">
        <f>SUM(F352:F352)</f>
        <v>3000</v>
      </c>
      <c r="G351" s="158">
        <f>F351/E351*100</f>
        <v>100</v>
      </c>
      <c r="H351" s="149">
        <f>E351+F351</f>
        <v>6000</v>
      </c>
    </row>
    <row r="352" spans="1:8" ht="12.75">
      <c r="A352" s="196"/>
      <c r="B352" s="202"/>
      <c r="C352" s="156">
        <v>4300</v>
      </c>
      <c r="D352" s="188" t="s">
        <v>641</v>
      </c>
      <c r="E352" s="153">
        <v>3000</v>
      </c>
      <c r="F352" s="154">
        <v>3000</v>
      </c>
      <c r="G352" s="155">
        <f>F352/E352*100</f>
        <v>100</v>
      </c>
      <c r="H352" s="139">
        <f>E352+F352</f>
        <v>6000</v>
      </c>
    </row>
    <row r="353" spans="1:8" ht="12.75">
      <c r="A353" s="196"/>
      <c r="B353" s="202"/>
      <c r="C353" s="203"/>
      <c r="D353" s="204"/>
      <c r="E353" s="153"/>
      <c r="F353" s="154"/>
      <c r="G353" s="153"/>
      <c r="H353" s="139"/>
    </row>
    <row r="354" spans="1:8" ht="12.75">
      <c r="A354" s="196"/>
      <c r="B354" s="109">
        <v>85154</v>
      </c>
      <c r="C354" s="200"/>
      <c r="D354" s="201" t="s">
        <v>747</v>
      </c>
      <c r="E354" s="146">
        <f>SUM(E355:E356)</f>
        <v>15425</v>
      </c>
      <c r="F354" s="146">
        <f>SUM(F355:F356)</f>
        <v>4925</v>
      </c>
      <c r="G354" s="158">
        <f>F354/E354*100</f>
        <v>31.92868719611021</v>
      </c>
      <c r="H354" s="149">
        <f>E354+F354</f>
        <v>20350</v>
      </c>
    </row>
    <row r="355" spans="1:8" ht="12.75">
      <c r="A355" s="196"/>
      <c r="B355" s="156"/>
      <c r="C355" s="198">
        <v>4110</v>
      </c>
      <c r="D355" s="152" t="s">
        <v>649</v>
      </c>
      <c r="E355" s="153">
        <v>592</v>
      </c>
      <c r="F355" s="154">
        <v>0</v>
      </c>
      <c r="G355" s="155"/>
      <c r="H355" s="139"/>
    </row>
    <row r="356" spans="1:8" ht="12.75">
      <c r="A356" s="196"/>
      <c r="B356" s="156"/>
      <c r="C356" s="198">
        <v>4300</v>
      </c>
      <c r="D356" s="188" t="s">
        <v>641</v>
      </c>
      <c r="E356" s="153">
        <v>14833</v>
      </c>
      <c r="F356" s="154">
        <v>4925</v>
      </c>
      <c r="G356" s="155">
        <f>F356/E356*100</f>
        <v>33.20299332569272</v>
      </c>
      <c r="H356" s="139">
        <f>E356+F356</f>
        <v>19758</v>
      </c>
    </row>
    <row r="357" spans="1:8" ht="12.75">
      <c r="A357" s="196"/>
      <c r="B357" s="156"/>
      <c r="C357" s="198"/>
      <c r="D357" s="166"/>
      <c r="E357" s="153"/>
      <c r="F357" s="154"/>
      <c r="G357" s="153"/>
      <c r="H357" s="139"/>
    </row>
    <row r="358" spans="1:8" ht="12.75">
      <c r="A358" s="184"/>
      <c r="B358" s="109">
        <v>85156</v>
      </c>
      <c r="C358" s="145"/>
      <c r="D358" s="92" t="s">
        <v>748</v>
      </c>
      <c r="E358" s="146">
        <f>SUM(E359:E361)</f>
        <v>2529000</v>
      </c>
      <c r="F358" s="147">
        <f>SUM(F359:F361)</f>
        <v>3238000</v>
      </c>
      <c r="G358" s="158">
        <f>F358/E358*100</f>
        <v>128.0347963621985</v>
      </c>
      <c r="H358" s="149">
        <f>E358+F358</f>
        <v>5767000</v>
      </c>
    </row>
    <row r="359" spans="1:8" ht="12.75">
      <c r="A359" s="184"/>
      <c r="B359" s="150"/>
      <c r="C359" s="151" t="s">
        <v>749</v>
      </c>
      <c r="D359" s="152" t="s">
        <v>750</v>
      </c>
      <c r="E359" s="153">
        <v>0</v>
      </c>
      <c r="F359" s="154">
        <v>0</v>
      </c>
      <c r="G359" s="155">
        <v>0</v>
      </c>
      <c r="H359" s="139">
        <f>F359+E359</f>
        <v>0</v>
      </c>
    </row>
    <row r="360" spans="1:8" ht="12.75">
      <c r="A360" s="184"/>
      <c r="B360" s="150"/>
      <c r="C360" s="151"/>
      <c r="D360" s="152" t="s">
        <v>751</v>
      </c>
      <c r="E360" s="153"/>
      <c r="F360" s="154"/>
      <c r="G360" s="153"/>
      <c r="H360" s="139"/>
    </row>
    <row r="361" spans="1:8" ht="12.75">
      <c r="A361" s="184"/>
      <c r="B361" s="186"/>
      <c r="C361" s="151" t="s">
        <v>752</v>
      </c>
      <c r="D361" s="152" t="s">
        <v>753</v>
      </c>
      <c r="E361" s="153">
        <v>2529000</v>
      </c>
      <c r="F361" s="154">
        <v>3238000</v>
      </c>
      <c r="G361" s="155">
        <f>F361/E361*100</f>
        <v>128.0347963621985</v>
      </c>
      <c r="H361" s="139">
        <f>E361+F361</f>
        <v>5767000</v>
      </c>
    </row>
    <row r="362" spans="1:8" ht="12.75">
      <c r="A362" s="184"/>
      <c r="B362" s="208"/>
      <c r="C362" s="209"/>
      <c r="D362" s="108"/>
      <c r="E362" s="153"/>
      <c r="F362" s="154"/>
      <c r="G362" s="153"/>
      <c r="H362" s="139"/>
    </row>
    <row r="363" spans="1:8" ht="13.5" thickBot="1">
      <c r="A363" s="107">
        <v>852</v>
      </c>
      <c r="B363" s="210"/>
      <c r="C363" s="171"/>
      <c r="D363" s="100" t="s">
        <v>754</v>
      </c>
      <c r="E363" s="141">
        <f>E364+E392+E442+E449+E473+E422+E482+E485</f>
        <v>8947959</v>
      </c>
      <c r="F363" s="141">
        <f>F364+F392+F442+F449+F473+F422+F482+F485</f>
        <v>8665857</v>
      </c>
      <c r="G363" s="142">
        <f aca="true" t="shared" si="30" ref="G363:G379">F363/E363*100</f>
        <v>96.84730339063914</v>
      </c>
      <c r="H363" s="143">
        <f aca="true" t="shared" si="31" ref="H363:H390">E363+F363</f>
        <v>17613816</v>
      </c>
    </row>
    <row r="364" spans="1:8" ht="12.75">
      <c r="A364" s="184"/>
      <c r="B364" s="109">
        <v>85201</v>
      </c>
      <c r="C364" s="145"/>
      <c r="D364" s="92" t="s">
        <v>755</v>
      </c>
      <c r="E364" s="146">
        <f>SUM(E365:E390)</f>
        <v>2061498</v>
      </c>
      <c r="F364" s="147">
        <f>SUM(F365:F390)</f>
        <v>1993643</v>
      </c>
      <c r="G364" s="148">
        <f t="shared" si="30"/>
        <v>96.70846151681933</v>
      </c>
      <c r="H364" s="183">
        <f t="shared" si="31"/>
        <v>4055141</v>
      </c>
    </row>
    <row r="365" spans="1:8" ht="12.75">
      <c r="A365" s="184"/>
      <c r="B365" s="150"/>
      <c r="C365" s="150">
        <v>2310</v>
      </c>
      <c r="D365" s="166" t="s">
        <v>745</v>
      </c>
      <c r="E365" s="153">
        <v>549625</v>
      </c>
      <c r="F365" s="154">
        <v>535125</v>
      </c>
      <c r="G365" s="155">
        <f t="shared" si="30"/>
        <v>97.36183761655674</v>
      </c>
      <c r="H365" s="139">
        <f t="shared" si="31"/>
        <v>1084750</v>
      </c>
    </row>
    <row r="366" spans="1:8" ht="12.75">
      <c r="A366" s="184"/>
      <c r="B366" s="186"/>
      <c r="C366" s="150">
        <v>3020</v>
      </c>
      <c r="D366" s="152" t="s">
        <v>646</v>
      </c>
      <c r="E366" s="153">
        <v>17800</v>
      </c>
      <c r="F366" s="154">
        <f>23246-3349</f>
        <v>19897</v>
      </c>
      <c r="G366" s="155">
        <f t="shared" si="30"/>
        <v>111.7808988764045</v>
      </c>
      <c r="H366" s="139">
        <f t="shared" si="31"/>
        <v>37697</v>
      </c>
    </row>
    <row r="367" spans="1:10" ht="12.75">
      <c r="A367" s="184"/>
      <c r="B367" s="186"/>
      <c r="C367" s="150">
        <v>3110</v>
      </c>
      <c r="D367" s="152" t="s">
        <v>756</v>
      </c>
      <c r="E367" s="153">
        <v>98506</v>
      </c>
      <c r="F367" s="154">
        <f>108778-3000</f>
        <v>105778</v>
      </c>
      <c r="G367" s="155">
        <f t="shared" si="30"/>
        <v>107.38229143402431</v>
      </c>
      <c r="H367" s="139">
        <f t="shared" si="31"/>
        <v>204284</v>
      </c>
      <c r="J367" s="122">
        <f>SUM(H368:H372)</f>
        <v>1666557</v>
      </c>
    </row>
    <row r="368" spans="1:8" ht="12.75">
      <c r="A368" s="184"/>
      <c r="B368" s="186"/>
      <c r="C368" s="150">
        <v>4010</v>
      </c>
      <c r="D368" s="152" t="s">
        <v>647</v>
      </c>
      <c r="E368" s="153">
        <v>620000</v>
      </c>
      <c r="F368" s="154">
        <f>640514+22256</f>
        <v>662770</v>
      </c>
      <c r="G368" s="155">
        <f t="shared" si="30"/>
        <v>106.8983870967742</v>
      </c>
      <c r="H368" s="139">
        <f t="shared" si="31"/>
        <v>1282770</v>
      </c>
    </row>
    <row r="369" spans="1:8" ht="12.75">
      <c r="A369" s="184"/>
      <c r="B369" s="186"/>
      <c r="C369" s="150">
        <v>4040</v>
      </c>
      <c r="D369" s="152" t="s">
        <v>648</v>
      </c>
      <c r="E369" s="153">
        <v>50137</v>
      </c>
      <c r="F369" s="154">
        <v>52337</v>
      </c>
      <c r="G369" s="155">
        <f t="shared" si="30"/>
        <v>104.3879769431757</v>
      </c>
      <c r="H369" s="139">
        <f t="shared" si="31"/>
        <v>102474</v>
      </c>
    </row>
    <row r="370" spans="1:10" ht="12.75">
      <c r="A370" s="184"/>
      <c r="B370" s="186"/>
      <c r="C370" s="150">
        <v>4110</v>
      </c>
      <c r="D370" s="152" t="s">
        <v>649</v>
      </c>
      <c r="E370" s="153">
        <v>119392</v>
      </c>
      <c r="F370" s="154">
        <f>118449+3979</f>
        <v>122428</v>
      </c>
      <c r="G370" s="155">
        <f t="shared" si="30"/>
        <v>102.54288394532296</v>
      </c>
      <c r="H370" s="139">
        <f t="shared" si="31"/>
        <v>241820</v>
      </c>
      <c r="J370" s="122">
        <f>SUM(F373:F386)+F366+F367</f>
        <v>597187</v>
      </c>
    </row>
    <row r="371" spans="1:8" ht="12.75">
      <c r="A371" s="184"/>
      <c r="B371" s="186"/>
      <c r="C371" s="150">
        <v>4120</v>
      </c>
      <c r="D371" s="152" t="s">
        <v>650</v>
      </c>
      <c r="E371" s="153">
        <v>16497</v>
      </c>
      <c r="F371" s="154">
        <f>16451+545</f>
        <v>16996</v>
      </c>
      <c r="G371" s="155">
        <f t="shared" si="30"/>
        <v>103.02479238649451</v>
      </c>
      <c r="H371" s="139">
        <f t="shared" si="31"/>
        <v>33493</v>
      </c>
    </row>
    <row r="372" spans="1:8" ht="12.75">
      <c r="A372" s="184"/>
      <c r="B372" s="186"/>
      <c r="C372" s="150">
        <v>4170</v>
      </c>
      <c r="D372" s="152" t="s">
        <v>651</v>
      </c>
      <c r="E372" s="153">
        <v>3000</v>
      </c>
      <c r="F372" s="154">
        <v>3000</v>
      </c>
      <c r="G372" s="155">
        <f t="shared" si="30"/>
        <v>100</v>
      </c>
      <c r="H372" s="139">
        <f t="shared" si="31"/>
        <v>6000</v>
      </c>
    </row>
    <row r="373" spans="1:8" ht="12.75">
      <c r="A373" s="184"/>
      <c r="B373" s="186"/>
      <c r="C373" s="150">
        <v>4210</v>
      </c>
      <c r="D373" s="152" t="s">
        <v>652</v>
      </c>
      <c r="E373" s="153">
        <v>125500</v>
      </c>
      <c r="F373" s="154">
        <v>125300</v>
      </c>
      <c r="G373" s="155">
        <f t="shared" si="30"/>
        <v>99.8406374501992</v>
      </c>
      <c r="H373" s="139">
        <f t="shared" si="31"/>
        <v>250800</v>
      </c>
    </row>
    <row r="374" spans="1:8" ht="12.75">
      <c r="A374" s="184"/>
      <c r="B374" s="186"/>
      <c r="C374" s="150">
        <v>4220</v>
      </c>
      <c r="D374" s="152" t="s">
        <v>757</v>
      </c>
      <c r="E374" s="153">
        <v>85180</v>
      </c>
      <c r="F374" s="154">
        <v>111815</v>
      </c>
      <c r="G374" s="155">
        <f t="shared" si="30"/>
        <v>131.26907724818034</v>
      </c>
      <c r="H374" s="139">
        <f t="shared" si="31"/>
        <v>196995</v>
      </c>
    </row>
    <row r="375" spans="1:8" ht="12.75">
      <c r="A375" s="184"/>
      <c r="B375" s="186"/>
      <c r="C375" s="150">
        <v>4240</v>
      </c>
      <c r="D375" s="152" t="s">
        <v>726</v>
      </c>
      <c r="E375" s="153">
        <v>8600</v>
      </c>
      <c r="F375" s="154">
        <v>8600</v>
      </c>
      <c r="G375" s="155">
        <f t="shared" si="30"/>
        <v>100</v>
      </c>
      <c r="H375" s="139">
        <f t="shared" si="31"/>
        <v>17200</v>
      </c>
    </row>
    <row r="376" spans="1:8" ht="12.75">
      <c r="A376" s="184"/>
      <c r="B376" s="186"/>
      <c r="C376" s="150">
        <v>4260</v>
      </c>
      <c r="D376" s="152" t="s">
        <v>653</v>
      </c>
      <c r="E376" s="153">
        <v>53100</v>
      </c>
      <c r="F376" s="154">
        <v>53100</v>
      </c>
      <c r="G376" s="155">
        <f t="shared" si="30"/>
        <v>100</v>
      </c>
      <c r="H376" s="139">
        <f t="shared" si="31"/>
        <v>106200</v>
      </c>
    </row>
    <row r="377" spans="1:8" ht="12.75">
      <c r="A377" s="184"/>
      <c r="B377" s="186"/>
      <c r="C377" s="150">
        <v>4270</v>
      </c>
      <c r="D377" s="152" t="s">
        <v>654</v>
      </c>
      <c r="E377" s="153">
        <v>103158</v>
      </c>
      <c r="F377" s="154">
        <v>7000</v>
      </c>
      <c r="G377" s="155">
        <f t="shared" si="30"/>
        <v>6.785707361523101</v>
      </c>
      <c r="H377" s="139">
        <f t="shared" si="31"/>
        <v>110158</v>
      </c>
    </row>
    <row r="378" spans="1:8" ht="12.75">
      <c r="A378" s="184"/>
      <c r="B378" s="186"/>
      <c r="C378" s="150">
        <v>4280</v>
      </c>
      <c r="D378" s="152" t="s">
        <v>655</v>
      </c>
      <c r="E378" s="153">
        <v>1100</v>
      </c>
      <c r="F378" s="154">
        <v>1100</v>
      </c>
      <c r="G378" s="155">
        <f t="shared" si="30"/>
        <v>100</v>
      </c>
      <c r="H378" s="139">
        <f t="shared" si="31"/>
        <v>2200</v>
      </c>
    </row>
    <row r="379" spans="1:8" ht="12.75">
      <c r="A379" s="184"/>
      <c r="B379" s="186"/>
      <c r="C379" s="150">
        <v>4300</v>
      </c>
      <c r="D379" s="152" t="s">
        <v>641</v>
      </c>
      <c r="E379" s="153">
        <v>117800</v>
      </c>
      <c r="F379" s="154">
        <v>103900</v>
      </c>
      <c r="G379" s="155">
        <f t="shared" si="30"/>
        <v>88.20033955857386</v>
      </c>
      <c r="H379" s="139">
        <f t="shared" si="31"/>
        <v>221700</v>
      </c>
    </row>
    <row r="380" spans="1:8" ht="12.75">
      <c r="A380" s="184"/>
      <c r="B380" s="186"/>
      <c r="C380" s="150">
        <v>4350</v>
      </c>
      <c r="D380" s="152" t="s">
        <v>696</v>
      </c>
      <c r="E380" s="153">
        <v>0</v>
      </c>
      <c r="F380" s="154">
        <v>1800</v>
      </c>
      <c r="G380" s="155">
        <v>0</v>
      </c>
      <c r="H380" s="139">
        <f t="shared" si="31"/>
        <v>1800</v>
      </c>
    </row>
    <row r="381" spans="1:8" ht="12.75">
      <c r="A381" s="184"/>
      <c r="B381" s="186"/>
      <c r="C381" s="150">
        <v>4360</v>
      </c>
      <c r="D381" s="152" t="s">
        <v>697</v>
      </c>
      <c r="E381" s="153">
        <v>0</v>
      </c>
      <c r="F381" s="154">
        <v>3000</v>
      </c>
      <c r="G381" s="155">
        <v>0</v>
      </c>
      <c r="H381" s="139">
        <f t="shared" si="31"/>
        <v>3000</v>
      </c>
    </row>
    <row r="382" spans="1:8" ht="12.75">
      <c r="A382" s="184"/>
      <c r="B382" s="186"/>
      <c r="C382" s="150">
        <v>4370</v>
      </c>
      <c r="D382" s="152" t="s">
        <v>658</v>
      </c>
      <c r="E382" s="153">
        <v>0</v>
      </c>
      <c r="F382" s="154">
        <v>6000</v>
      </c>
      <c r="G382" s="155">
        <v>0</v>
      </c>
      <c r="H382" s="139">
        <f t="shared" si="31"/>
        <v>6000</v>
      </c>
    </row>
    <row r="383" spans="1:8" ht="12.75">
      <c r="A383" s="184"/>
      <c r="B383" s="186"/>
      <c r="C383" s="150">
        <v>4410</v>
      </c>
      <c r="D383" s="152" t="s">
        <v>659</v>
      </c>
      <c r="E383" s="153">
        <v>6000</v>
      </c>
      <c r="F383" s="154">
        <v>6000</v>
      </c>
      <c r="G383" s="155">
        <f>F383/E383*100</f>
        <v>100</v>
      </c>
      <c r="H383" s="139">
        <f t="shared" si="31"/>
        <v>12000</v>
      </c>
    </row>
    <row r="384" spans="1:8" ht="12.75">
      <c r="A384" s="184"/>
      <c r="B384" s="186"/>
      <c r="C384" s="150">
        <v>4430</v>
      </c>
      <c r="D384" s="152" t="s">
        <v>660</v>
      </c>
      <c r="E384" s="153">
        <v>7417</v>
      </c>
      <c r="F384" s="154">
        <v>7417</v>
      </c>
      <c r="G384" s="155">
        <f>F384/E384*100</f>
        <v>100</v>
      </c>
      <c r="H384" s="139">
        <f t="shared" si="31"/>
        <v>14834</v>
      </c>
    </row>
    <row r="385" spans="1:8" ht="12.75">
      <c r="A385" s="184"/>
      <c r="B385" s="186"/>
      <c r="C385" s="150">
        <v>4440</v>
      </c>
      <c r="D385" s="152" t="s">
        <v>661</v>
      </c>
      <c r="E385" s="153">
        <v>33901</v>
      </c>
      <c r="F385" s="154">
        <v>33695</v>
      </c>
      <c r="G385" s="155">
        <f>F385/E385*100</f>
        <v>99.39234830830948</v>
      </c>
      <c r="H385" s="139">
        <f t="shared" si="31"/>
        <v>67596</v>
      </c>
    </row>
    <row r="386" spans="1:8" ht="12.75">
      <c r="A386" s="184"/>
      <c r="B386" s="186"/>
      <c r="C386" s="150">
        <v>4480</v>
      </c>
      <c r="D386" s="152" t="s">
        <v>662</v>
      </c>
      <c r="E386" s="153">
        <v>2785</v>
      </c>
      <c r="F386" s="154">
        <v>2785</v>
      </c>
      <c r="G386" s="155">
        <f>F386/E386*100</f>
        <v>100</v>
      </c>
      <c r="H386" s="139">
        <f t="shared" si="31"/>
        <v>5570</v>
      </c>
    </row>
    <row r="387" spans="1:8" ht="12.75">
      <c r="A387" s="184"/>
      <c r="B387" s="186"/>
      <c r="C387" s="150">
        <v>4740</v>
      </c>
      <c r="D387" s="152" t="s">
        <v>690</v>
      </c>
      <c r="E387" s="153">
        <v>0</v>
      </c>
      <c r="F387" s="154">
        <v>2800</v>
      </c>
      <c r="G387" s="155">
        <v>0</v>
      </c>
      <c r="H387" s="139">
        <f t="shared" si="31"/>
        <v>2800</v>
      </c>
    </row>
    <row r="388" spans="1:8" ht="12.75">
      <c r="A388" s="184"/>
      <c r="B388" s="186"/>
      <c r="C388" s="150">
        <v>4750</v>
      </c>
      <c r="D388" s="152" t="s">
        <v>691</v>
      </c>
      <c r="E388" s="153">
        <v>0</v>
      </c>
      <c r="F388" s="154">
        <v>1000</v>
      </c>
      <c r="G388" s="155">
        <v>0</v>
      </c>
      <c r="H388" s="139">
        <f t="shared" si="31"/>
        <v>1000</v>
      </c>
    </row>
    <row r="389" spans="1:8" ht="12.75">
      <c r="A389" s="184"/>
      <c r="B389" s="186"/>
      <c r="C389" s="150">
        <v>6050</v>
      </c>
      <c r="D389" s="152" t="s">
        <v>668</v>
      </c>
      <c r="E389" s="153">
        <v>42000</v>
      </c>
      <c r="F389" s="154">
        <v>0</v>
      </c>
      <c r="G389" s="155">
        <f>F389/E389*100</f>
        <v>0</v>
      </c>
      <c r="H389" s="139">
        <f t="shared" si="31"/>
        <v>42000</v>
      </c>
    </row>
    <row r="390" spans="1:8" ht="12.75">
      <c r="A390" s="184"/>
      <c r="B390" s="186"/>
      <c r="C390" s="150">
        <v>6060</v>
      </c>
      <c r="D390" s="152" t="s">
        <v>758</v>
      </c>
      <c r="E390" s="153">
        <v>0</v>
      </c>
      <c r="F390" s="154">
        <v>0</v>
      </c>
      <c r="G390" s="155">
        <v>0</v>
      </c>
      <c r="H390" s="139">
        <f t="shared" si="31"/>
        <v>0</v>
      </c>
    </row>
    <row r="391" spans="1:8" ht="12.75">
      <c r="A391" s="184"/>
      <c r="B391" s="186"/>
      <c r="C391" s="150"/>
      <c r="D391" s="152"/>
      <c r="E391" s="153"/>
      <c r="F391" s="154"/>
      <c r="G391" s="153"/>
      <c r="H391" s="139"/>
    </row>
    <row r="392" spans="1:8" ht="12.75">
      <c r="A392" s="184"/>
      <c r="B392" s="109">
        <v>85202</v>
      </c>
      <c r="C392" s="145"/>
      <c r="D392" s="92" t="s">
        <v>759</v>
      </c>
      <c r="E392" s="146">
        <f>SUM(E393:E420)</f>
        <v>4271052</v>
      </c>
      <c r="F392" s="147">
        <f>SUM(F393:F420)</f>
        <v>4345152</v>
      </c>
      <c r="G392" s="158">
        <f aca="true" t="shared" si="32" ref="G392:G405">F392/E392*100</f>
        <v>101.73493556154315</v>
      </c>
      <c r="H392" s="149">
        <f aca="true" t="shared" si="33" ref="H392:H420">E392+F392</f>
        <v>8616204</v>
      </c>
    </row>
    <row r="393" spans="1:8" ht="12.75">
      <c r="A393" s="184"/>
      <c r="B393" s="150"/>
      <c r="C393" s="150">
        <v>3020</v>
      </c>
      <c r="D393" s="152" t="s">
        <v>646</v>
      </c>
      <c r="E393" s="153">
        <v>16260</v>
      </c>
      <c r="F393" s="154">
        <v>16250</v>
      </c>
      <c r="G393" s="155">
        <f t="shared" si="32"/>
        <v>99.93849938499385</v>
      </c>
      <c r="H393" s="139">
        <f t="shared" si="33"/>
        <v>32510</v>
      </c>
    </row>
    <row r="394" spans="1:10" ht="12.75">
      <c r="A394" s="184"/>
      <c r="B394" s="150"/>
      <c r="C394" s="150">
        <v>4010</v>
      </c>
      <c r="D394" s="152" t="s">
        <v>647</v>
      </c>
      <c r="E394" s="153">
        <v>1881353</v>
      </c>
      <c r="F394" s="154">
        <v>1903146</v>
      </c>
      <c r="G394" s="155">
        <f t="shared" si="32"/>
        <v>101.15836847205175</v>
      </c>
      <c r="H394" s="139">
        <f t="shared" si="33"/>
        <v>3784499</v>
      </c>
      <c r="J394" s="122">
        <f>SUM(H394:H397)</f>
        <v>4876631</v>
      </c>
    </row>
    <row r="395" spans="1:8" ht="12.75">
      <c r="A395" s="184"/>
      <c r="B395" s="150"/>
      <c r="C395" s="150">
        <v>4040</v>
      </c>
      <c r="D395" s="152" t="s">
        <v>648</v>
      </c>
      <c r="E395" s="153">
        <v>149354</v>
      </c>
      <c r="F395" s="154">
        <v>156508</v>
      </c>
      <c r="G395" s="155">
        <f t="shared" si="32"/>
        <v>104.7899621034589</v>
      </c>
      <c r="H395" s="139">
        <f t="shared" si="33"/>
        <v>305862</v>
      </c>
    </row>
    <row r="396" spans="1:8" ht="12.75">
      <c r="A396" s="184"/>
      <c r="B396" s="150"/>
      <c r="C396" s="150">
        <v>4110</v>
      </c>
      <c r="D396" s="152" t="s">
        <v>649</v>
      </c>
      <c r="E396" s="153">
        <v>338302</v>
      </c>
      <c r="F396" s="154">
        <v>350845</v>
      </c>
      <c r="G396" s="155">
        <f t="shared" si="32"/>
        <v>103.70763400748444</v>
      </c>
      <c r="H396" s="139">
        <f t="shared" si="33"/>
        <v>689147</v>
      </c>
    </row>
    <row r="397" spans="1:8" ht="12.75">
      <c r="A397" s="184"/>
      <c r="B397" s="150"/>
      <c r="C397" s="150">
        <v>4120</v>
      </c>
      <c r="D397" s="152" t="s">
        <v>650</v>
      </c>
      <c r="E397" s="153">
        <v>48177</v>
      </c>
      <c r="F397" s="154">
        <v>48946</v>
      </c>
      <c r="G397" s="155">
        <f t="shared" si="32"/>
        <v>101.59619735558461</v>
      </c>
      <c r="H397" s="139">
        <f t="shared" si="33"/>
        <v>97123</v>
      </c>
    </row>
    <row r="398" spans="1:8" ht="12.75">
      <c r="A398" s="184"/>
      <c r="B398" s="150"/>
      <c r="C398" s="150">
        <v>4170</v>
      </c>
      <c r="D398" s="152" t="s">
        <v>651</v>
      </c>
      <c r="E398" s="153">
        <v>7800</v>
      </c>
      <c r="F398" s="154">
        <v>0</v>
      </c>
      <c r="G398" s="155">
        <f t="shared" si="32"/>
        <v>0</v>
      </c>
      <c r="H398" s="139">
        <f t="shared" si="33"/>
        <v>7800</v>
      </c>
    </row>
    <row r="399" spans="1:8" ht="12.75">
      <c r="A399" s="184"/>
      <c r="B399" s="150"/>
      <c r="C399" s="150">
        <v>4210</v>
      </c>
      <c r="D399" s="152" t="s">
        <v>652</v>
      </c>
      <c r="E399" s="153">
        <f>465285+50000</f>
        <v>515285</v>
      </c>
      <c r="F399" s="154">
        <f>509652+5316</f>
        <v>514968</v>
      </c>
      <c r="G399" s="155">
        <f t="shared" si="32"/>
        <v>99.93848064663244</v>
      </c>
      <c r="H399" s="139">
        <f t="shared" si="33"/>
        <v>1030253</v>
      </c>
    </row>
    <row r="400" spans="1:8" ht="12.75">
      <c r="A400" s="184"/>
      <c r="B400" s="150"/>
      <c r="C400" s="150">
        <v>4220</v>
      </c>
      <c r="D400" s="152" t="s">
        <v>757</v>
      </c>
      <c r="E400" s="153">
        <f>428038+50000</f>
        <v>478038</v>
      </c>
      <c r="F400" s="154">
        <v>445373</v>
      </c>
      <c r="G400" s="155">
        <f t="shared" si="32"/>
        <v>93.16686121187018</v>
      </c>
      <c r="H400" s="139">
        <f t="shared" si="33"/>
        <v>923411</v>
      </c>
    </row>
    <row r="401" spans="1:8" ht="12.75">
      <c r="A401" s="184"/>
      <c r="B401" s="150"/>
      <c r="C401" s="150">
        <v>4230</v>
      </c>
      <c r="D401" s="152" t="s">
        <v>760</v>
      </c>
      <c r="E401" s="153">
        <v>38106</v>
      </c>
      <c r="F401" s="154">
        <v>40728</v>
      </c>
      <c r="G401" s="155">
        <f t="shared" si="32"/>
        <v>106.88080617225634</v>
      </c>
      <c r="H401" s="139">
        <f t="shared" si="33"/>
        <v>78834</v>
      </c>
    </row>
    <row r="402" spans="1:8" ht="12.75">
      <c r="A402" s="184"/>
      <c r="B402" s="150"/>
      <c r="C402" s="150">
        <v>4260</v>
      </c>
      <c r="D402" s="152" t="s">
        <v>653</v>
      </c>
      <c r="E402" s="153">
        <v>139867</v>
      </c>
      <c r="F402" s="154">
        <v>153041</v>
      </c>
      <c r="G402" s="155">
        <f t="shared" si="32"/>
        <v>109.41894800060057</v>
      </c>
      <c r="H402" s="139">
        <f t="shared" si="33"/>
        <v>292908</v>
      </c>
    </row>
    <row r="403" spans="1:8" ht="12.75">
      <c r="A403" s="184"/>
      <c r="B403" s="150"/>
      <c r="C403" s="150">
        <v>4270</v>
      </c>
      <c r="D403" s="152" t="s">
        <v>654</v>
      </c>
      <c r="E403" s="153">
        <v>291335</v>
      </c>
      <c r="F403" s="154">
        <v>380696</v>
      </c>
      <c r="G403" s="155">
        <f t="shared" si="32"/>
        <v>130.67293665368047</v>
      </c>
      <c r="H403" s="139">
        <f t="shared" si="33"/>
        <v>672031</v>
      </c>
    </row>
    <row r="404" spans="1:8" ht="12.75">
      <c r="A404" s="184"/>
      <c r="B404" s="150"/>
      <c r="C404" s="150">
        <v>4280</v>
      </c>
      <c r="D404" s="152" t="s">
        <v>655</v>
      </c>
      <c r="E404" s="153">
        <v>1256</v>
      </c>
      <c r="F404" s="154">
        <v>4250</v>
      </c>
      <c r="G404" s="155">
        <f t="shared" si="32"/>
        <v>338.375796178344</v>
      </c>
      <c r="H404" s="139">
        <f t="shared" si="33"/>
        <v>5506</v>
      </c>
    </row>
    <row r="405" spans="1:8" ht="12.75">
      <c r="A405" s="184"/>
      <c r="B405" s="150"/>
      <c r="C405" s="150">
        <v>4300</v>
      </c>
      <c r="D405" s="152" t="s">
        <v>641</v>
      </c>
      <c r="E405" s="153">
        <f>128598+58729</f>
        <v>187327</v>
      </c>
      <c r="F405" s="154">
        <v>99620</v>
      </c>
      <c r="G405" s="155">
        <f t="shared" si="32"/>
        <v>53.17973383441789</v>
      </c>
      <c r="H405" s="139">
        <f t="shared" si="33"/>
        <v>286947</v>
      </c>
    </row>
    <row r="406" spans="1:8" ht="12.75">
      <c r="A406" s="184"/>
      <c r="B406" s="150"/>
      <c r="C406" s="150">
        <v>4350</v>
      </c>
      <c r="D406" s="152" t="s">
        <v>696</v>
      </c>
      <c r="E406" s="153">
        <v>0</v>
      </c>
      <c r="F406" s="154">
        <v>6000</v>
      </c>
      <c r="G406" s="155">
        <v>0</v>
      </c>
      <c r="H406" s="139">
        <f t="shared" si="33"/>
        <v>6000</v>
      </c>
    </row>
    <row r="407" spans="1:8" ht="12.75">
      <c r="A407" s="184"/>
      <c r="B407" s="150"/>
      <c r="C407" s="150">
        <v>4360</v>
      </c>
      <c r="D407" s="152" t="s">
        <v>697</v>
      </c>
      <c r="E407" s="153">
        <v>0</v>
      </c>
      <c r="F407" s="154">
        <v>750</v>
      </c>
      <c r="G407" s="155">
        <v>0</v>
      </c>
      <c r="H407" s="139">
        <f t="shared" si="33"/>
        <v>750</v>
      </c>
    </row>
    <row r="408" spans="1:8" ht="12.75">
      <c r="A408" s="184"/>
      <c r="B408" s="150"/>
      <c r="C408" s="150">
        <v>4370</v>
      </c>
      <c r="D408" s="152" t="s">
        <v>658</v>
      </c>
      <c r="E408" s="153">
        <v>0</v>
      </c>
      <c r="F408" s="154">
        <v>16250</v>
      </c>
      <c r="G408" s="155">
        <v>0</v>
      </c>
      <c r="H408" s="139">
        <f t="shared" si="33"/>
        <v>16250</v>
      </c>
    </row>
    <row r="409" spans="1:8" ht="12.75">
      <c r="A409" s="184"/>
      <c r="B409" s="150"/>
      <c r="C409" s="150">
        <v>4390</v>
      </c>
      <c r="D409" s="152" t="s">
        <v>761</v>
      </c>
      <c r="E409" s="153">
        <v>0</v>
      </c>
      <c r="F409" s="154">
        <v>500</v>
      </c>
      <c r="G409" s="155">
        <v>0</v>
      </c>
      <c r="H409" s="139">
        <f t="shared" si="33"/>
        <v>500</v>
      </c>
    </row>
    <row r="410" spans="1:8" ht="12.75">
      <c r="A410" s="184"/>
      <c r="B410" s="150"/>
      <c r="C410" s="150">
        <v>4410</v>
      </c>
      <c r="D410" s="152" t="s">
        <v>659</v>
      </c>
      <c r="E410" s="153">
        <v>8510</v>
      </c>
      <c r="F410" s="154">
        <v>10800</v>
      </c>
      <c r="G410" s="155">
        <f>F410/E410*100</f>
        <v>126.90951821386605</v>
      </c>
      <c r="H410" s="139">
        <f t="shared" si="33"/>
        <v>19310</v>
      </c>
    </row>
    <row r="411" spans="1:8" ht="12.75">
      <c r="A411" s="184"/>
      <c r="B411" s="150"/>
      <c r="C411" s="150">
        <v>4420</v>
      </c>
      <c r="D411" s="152" t="s">
        <v>694</v>
      </c>
      <c r="E411" s="153">
        <v>0</v>
      </c>
      <c r="F411" s="154">
        <v>0</v>
      </c>
      <c r="G411" s="155">
        <v>0</v>
      </c>
      <c r="H411" s="139">
        <f t="shared" si="33"/>
        <v>0</v>
      </c>
    </row>
    <row r="412" spans="1:8" ht="12.75">
      <c r="A412" s="184"/>
      <c r="B412" s="150"/>
      <c r="C412" s="150">
        <v>4430</v>
      </c>
      <c r="D412" s="152" t="s">
        <v>660</v>
      </c>
      <c r="E412" s="153">
        <v>16870</v>
      </c>
      <c r="F412" s="154">
        <v>16123</v>
      </c>
      <c r="G412" s="155">
        <f>F412/E412*100</f>
        <v>95.5720213396562</v>
      </c>
      <c r="H412" s="139">
        <f t="shared" si="33"/>
        <v>32993</v>
      </c>
    </row>
    <row r="413" spans="1:8" ht="12.75">
      <c r="A413" s="184"/>
      <c r="B413" s="150"/>
      <c r="C413" s="150">
        <v>4440</v>
      </c>
      <c r="D413" s="152" t="s">
        <v>661</v>
      </c>
      <c r="E413" s="153">
        <v>79190</v>
      </c>
      <c r="F413" s="154">
        <v>76324</v>
      </c>
      <c r="G413" s="155">
        <f>F413/E413*100</f>
        <v>96.38085616870818</v>
      </c>
      <c r="H413" s="139">
        <f t="shared" si="33"/>
        <v>155514</v>
      </c>
    </row>
    <row r="414" spans="1:8" ht="12.75">
      <c r="A414" s="184"/>
      <c r="B414" s="150"/>
      <c r="C414" s="150">
        <v>4480</v>
      </c>
      <c r="D414" s="152" t="s">
        <v>662</v>
      </c>
      <c r="E414" s="153">
        <v>17322</v>
      </c>
      <c r="F414" s="154">
        <v>18324</v>
      </c>
      <c r="G414" s="155">
        <f>F414/E414*100</f>
        <v>105.78455143747836</v>
      </c>
      <c r="H414" s="139">
        <f t="shared" si="33"/>
        <v>35646</v>
      </c>
    </row>
    <row r="415" spans="1:8" ht="12.75">
      <c r="A415" s="184"/>
      <c r="B415" s="150"/>
      <c r="C415" s="150">
        <v>4520</v>
      </c>
      <c r="D415" s="152" t="s">
        <v>762</v>
      </c>
      <c r="E415" s="153">
        <v>50</v>
      </c>
      <c r="F415" s="154">
        <v>50</v>
      </c>
      <c r="G415" s="155">
        <f>F415/E415*100</f>
        <v>100</v>
      </c>
      <c r="H415" s="139">
        <f t="shared" si="33"/>
        <v>100</v>
      </c>
    </row>
    <row r="416" spans="1:8" ht="12.75">
      <c r="A416" s="184"/>
      <c r="B416" s="150"/>
      <c r="C416" s="150">
        <v>4700</v>
      </c>
      <c r="D416" s="152" t="s">
        <v>681</v>
      </c>
      <c r="E416" s="153">
        <v>0</v>
      </c>
      <c r="F416" s="154">
        <v>1500</v>
      </c>
      <c r="G416" s="155">
        <v>0</v>
      </c>
      <c r="H416" s="139">
        <f t="shared" si="33"/>
        <v>1500</v>
      </c>
    </row>
    <row r="417" spans="1:8" ht="12.75">
      <c r="A417" s="184"/>
      <c r="B417" s="150"/>
      <c r="C417" s="150">
        <v>4740</v>
      </c>
      <c r="D417" s="152" t="s">
        <v>690</v>
      </c>
      <c r="E417" s="153">
        <v>0</v>
      </c>
      <c r="F417" s="154">
        <v>1660</v>
      </c>
      <c r="G417" s="155">
        <v>0</v>
      </c>
      <c r="H417" s="139">
        <f t="shared" si="33"/>
        <v>1660</v>
      </c>
    </row>
    <row r="418" spans="1:8" ht="12.75">
      <c r="A418" s="184"/>
      <c r="B418" s="150"/>
      <c r="C418" s="150">
        <v>4750</v>
      </c>
      <c r="D418" s="152" t="s">
        <v>691</v>
      </c>
      <c r="E418" s="153">
        <v>0</v>
      </c>
      <c r="F418" s="154">
        <v>2500</v>
      </c>
      <c r="G418" s="155">
        <v>0</v>
      </c>
      <c r="H418" s="139">
        <f t="shared" si="33"/>
        <v>2500</v>
      </c>
    </row>
    <row r="419" spans="1:10" ht="12.75">
      <c r="A419" s="184"/>
      <c r="B419" s="150"/>
      <c r="C419" s="150">
        <v>6050</v>
      </c>
      <c r="D419" s="152" t="s">
        <v>668</v>
      </c>
      <c r="E419" s="153">
        <v>50000</v>
      </c>
      <c r="F419" s="982">
        <v>80000</v>
      </c>
      <c r="G419" s="155">
        <v>0</v>
      </c>
      <c r="H419" s="139">
        <f t="shared" si="33"/>
        <v>130000</v>
      </c>
      <c r="J419" s="122"/>
    </row>
    <row r="420" spans="1:10" ht="12.75">
      <c r="A420" s="184"/>
      <c r="B420" s="150"/>
      <c r="C420" s="150">
        <v>6060</v>
      </c>
      <c r="D420" s="152" t="s">
        <v>669</v>
      </c>
      <c r="E420" s="153">
        <v>6650</v>
      </c>
      <c r="F420" s="154">
        <v>0</v>
      </c>
      <c r="G420" s="155">
        <f>F420/E420*100</f>
        <v>0</v>
      </c>
      <c r="H420" s="139">
        <f t="shared" si="33"/>
        <v>6650</v>
      </c>
      <c r="J420" s="122"/>
    </row>
    <row r="421" spans="1:10" ht="12.75">
      <c r="A421" s="184"/>
      <c r="B421" s="150"/>
      <c r="C421" s="150"/>
      <c r="D421" s="152"/>
      <c r="E421" s="153"/>
      <c r="F421" s="154"/>
      <c r="G421" s="153"/>
      <c r="H421" s="139"/>
      <c r="J421" s="122"/>
    </row>
    <row r="422" spans="1:10" ht="12.75">
      <c r="A422" s="184"/>
      <c r="B422" s="109">
        <v>85203</v>
      </c>
      <c r="C422" s="145"/>
      <c r="D422" s="92" t="s">
        <v>763</v>
      </c>
      <c r="E422" s="146">
        <f>SUM(E423:E440)</f>
        <v>253093</v>
      </c>
      <c r="F422" s="147">
        <f>SUM(F423:F440)</f>
        <v>324000</v>
      </c>
      <c r="G422" s="158">
        <f>F422/E422*100</f>
        <v>128.01618377434383</v>
      </c>
      <c r="H422" s="149">
        <f aca="true" t="shared" si="34" ref="H422:H429">E422+F422</f>
        <v>577093</v>
      </c>
      <c r="J422" s="122"/>
    </row>
    <row r="423" spans="1:10" ht="12.75">
      <c r="A423" s="184"/>
      <c r="B423" s="150"/>
      <c r="C423" s="150">
        <v>4010</v>
      </c>
      <c r="D423" s="152" t="s">
        <v>647</v>
      </c>
      <c r="E423" s="153">
        <v>87750</v>
      </c>
      <c r="F423" s="154">
        <v>118823</v>
      </c>
      <c r="G423" s="155">
        <f>F423/E423*100</f>
        <v>135.4108262108262</v>
      </c>
      <c r="H423" s="139">
        <f t="shared" si="34"/>
        <v>206573</v>
      </c>
      <c r="J423" s="122">
        <f>SUM(H423:H426)</f>
        <v>263089</v>
      </c>
    </row>
    <row r="424" spans="1:10" ht="12.75">
      <c r="A424" s="184"/>
      <c r="B424" s="150"/>
      <c r="C424" s="150">
        <v>4040</v>
      </c>
      <c r="D424" s="152" t="s">
        <v>648</v>
      </c>
      <c r="E424" s="153">
        <v>5318</v>
      </c>
      <c r="F424" s="154">
        <v>7458</v>
      </c>
      <c r="G424" s="155">
        <v>0</v>
      </c>
      <c r="H424" s="139">
        <f t="shared" si="34"/>
        <v>12776</v>
      </c>
      <c r="J424" s="122"/>
    </row>
    <row r="425" spans="1:10" ht="12.75">
      <c r="A425" s="184"/>
      <c r="B425" s="150"/>
      <c r="C425" s="150">
        <v>4110</v>
      </c>
      <c r="D425" s="152" t="s">
        <v>649</v>
      </c>
      <c r="E425" s="153">
        <v>15972</v>
      </c>
      <c r="F425" s="154">
        <v>22023</v>
      </c>
      <c r="G425" s="155">
        <f>F425/E425*100</f>
        <v>137.88504883546207</v>
      </c>
      <c r="H425" s="139">
        <f t="shared" si="34"/>
        <v>37995</v>
      </c>
      <c r="J425" s="122"/>
    </row>
    <row r="426" spans="1:10" ht="12.75">
      <c r="A426" s="184"/>
      <c r="B426" s="150"/>
      <c r="C426" s="150">
        <v>4120</v>
      </c>
      <c r="D426" s="152" t="s">
        <v>650</v>
      </c>
      <c r="E426" s="153">
        <v>2651</v>
      </c>
      <c r="F426" s="154">
        <v>3094</v>
      </c>
      <c r="G426" s="155">
        <f>F426/E426*100</f>
        <v>116.71067521689929</v>
      </c>
      <c r="H426" s="139">
        <f t="shared" si="34"/>
        <v>5745</v>
      </c>
      <c r="J426" s="122"/>
    </row>
    <row r="427" spans="1:10" ht="12.75">
      <c r="A427" s="184"/>
      <c r="B427" s="150"/>
      <c r="C427" s="150">
        <v>4210</v>
      </c>
      <c r="D427" s="152" t="s">
        <v>652</v>
      </c>
      <c r="E427" s="153">
        <v>71019</v>
      </c>
      <c r="F427" s="154">
        <v>71896</v>
      </c>
      <c r="G427" s="155">
        <f>F427/E427*100</f>
        <v>101.23488080654472</v>
      </c>
      <c r="H427" s="139">
        <f t="shared" si="34"/>
        <v>142915</v>
      </c>
      <c r="J427" s="122"/>
    </row>
    <row r="428" spans="1:10" ht="12.75">
      <c r="A428" s="184"/>
      <c r="B428" s="150"/>
      <c r="C428" s="150">
        <v>4220</v>
      </c>
      <c r="D428" s="152" t="s">
        <v>757</v>
      </c>
      <c r="E428" s="153">
        <v>10470</v>
      </c>
      <c r="F428" s="154">
        <v>23760</v>
      </c>
      <c r="G428" s="155">
        <f>F428/E428*100</f>
        <v>226.93409742120343</v>
      </c>
      <c r="H428" s="139">
        <f t="shared" si="34"/>
        <v>34230</v>
      </c>
      <c r="J428" s="122"/>
    </row>
    <row r="429" spans="1:10" ht="12.75">
      <c r="A429" s="184"/>
      <c r="B429" s="150"/>
      <c r="C429" s="150">
        <v>4230</v>
      </c>
      <c r="D429" s="152" t="s">
        <v>764</v>
      </c>
      <c r="E429" s="153">
        <v>224</v>
      </c>
      <c r="F429" s="154">
        <v>1000</v>
      </c>
      <c r="G429" s="155">
        <v>0</v>
      </c>
      <c r="H429" s="139">
        <f t="shared" si="34"/>
        <v>1224</v>
      </c>
      <c r="J429" s="122"/>
    </row>
    <row r="430" spans="1:10" ht="12.75">
      <c r="A430" s="184"/>
      <c r="B430" s="150"/>
      <c r="C430" s="150">
        <v>4260</v>
      </c>
      <c r="D430" s="152" t="s">
        <v>653</v>
      </c>
      <c r="E430" s="153">
        <v>5500</v>
      </c>
      <c r="F430" s="154">
        <v>6000</v>
      </c>
      <c r="G430" s="155">
        <f>F430/E430*100</f>
        <v>109.09090909090908</v>
      </c>
      <c r="H430" s="139">
        <f>F430+E430</f>
        <v>11500</v>
      </c>
      <c r="J430" s="122"/>
    </row>
    <row r="431" spans="1:10" ht="12.75">
      <c r="A431" s="184"/>
      <c r="B431" s="150"/>
      <c r="C431" s="150">
        <v>4270</v>
      </c>
      <c r="D431" s="152" t="s">
        <v>654</v>
      </c>
      <c r="E431" s="153">
        <v>1500</v>
      </c>
      <c r="F431" s="154">
        <v>3000</v>
      </c>
      <c r="G431" s="155">
        <f>F431/E431*100</f>
        <v>200</v>
      </c>
      <c r="H431" s="139">
        <f>F431+E431</f>
        <v>4500</v>
      </c>
      <c r="J431" s="122"/>
    </row>
    <row r="432" spans="1:10" ht="12.75">
      <c r="A432" s="184"/>
      <c r="B432" s="150"/>
      <c r="C432" s="150">
        <v>4280</v>
      </c>
      <c r="D432" s="152" t="s">
        <v>655</v>
      </c>
      <c r="E432" s="153">
        <v>400</v>
      </c>
      <c r="F432" s="154">
        <v>400</v>
      </c>
      <c r="G432" s="155">
        <f>F432/E432*100</f>
        <v>100</v>
      </c>
      <c r="H432" s="139">
        <f>E432+F432</f>
        <v>800</v>
      </c>
      <c r="J432" s="122"/>
    </row>
    <row r="433" spans="1:10" ht="12.75">
      <c r="A433" s="184"/>
      <c r="B433" s="150"/>
      <c r="C433" s="150">
        <v>4300</v>
      </c>
      <c r="D433" s="152" t="s">
        <v>641</v>
      </c>
      <c r="E433" s="153">
        <v>9956</v>
      </c>
      <c r="F433" s="154">
        <v>49996</v>
      </c>
      <c r="G433" s="155">
        <f>F433/E433*100</f>
        <v>502.16954600241064</v>
      </c>
      <c r="H433" s="139">
        <f>E433+F433</f>
        <v>59952</v>
      </c>
      <c r="J433" s="122"/>
    </row>
    <row r="434" spans="1:10" ht="12.75">
      <c r="A434" s="184"/>
      <c r="B434" s="150"/>
      <c r="C434" s="150">
        <v>4370</v>
      </c>
      <c r="D434" s="152" t="s">
        <v>658</v>
      </c>
      <c r="E434" s="153">
        <v>0</v>
      </c>
      <c r="F434" s="154">
        <v>3000</v>
      </c>
      <c r="G434" s="155">
        <v>0</v>
      </c>
      <c r="H434" s="139"/>
      <c r="J434" s="122"/>
    </row>
    <row r="435" spans="1:10" ht="12.75">
      <c r="A435" s="184"/>
      <c r="B435" s="150"/>
      <c r="C435" s="150">
        <v>4410</v>
      </c>
      <c r="D435" s="152" t="s">
        <v>659</v>
      </c>
      <c r="E435" s="153">
        <v>1500</v>
      </c>
      <c r="F435" s="154">
        <v>1500</v>
      </c>
      <c r="G435" s="155">
        <f>F435/E435*100</f>
        <v>100</v>
      </c>
      <c r="H435" s="139">
        <f aca="true" t="shared" si="35" ref="H435:H440">E435+F435</f>
        <v>3000</v>
      </c>
      <c r="J435" s="122"/>
    </row>
    <row r="436" spans="1:10" ht="12.75">
      <c r="A436" s="184"/>
      <c r="B436" s="150"/>
      <c r="C436" s="150">
        <v>4430</v>
      </c>
      <c r="D436" s="152" t="s">
        <v>660</v>
      </c>
      <c r="E436" s="153">
        <v>3200</v>
      </c>
      <c r="F436" s="154">
        <v>3200</v>
      </c>
      <c r="G436" s="155">
        <f>F436/E436*100</f>
        <v>100</v>
      </c>
      <c r="H436" s="139">
        <f t="shared" si="35"/>
        <v>6400</v>
      </c>
      <c r="J436" s="122"/>
    </row>
    <row r="437" spans="1:10" ht="12.75">
      <c r="A437" s="184"/>
      <c r="B437" s="150"/>
      <c r="C437" s="150">
        <v>4440</v>
      </c>
      <c r="D437" s="152" t="s">
        <v>661</v>
      </c>
      <c r="E437" s="153">
        <v>5133</v>
      </c>
      <c r="F437" s="154">
        <v>5350</v>
      </c>
      <c r="G437" s="155">
        <f>F437/E437*100</f>
        <v>104.22754724332748</v>
      </c>
      <c r="H437" s="139">
        <f t="shared" si="35"/>
        <v>10483</v>
      </c>
      <c r="J437" s="122"/>
    </row>
    <row r="438" spans="1:10" ht="12.75">
      <c r="A438" s="184"/>
      <c r="B438" s="150"/>
      <c r="C438" s="150">
        <v>4700</v>
      </c>
      <c r="D438" s="152" t="s">
        <v>681</v>
      </c>
      <c r="E438" s="153">
        <v>0</v>
      </c>
      <c r="F438" s="154">
        <v>3000</v>
      </c>
      <c r="G438" s="155">
        <v>0</v>
      </c>
      <c r="H438" s="139">
        <f t="shared" si="35"/>
        <v>3000</v>
      </c>
      <c r="J438" s="122"/>
    </row>
    <row r="439" spans="1:10" ht="12.75">
      <c r="A439" s="184"/>
      <c r="B439" s="150"/>
      <c r="C439" s="150">
        <v>4740</v>
      </c>
      <c r="D439" s="152" t="s">
        <v>690</v>
      </c>
      <c r="E439" s="153">
        <v>0</v>
      </c>
      <c r="F439" s="154">
        <v>500</v>
      </c>
      <c r="G439" s="155">
        <v>0</v>
      </c>
      <c r="H439" s="139">
        <f t="shared" si="35"/>
        <v>500</v>
      </c>
      <c r="J439" s="122"/>
    </row>
    <row r="440" spans="1:10" ht="12.75">
      <c r="A440" s="184"/>
      <c r="B440" s="150"/>
      <c r="C440" s="150">
        <v>6060</v>
      </c>
      <c r="D440" s="152" t="s">
        <v>728</v>
      </c>
      <c r="E440" s="153">
        <v>32500</v>
      </c>
      <c r="F440" s="154">
        <v>0</v>
      </c>
      <c r="G440" s="155">
        <v>0</v>
      </c>
      <c r="H440" s="139">
        <f t="shared" si="35"/>
        <v>32500</v>
      </c>
      <c r="J440" s="122"/>
    </row>
    <row r="441" spans="1:8" ht="12.75">
      <c r="A441" s="184"/>
      <c r="B441" s="150"/>
      <c r="C441" s="150"/>
      <c r="D441" s="152"/>
      <c r="E441" s="153"/>
      <c r="F441" s="154"/>
      <c r="G441" s="153"/>
      <c r="H441" s="139"/>
    </row>
    <row r="442" spans="1:8" ht="12.75">
      <c r="A442" s="184"/>
      <c r="B442" s="109">
        <v>85204</v>
      </c>
      <c r="C442" s="145"/>
      <c r="D442" s="92" t="s">
        <v>765</v>
      </c>
      <c r="E442" s="146">
        <f>SUM(E443:E447)</f>
        <v>1496800</v>
      </c>
      <c r="F442" s="147">
        <f>SUM(F443:F447)</f>
        <v>1382682</v>
      </c>
      <c r="G442" s="158">
        <f aca="true" t="shared" si="36" ref="G442:G447">F442/E442*100</f>
        <v>92.37586851950829</v>
      </c>
      <c r="H442" s="149">
        <f aca="true" t="shared" si="37" ref="H442:H447">E442+F442</f>
        <v>2879482</v>
      </c>
    </row>
    <row r="443" spans="1:8" ht="12.75">
      <c r="A443" s="184"/>
      <c r="B443" s="150"/>
      <c r="C443" s="150">
        <v>2310</v>
      </c>
      <c r="D443" s="166" t="s">
        <v>745</v>
      </c>
      <c r="E443" s="153">
        <v>120000</v>
      </c>
      <c r="F443" s="154">
        <v>116987</v>
      </c>
      <c r="G443" s="155">
        <f t="shared" si="36"/>
        <v>97.48916666666668</v>
      </c>
      <c r="H443" s="139">
        <f t="shared" si="37"/>
        <v>236987</v>
      </c>
    </row>
    <row r="444" spans="1:8" ht="12.75">
      <c r="A444" s="184"/>
      <c r="B444" s="150"/>
      <c r="C444" s="150">
        <v>3110</v>
      </c>
      <c r="D444" s="152" t="s">
        <v>756</v>
      </c>
      <c r="E444" s="153">
        <f>1176058+150000</f>
        <v>1326058</v>
      </c>
      <c r="F444" s="154">
        <v>1215532</v>
      </c>
      <c r="G444" s="155">
        <f t="shared" si="36"/>
        <v>91.66507045694834</v>
      </c>
      <c r="H444" s="139">
        <f t="shared" si="37"/>
        <v>2541590</v>
      </c>
    </row>
    <row r="445" spans="1:8" ht="12.75">
      <c r="A445" s="184"/>
      <c r="B445" s="150"/>
      <c r="C445" s="150">
        <v>4110</v>
      </c>
      <c r="D445" s="152" t="s">
        <v>649</v>
      </c>
      <c r="E445" s="153">
        <v>3716</v>
      </c>
      <c r="F445" s="154">
        <v>3214</v>
      </c>
      <c r="G445" s="155">
        <f t="shared" si="36"/>
        <v>86.4908503767492</v>
      </c>
      <c r="H445" s="139">
        <f t="shared" si="37"/>
        <v>6930</v>
      </c>
    </row>
    <row r="446" spans="1:8" ht="12.75">
      <c r="A446" s="184"/>
      <c r="B446" s="150"/>
      <c r="C446" s="150">
        <v>4120</v>
      </c>
      <c r="D446" s="152" t="s">
        <v>650</v>
      </c>
      <c r="E446" s="153">
        <v>561</v>
      </c>
      <c r="F446" s="154">
        <v>484</v>
      </c>
      <c r="G446" s="155">
        <f t="shared" si="36"/>
        <v>86.27450980392157</v>
      </c>
      <c r="H446" s="139">
        <f t="shared" si="37"/>
        <v>1045</v>
      </c>
    </row>
    <row r="447" spans="1:8" ht="12.75">
      <c r="A447" s="184"/>
      <c r="B447" s="150"/>
      <c r="C447" s="150">
        <v>4300</v>
      </c>
      <c r="D447" s="152" t="s">
        <v>641</v>
      </c>
      <c r="E447" s="153">
        <v>46465</v>
      </c>
      <c r="F447" s="154">
        <v>46465</v>
      </c>
      <c r="G447" s="155">
        <f t="shared" si="36"/>
        <v>100</v>
      </c>
      <c r="H447" s="139">
        <f t="shared" si="37"/>
        <v>92930</v>
      </c>
    </row>
    <row r="448" spans="1:8" ht="12.75">
      <c r="A448" s="184"/>
      <c r="B448" s="150"/>
      <c r="C448" s="150"/>
      <c r="D448" s="152"/>
      <c r="E448" s="153"/>
      <c r="F448" s="154"/>
      <c r="G448" s="153"/>
      <c r="H448" s="139"/>
    </row>
    <row r="449" spans="1:8" ht="12.75">
      <c r="A449" s="184"/>
      <c r="B449" s="109">
        <v>85218</v>
      </c>
      <c r="C449" s="145"/>
      <c r="D449" s="92" t="s">
        <v>766</v>
      </c>
      <c r="E449" s="146">
        <f>SUM(E450:E471)</f>
        <v>548950</v>
      </c>
      <c r="F449" s="147">
        <f>SUM(F450:F471)</f>
        <v>599268</v>
      </c>
      <c r="G449" s="158">
        <f aca="true" t="shared" si="38" ref="G449:G458">F449/E449*100</f>
        <v>109.1662264322798</v>
      </c>
      <c r="H449" s="149">
        <f aca="true" t="shared" si="39" ref="H449:H471">E449+F449</f>
        <v>1148218</v>
      </c>
    </row>
    <row r="450" spans="1:10" ht="12.75">
      <c r="A450" s="184"/>
      <c r="B450" s="150"/>
      <c r="C450" s="150">
        <v>4010</v>
      </c>
      <c r="D450" s="152" t="s">
        <v>647</v>
      </c>
      <c r="E450" s="153">
        <v>302701</v>
      </c>
      <c r="F450" s="154">
        <f>302701+57645</f>
        <v>360346</v>
      </c>
      <c r="G450" s="155">
        <f t="shared" si="38"/>
        <v>119.04354461993849</v>
      </c>
      <c r="H450" s="139">
        <f t="shared" si="39"/>
        <v>663047</v>
      </c>
      <c r="J450" s="122">
        <f>SUM(H450:H453)</f>
        <v>859908</v>
      </c>
    </row>
    <row r="451" spans="1:8" ht="12.75">
      <c r="A451" s="184"/>
      <c r="B451" s="150"/>
      <c r="C451" s="150">
        <v>4040</v>
      </c>
      <c r="D451" s="152" t="s">
        <v>648</v>
      </c>
      <c r="E451" s="153">
        <v>23898</v>
      </c>
      <c r="F451" s="154">
        <v>25531</v>
      </c>
      <c r="G451" s="155">
        <f t="shared" si="38"/>
        <v>106.83320779981588</v>
      </c>
      <c r="H451" s="139">
        <f t="shared" si="39"/>
        <v>49429</v>
      </c>
    </row>
    <row r="452" spans="1:8" ht="12.75">
      <c r="A452" s="184"/>
      <c r="B452" s="150"/>
      <c r="C452" s="150">
        <v>4110</v>
      </c>
      <c r="D452" s="152" t="s">
        <v>649</v>
      </c>
      <c r="E452" s="153">
        <v>62672</v>
      </c>
      <c r="F452" s="154">
        <f>56423+10306</f>
        <v>66729</v>
      </c>
      <c r="G452" s="155">
        <f t="shared" si="38"/>
        <v>106.47338524380902</v>
      </c>
      <c r="H452" s="139">
        <f t="shared" si="39"/>
        <v>129401</v>
      </c>
    </row>
    <row r="453" spans="1:8" ht="12.75">
      <c r="A453" s="184"/>
      <c r="B453" s="150"/>
      <c r="C453" s="150">
        <v>4120</v>
      </c>
      <c r="D453" s="152" t="s">
        <v>650</v>
      </c>
      <c r="E453" s="153">
        <v>8578</v>
      </c>
      <c r="F453" s="154">
        <f>8041+1412</f>
        <v>9453</v>
      </c>
      <c r="G453" s="155">
        <f t="shared" si="38"/>
        <v>110.20051294007926</v>
      </c>
      <c r="H453" s="139">
        <f t="shared" si="39"/>
        <v>18031</v>
      </c>
    </row>
    <row r="454" spans="1:8" ht="12.75">
      <c r="A454" s="184"/>
      <c r="B454" s="150"/>
      <c r="C454" s="150">
        <v>4210</v>
      </c>
      <c r="D454" s="152" t="s">
        <v>652</v>
      </c>
      <c r="E454" s="153">
        <v>39900</v>
      </c>
      <c r="F454" s="154">
        <v>27376</v>
      </c>
      <c r="G454" s="155">
        <f t="shared" si="38"/>
        <v>68.61152882205513</v>
      </c>
      <c r="H454" s="139">
        <f t="shared" si="39"/>
        <v>67276</v>
      </c>
    </row>
    <row r="455" spans="1:8" ht="12.75">
      <c r="A455" s="184"/>
      <c r="B455" s="150"/>
      <c r="C455" s="150">
        <v>4260</v>
      </c>
      <c r="D455" s="152" t="s">
        <v>653</v>
      </c>
      <c r="E455" s="153">
        <v>29601</v>
      </c>
      <c r="F455" s="154">
        <v>27360</v>
      </c>
      <c r="G455" s="155">
        <f t="shared" si="38"/>
        <v>92.42930982061417</v>
      </c>
      <c r="H455" s="139">
        <f t="shared" si="39"/>
        <v>56961</v>
      </c>
    </row>
    <row r="456" spans="1:8" ht="12.75">
      <c r="A456" s="184"/>
      <c r="B456" s="150"/>
      <c r="C456" s="150">
        <v>4270</v>
      </c>
      <c r="D456" s="152" t="s">
        <v>654</v>
      </c>
      <c r="E456" s="153">
        <v>2431</v>
      </c>
      <c r="F456" s="154">
        <v>2400</v>
      </c>
      <c r="G456" s="155">
        <f t="shared" si="38"/>
        <v>98.72480460715755</v>
      </c>
      <c r="H456" s="139">
        <f t="shared" si="39"/>
        <v>4831</v>
      </c>
    </row>
    <row r="457" spans="1:8" ht="12.75">
      <c r="A457" s="184"/>
      <c r="B457" s="150"/>
      <c r="C457" s="150">
        <v>4280</v>
      </c>
      <c r="D457" s="152" t="s">
        <v>655</v>
      </c>
      <c r="E457" s="153">
        <v>210</v>
      </c>
      <c r="F457" s="154">
        <v>160</v>
      </c>
      <c r="G457" s="155">
        <f t="shared" si="38"/>
        <v>76.19047619047619</v>
      </c>
      <c r="H457" s="139">
        <f t="shared" si="39"/>
        <v>370</v>
      </c>
    </row>
    <row r="458" spans="1:8" ht="12.75">
      <c r="A458" s="184"/>
      <c r="B458" s="150"/>
      <c r="C458" s="150">
        <v>4300</v>
      </c>
      <c r="D458" s="152" t="s">
        <v>641</v>
      </c>
      <c r="E458" s="153">
        <v>65600</v>
      </c>
      <c r="F458" s="154">
        <v>48164</v>
      </c>
      <c r="G458" s="155">
        <f t="shared" si="38"/>
        <v>73.42073170731707</v>
      </c>
      <c r="H458" s="139">
        <f t="shared" si="39"/>
        <v>113764</v>
      </c>
    </row>
    <row r="459" spans="1:8" ht="12.75">
      <c r="A459" s="184"/>
      <c r="B459" s="150"/>
      <c r="C459" s="150">
        <v>4350</v>
      </c>
      <c r="D459" s="152" t="s">
        <v>696</v>
      </c>
      <c r="E459" s="153">
        <v>0</v>
      </c>
      <c r="F459" s="154">
        <v>2322</v>
      </c>
      <c r="G459" s="155">
        <v>0</v>
      </c>
      <c r="H459" s="139">
        <f t="shared" si="39"/>
        <v>2322</v>
      </c>
    </row>
    <row r="460" spans="1:8" ht="12.75">
      <c r="A460" s="184"/>
      <c r="B460" s="150"/>
      <c r="C460" s="150">
        <v>4360</v>
      </c>
      <c r="D460" s="152" t="s">
        <v>697</v>
      </c>
      <c r="E460" s="153">
        <v>0</v>
      </c>
      <c r="F460" s="154">
        <v>540</v>
      </c>
      <c r="G460" s="155">
        <v>0</v>
      </c>
      <c r="H460" s="139">
        <f t="shared" si="39"/>
        <v>540</v>
      </c>
    </row>
    <row r="461" spans="1:8" ht="12.75">
      <c r="A461" s="184"/>
      <c r="B461" s="150"/>
      <c r="C461" s="150">
        <v>4370</v>
      </c>
      <c r="D461" s="152" t="s">
        <v>658</v>
      </c>
      <c r="E461" s="153">
        <v>0</v>
      </c>
      <c r="F461" s="154">
        <v>8720</v>
      </c>
      <c r="G461" s="155">
        <v>0</v>
      </c>
      <c r="H461" s="139">
        <f t="shared" si="39"/>
        <v>8720</v>
      </c>
    </row>
    <row r="462" spans="1:8" ht="12.75">
      <c r="A462" s="184"/>
      <c r="B462" s="150"/>
      <c r="C462" s="150">
        <v>4410</v>
      </c>
      <c r="D462" s="152" t="s">
        <v>659</v>
      </c>
      <c r="E462" s="153">
        <v>1000</v>
      </c>
      <c r="F462" s="154">
        <v>2500</v>
      </c>
      <c r="G462" s="155">
        <f>F462/E462*100</f>
        <v>250</v>
      </c>
      <c r="H462" s="139">
        <f t="shared" si="39"/>
        <v>3500</v>
      </c>
    </row>
    <row r="463" spans="1:8" ht="12.75">
      <c r="A463" s="184"/>
      <c r="B463" s="150"/>
      <c r="C463" s="150">
        <v>4430</v>
      </c>
      <c r="D463" s="152" t="s">
        <v>660</v>
      </c>
      <c r="E463" s="153">
        <v>4100</v>
      </c>
      <c r="F463" s="154">
        <v>4100</v>
      </c>
      <c r="G463" s="155">
        <f>F463/E463*100</f>
        <v>100</v>
      </c>
      <c r="H463" s="139">
        <f t="shared" si="39"/>
        <v>8200</v>
      </c>
    </row>
    <row r="464" spans="1:8" ht="12.75">
      <c r="A464" s="184"/>
      <c r="B464" s="150"/>
      <c r="C464" s="150">
        <v>4440</v>
      </c>
      <c r="D464" s="152" t="s">
        <v>661</v>
      </c>
      <c r="E464" s="153">
        <v>8025</v>
      </c>
      <c r="F464" s="154">
        <v>8025</v>
      </c>
      <c r="G464" s="155">
        <f>F464/E464*100</f>
        <v>100</v>
      </c>
      <c r="H464" s="139">
        <f t="shared" si="39"/>
        <v>16050</v>
      </c>
    </row>
    <row r="465" spans="1:8" ht="12.75">
      <c r="A465" s="184"/>
      <c r="B465" s="150"/>
      <c r="C465" s="150">
        <v>4480</v>
      </c>
      <c r="D465" s="152" t="s">
        <v>662</v>
      </c>
      <c r="E465" s="153">
        <v>0</v>
      </c>
      <c r="F465" s="154">
        <v>1542</v>
      </c>
      <c r="G465" s="155">
        <v>0</v>
      </c>
      <c r="H465" s="139">
        <f t="shared" si="39"/>
        <v>1542</v>
      </c>
    </row>
    <row r="466" spans="1:8" ht="12.75">
      <c r="A466" s="184"/>
      <c r="B466" s="150"/>
      <c r="C466" s="150">
        <v>4580</v>
      </c>
      <c r="D466" s="152" t="s">
        <v>667</v>
      </c>
      <c r="E466" s="153">
        <v>234</v>
      </c>
      <c r="F466" s="154">
        <v>0</v>
      </c>
      <c r="G466" s="155">
        <f>F466/E466*100</f>
        <v>0</v>
      </c>
      <c r="H466" s="139">
        <f t="shared" si="39"/>
        <v>234</v>
      </c>
    </row>
    <row r="467" spans="1:8" ht="12.75">
      <c r="A467" s="184"/>
      <c r="B467" s="150"/>
      <c r="C467" s="150">
        <v>4700</v>
      </c>
      <c r="D467" s="152" t="s">
        <v>681</v>
      </c>
      <c r="E467" s="153">
        <v>0</v>
      </c>
      <c r="F467" s="154">
        <v>1000</v>
      </c>
      <c r="G467" s="155">
        <v>0</v>
      </c>
      <c r="H467" s="139">
        <f t="shared" si="39"/>
        <v>1000</v>
      </c>
    </row>
    <row r="468" spans="1:8" ht="12.75">
      <c r="A468" s="184"/>
      <c r="B468" s="150"/>
      <c r="C468" s="150">
        <v>4740</v>
      </c>
      <c r="D468" s="152" t="s">
        <v>690</v>
      </c>
      <c r="E468" s="153">
        <v>0</v>
      </c>
      <c r="F468" s="154">
        <v>1000</v>
      </c>
      <c r="G468" s="155">
        <v>0</v>
      </c>
      <c r="H468" s="139">
        <f t="shared" si="39"/>
        <v>1000</v>
      </c>
    </row>
    <row r="469" spans="1:8" ht="12.75">
      <c r="A469" s="184"/>
      <c r="B469" s="150"/>
      <c r="C469" s="150">
        <v>4750</v>
      </c>
      <c r="D469" s="152" t="s">
        <v>691</v>
      </c>
      <c r="E469" s="153">
        <v>0</v>
      </c>
      <c r="F469" s="154">
        <v>2000</v>
      </c>
      <c r="G469" s="155">
        <v>0</v>
      </c>
      <c r="H469" s="139">
        <f t="shared" si="39"/>
        <v>2000</v>
      </c>
    </row>
    <row r="470" spans="1:8" ht="12.75">
      <c r="A470" s="184"/>
      <c r="B470" s="150"/>
      <c r="C470" s="150">
        <v>6050</v>
      </c>
      <c r="D470" s="152" t="s">
        <v>668</v>
      </c>
      <c r="E470" s="153">
        <v>0</v>
      </c>
      <c r="F470" s="154">
        <v>0</v>
      </c>
      <c r="G470" s="155">
        <v>0</v>
      </c>
      <c r="H470" s="139">
        <f t="shared" si="39"/>
        <v>0</v>
      </c>
    </row>
    <row r="471" spans="1:8" ht="12.75">
      <c r="A471" s="184"/>
      <c r="B471" s="150"/>
      <c r="C471" s="150">
        <v>6060</v>
      </c>
      <c r="D471" s="152" t="s">
        <v>669</v>
      </c>
      <c r="E471" s="153">
        <v>0</v>
      </c>
      <c r="F471" s="154">
        <v>0</v>
      </c>
      <c r="G471" s="155">
        <v>0</v>
      </c>
      <c r="H471" s="139">
        <f t="shared" si="39"/>
        <v>0</v>
      </c>
    </row>
    <row r="472" spans="1:8" ht="12.75">
      <c r="A472" s="184"/>
      <c r="B472" s="186"/>
      <c r="C472" s="151"/>
      <c r="D472" s="152"/>
      <c r="E472" s="153"/>
      <c r="F472" s="154"/>
      <c r="G472" s="153"/>
      <c r="H472" s="139"/>
    </row>
    <row r="473" spans="1:8" ht="12.75">
      <c r="A473" s="184"/>
      <c r="B473" s="109">
        <v>85220</v>
      </c>
      <c r="C473" s="145"/>
      <c r="D473" s="119" t="s">
        <v>767</v>
      </c>
      <c r="E473" s="146">
        <f>SUM(E474:E480)</f>
        <v>134216</v>
      </c>
      <c r="F473" s="147">
        <f>SUM(F474:F480)</f>
        <v>21112</v>
      </c>
      <c r="G473" s="158">
        <f aca="true" t="shared" si="40" ref="G473:G479">F473/E473*100</f>
        <v>15.729868272039102</v>
      </c>
      <c r="H473" s="149">
        <f aca="true" t="shared" si="41" ref="H473:H480">E473+F473</f>
        <v>155328</v>
      </c>
    </row>
    <row r="474" spans="1:8" ht="12.75">
      <c r="A474" s="184"/>
      <c r="B474" s="150"/>
      <c r="C474" s="150">
        <v>4210</v>
      </c>
      <c r="D474" s="152" t="s">
        <v>652</v>
      </c>
      <c r="E474" s="153">
        <v>8252</v>
      </c>
      <c r="F474" s="154">
        <v>7620</v>
      </c>
      <c r="G474" s="155">
        <f t="shared" si="40"/>
        <v>92.34125060591371</v>
      </c>
      <c r="H474" s="139">
        <f t="shared" si="41"/>
        <v>15872</v>
      </c>
    </row>
    <row r="475" spans="1:8" ht="12.75">
      <c r="A475" s="184"/>
      <c r="B475" s="150"/>
      <c r="C475" s="150">
        <v>4220</v>
      </c>
      <c r="D475" s="152" t="s">
        <v>757</v>
      </c>
      <c r="E475" s="153">
        <v>9464</v>
      </c>
      <c r="F475" s="154">
        <v>9464</v>
      </c>
      <c r="G475" s="155">
        <f t="shared" si="40"/>
        <v>100</v>
      </c>
      <c r="H475" s="139">
        <f t="shared" si="41"/>
        <v>18928</v>
      </c>
    </row>
    <row r="476" spans="1:8" ht="12.75">
      <c r="A476" s="184"/>
      <c r="B476" s="150"/>
      <c r="C476" s="150">
        <v>4230</v>
      </c>
      <c r="D476" s="152" t="s">
        <v>760</v>
      </c>
      <c r="E476" s="153">
        <v>1000</v>
      </c>
      <c r="F476" s="154">
        <v>460</v>
      </c>
      <c r="G476" s="155">
        <f t="shared" si="40"/>
        <v>46</v>
      </c>
      <c r="H476" s="139">
        <f t="shared" si="41"/>
        <v>1460</v>
      </c>
    </row>
    <row r="477" spans="1:8" ht="12.75">
      <c r="A477" s="184"/>
      <c r="B477" s="186"/>
      <c r="C477" s="151" t="s">
        <v>768</v>
      </c>
      <c r="D477" s="152" t="s">
        <v>653</v>
      </c>
      <c r="E477" s="153">
        <v>1500</v>
      </c>
      <c r="F477" s="154">
        <v>2040</v>
      </c>
      <c r="G477" s="155">
        <f t="shared" si="40"/>
        <v>136</v>
      </c>
      <c r="H477" s="139">
        <f t="shared" si="41"/>
        <v>3540</v>
      </c>
    </row>
    <row r="478" spans="1:8" ht="12.75">
      <c r="A478" s="184"/>
      <c r="B478" s="186"/>
      <c r="C478" s="151" t="s">
        <v>769</v>
      </c>
      <c r="D478" s="152" t="s">
        <v>654</v>
      </c>
      <c r="E478" s="153">
        <v>113000</v>
      </c>
      <c r="F478" s="154">
        <v>1028</v>
      </c>
      <c r="G478" s="155">
        <f t="shared" si="40"/>
        <v>0.9097345132743363</v>
      </c>
      <c r="H478" s="139">
        <f t="shared" si="41"/>
        <v>114028</v>
      </c>
    </row>
    <row r="479" spans="1:8" ht="12.75">
      <c r="A479" s="184"/>
      <c r="B479" s="186"/>
      <c r="C479" s="151" t="s">
        <v>640</v>
      </c>
      <c r="D479" s="152" t="s">
        <v>641</v>
      </c>
      <c r="E479" s="153">
        <v>1000</v>
      </c>
      <c r="F479" s="154">
        <v>500</v>
      </c>
      <c r="G479" s="155">
        <f t="shared" si="40"/>
        <v>50</v>
      </c>
      <c r="H479" s="139">
        <f t="shared" si="41"/>
        <v>1500</v>
      </c>
    </row>
    <row r="480" spans="1:8" ht="12.75">
      <c r="A480" s="184"/>
      <c r="B480" s="186"/>
      <c r="C480" s="150">
        <v>6060</v>
      </c>
      <c r="D480" s="152" t="s">
        <v>669</v>
      </c>
      <c r="E480" s="153">
        <v>0</v>
      </c>
      <c r="F480" s="154">
        <v>0</v>
      </c>
      <c r="G480" s="155">
        <v>0</v>
      </c>
      <c r="H480" s="139">
        <f t="shared" si="41"/>
        <v>0</v>
      </c>
    </row>
    <row r="481" spans="1:8" ht="12.75">
      <c r="A481" s="184"/>
      <c r="B481" s="186"/>
      <c r="C481" s="151"/>
      <c r="D481" s="152"/>
      <c r="E481" s="153"/>
      <c r="F481" s="154"/>
      <c r="G481" s="153"/>
      <c r="H481" s="139"/>
    </row>
    <row r="482" spans="1:8" ht="12.75">
      <c r="A482" s="184"/>
      <c r="B482" s="201">
        <v>85233</v>
      </c>
      <c r="C482" s="157"/>
      <c r="D482" s="92" t="s">
        <v>731</v>
      </c>
      <c r="E482" s="146">
        <f>E483</f>
        <v>750</v>
      </c>
      <c r="F482" s="192">
        <f>F483</f>
        <v>0</v>
      </c>
      <c r="G482" s="158">
        <f>F482/E482*100</f>
        <v>0</v>
      </c>
      <c r="H482" s="149">
        <f>F482+E482</f>
        <v>750</v>
      </c>
    </row>
    <row r="483" spans="1:8" ht="12.75">
      <c r="A483" s="184"/>
      <c r="B483" s="186"/>
      <c r="C483" s="151" t="s">
        <v>640</v>
      </c>
      <c r="D483" s="152" t="s">
        <v>641</v>
      </c>
      <c r="E483" s="153">
        <v>750</v>
      </c>
      <c r="F483" s="154">
        <v>0</v>
      </c>
      <c r="G483" s="155">
        <f>F483/E483*100</f>
        <v>0</v>
      </c>
      <c r="H483" s="139">
        <f>F483+E483</f>
        <v>750</v>
      </c>
    </row>
    <row r="484" spans="1:8" ht="12.75">
      <c r="A484" s="184"/>
      <c r="B484" s="186"/>
      <c r="C484" s="151"/>
      <c r="D484" s="152"/>
      <c r="E484" s="153"/>
      <c r="F484" s="154"/>
      <c r="G484" s="153"/>
      <c r="H484" s="139"/>
    </row>
    <row r="485" spans="1:8" ht="12.75">
      <c r="A485" s="184"/>
      <c r="B485" s="201">
        <v>85295</v>
      </c>
      <c r="C485" s="157"/>
      <c r="D485" s="92" t="s">
        <v>621</v>
      </c>
      <c r="E485" s="146">
        <f>SUM(E486:E490)</f>
        <v>181600</v>
      </c>
      <c r="F485" s="146">
        <f>SUM(F486:F490)</f>
        <v>0</v>
      </c>
      <c r="G485" s="158">
        <f>F485/E485*100</f>
        <v>0</v>
      </c>
      <c r="H485" s="149">
        <f>F485+E485</f>
        <v>181600</v>
      </c>
    </row>
    <row r="486" spans="1:8" ht="12.75">
      <c r="A486" s="184"/>
      <c r="B486" s="186"/>
      <c r="C486" s="151" t="s">
        <v>673</v>
      </c>
      <c r="D486" s="152" t="s">
        <v>770</v>
      </c>
      <c r="E486" s="153">
        <v>1600</v>
      </c>
      <c r="F486" s="154">
        <v>0</v>
      </c>
      <c r="G486" s="155">
        <f>F486/E486*100</f>
        <v>0</v>
      </c>
      <c r="H486" s="139">
        <f>F486+E486</f>
        <v>1600</v>
      </c>
    </row>
    <row r="487" spans="1:8" ht="12.75">
      <c r="A487" s="184"/>
      <c r="B487" s="186"/>
      <c r="C487" s="151"/>
      <c r="D487" s="152" t="s">
        <v>771</v>
      </c>
      <c r="E487" s="153"/>
      <c r="F487" s="154"/>
      <c r="G487" s="153"/>
      <c r="H487" s="139"/>
    </row>
    <row r="488" spans="1:8" ht="12.75">
      <c r="A488" s="184"/>
      <c r="B488" s="186"/>
      <c r="C488" s="151"/>
      <c r="D488" s="152" t="s">
        <v>772</v>
      </c>
      <c r="E488" s="153"/>
      <c r="F488" s="154"/>
      <c r="G488" s="153"/>
      <c r="H488" s="139"/>
    </row>
    <row r="489" spans="1:8" ht="12.75">
      <c r="A489" s="184"/>
      <c r="B489" s="186"/>
      <c r="C489" s="151" t="s">
        <v>676</v>
      </c>
      <c r="D489" s="152" t="s">
        <v>652</v>
      </c>
      <c r="E489" s="153">
        <v>31424</v>
      </c>
      <c r="F489" s="154">
        <v>0</v>
      </c>
      <c r="G489" s="155">
        <f>F489/E489*100</f>
        <v>0</v>
      </c>
      <c r="H489" s="139">
        <f>F489+E489</f>
        <v>31424</v>
      </c>
    </row>
    <row r="490" spans="1:8" ht="12.75">
      <c r="A490" s="184"/>
      <c r="B490" s="186"/>
      <c r="C490" s="151" t="s">
        <v>769</v>
      </c>
      <c r="D490" s="152" t="s">
        <v>654</v>
      </c>
      <c r="E490" s="153">
        <v>148576</v>
      </c>
      <c r="F490" s="154">
        <v>0</v>
      </c>
      <c r="G490" s="155">
        <f>F490/E490*100</f>
        <v>0</v>
      </c>
      <c r="H490" s="139">
        <f>F490+E490</f>
        <v>148576</v>
      </c>
    </row>
    <row r="491" spans="1:8" ht="12.75">
      <c r="A491" s="184"/>
      <c r="B491" s="186"/>
      <c r="C491" s="151"/>
      <c r="D491" s="152"/>
      <c r="E491" s="153"/>
      <c r="F491" s="154"/>
      <c r="G491" s="153"/>
      <c r="H491" s="139"/>
    </row>
    <row r="492" spans="1:8" ht="13.5" thickBot="1">
      <c r="A492" s="107">
        <v>853</v>
      </c>
      <c r="B492" s="140"/>
      <c r="C492" s="140"/>
      <c r="D492" s="100" t="s">
        <v>773</v>
      </c>
      <c r="E492" s="141">
        <f>E493+E511+E537+E534</f>
        <v>4107673</v>
      </c>
      <c r="F492" s="141">
        <f>F493+F511+F537+F534</f>
        <v>1262090</v>
      </c>
      <c r="G492" s="142">
        <f aca="true" t="shared" si="42" ref="G492:G502">F492/E492*100</f>
        <v>30.72518187304588</v>
      </c>
      <c r="H492" s="143">
        <f aca="true" t="shared" si="43" ref="H492:H509">E492+F492</f>
        <v>5369763</v>
      </c>
    </row>
    <row r="493" spans="1:8" ht="12.75">
      <c r="A493" s="144"/>
      <c r="B493" s="109">
        <v>85321</v>
      </c>
      <c r="C493" s="145"/>
      <c r="D493" s="92" t="s">
        <v>774</v>
      </c>
      <c r="E493" s="146">
        <f>SUM(E494:E509)</f>
        <v>274325</v>
      </c>
      <c r="F493" s="146">
        <f>SUM(F494:F509)</f>
        <v>320000</v>
      </c>
      <c r="G493" s="148">
        <f t="shared" si="42"/>
        <v>116.64995899024879</v>
      </c>
      <c r="H493" s="149">
        <f t="shared" si="43"/>
        <v>594325</v>
      </c>
    </row>
    <row r="494" spans="1:10" ht="12.75">
      <c r="A494" s="144"/>
      <c r="B494" s="150"/>
      <c r="C494" s="150">
        <v>4010</v>
      </c>
      <c r="D494" s="152" t="s">
        <v>647</v>
      </c>
      <c r="E494" s="153">
        <v>66887</v>
      </c>
      <c r="F494" s="154">
        <v>80185</v>
      </c>
      <c r="G494" s="155">
        <f t="shared" si="42"/>
        <v>119.88129232885314</v>
      </c>
      <c r="H494" s="139">
        <f t="shared" si="43"/>
        <v>147072</v>
      </c>
      <c r="J494" s="122">
        <f>SUM(H494:H497)</f>
        <v>185898</v>
      </c>
    </row>
    <row r="495" spans="1:8" ht="12.75">
      <c r="A495" s="144"/>
      <c r="B495" s="150"/>
      <c r="C495" s="150">
        <v>4040</v>
      </c>
      <c r="D495" s="152" t="s">
        <v>648</v>
      </c>
      <c r="E495" s="153">
        <v>4431</v>
      </c>
      <c r="F495" s="154">
        <v>4500</v>
      </c>
      <c r="G495" s="155">
        <f t="shared" si="42"/>
        <v>101.5572105619499</v>
      </c>
      <c r="H495" s="139">
        <f t="shared" si="43"/>
        <v>8931</v>
      </c>
    </row>
    <row r="496" spans="1:8" ht="12.75">
      <c r="A496" s="144"/>
      <c r="B496" s="150"/>
      <c r="C496" s="150">
        <v>4110</v>
      </c>
      <c r="D496" s="152" t="s">
        <v>649</v>
      </c>
      <c r="E496" s="153">
        <v>11860</v>
      </c>
      <c r="F496" s="154">
        <v>14600</v>
      </c>
      <c r="G496" s="155">
        <f t="shared" si="42"/>
        <v>123.10286677908937</v>
      </c>
      <c r="H496" s="139">
        <f t="shared" si="43"/>
        <v>26460</v>
      </c>
    </row>
    <row r="497" spans="1:8" ht="12.75">
      <c r="A497" s="144"/>
      <c r="B497" s="150"/>
      <c r="C497" s="150">
        <v>4120</v>
      </c>
      <c r="D497" s="152" t="s">
        <v>650</v>
      </c>
      <c r="E497" s="153">
        <v>1394</v>
      </c>
      <c r="F497" s="154">
        <v>2041</v>
      </c>
      <c r="G497" s="155">
        <f t="shared" si="42"/>
        <v>146.4131994261119</v>
      </c>
      <c r="H497" s="139">
        <f t="shared" si="43"/>
        <v>3435</v>
      </c>
    </row>
    <row r="498" spans="1:8" ht="12.75">
      <c r="A498" s="144"/>
      <c r="B498" s="150"/>
      <c r="C498" s="150">
        <v>4210</v>
      </c>
      <c r="D498" s="152" t="s">
        <v>652</v>
      </c>
      <c r="E498" s="153">
        <v>18900</v>
      </c>
      <c r="F498" s="154">
        <v>17088</v>
      </c>
      <c r="G498" s="155">
        <f t="shared" si="42"/>
        <v>90.4126984126984</v>
      </c>
      <c r="H498" s="139">
        <f t="shared" si="43"/>
        <v>35988</v>
      </c>
    </row>
    <row r="499" spans="1:8" ht="12.75">
      <c r="A499" s="144"/>
      <c r="B499" s="150"/>
      <c r="C499" s="150">
        <v>4260</v>
      </c>
      <c r="D499" s="152" t="s">
        <v>653</v>
      </c>
      <c r="E499" s="153">
        <v>11020</v>
      </c>
      <c r="F499" s="154">
        <v>11640</v>
      </c>
      <c r="G499" s="155">
        <f t="shared" si="42"/>
        <v>105.62613430127041</v>
      </c>
      <c r="H499" s="139">
        <f t="shared" si="43"/>
        <v>22660</v>
      </c>
    </row>
    <row r="500" spans="1:8" ht="12.75">
      <c r="A500" s="144"/>
      <c r="B500" s="150"/>
      <c r="C500" s="150">
        <v>4270</v>
      </c>
      <c r="D500" s="152" t="s">
        <v>654</v>
      </c>
      <c r="E500" s="153">
        <v>5600</v>
      </c>
      <c r="F500" s="154">
        <v>2400</v>
      </c>
      <c r="G500" s="155">
        <f t="shared" si="42"/>
        <v>42.857142857142854</v>
      </c>
      <c r="H500" s="139">
        <f t="shared" si="43"/>
        <v>8000</v>
      </c>
    </row>
    <row r="501" spans="1:8" ht="12.75">
      <c r="A501" s="144"/>
      <c r="B501" s="150"/>
      <c r="C501" s="150">
        <v>4280</v>
      </c>
      <c r="D501" s="152" t="s">
        <v>655</v>
      </c>
      <c r="E501" s="153">
        <v>100</v>
      </c>
      <c r="F501" s="154">
        <v>100</v>
      </c>
      <c r="G501" s="155">
        <f t="shared" si="42"/>
        <v>100</v>
      </c>
      <c r="H501" s="139">
        <f t="shared" si="43"/>
        <v>200</v>
      </c>
    </row>
    <row r="502" spans="1:8" ht="12.75">
      <c r="A502" s="144"/>
      <c r="B502" s="150"/>
      <c r="C502" s="150">
        <v>4300</v>
      </c>
      <c r="D502" s="152" t="s">
        <v>641</v>
      </c>
      <c r="E502" s="153">
        <v>148254</v>
      </c>
      <c r="F502" s="154">
        <v>171195</v>
      </c>
      <c r="G502" s="155">
        <f t="shared" si="42"/>
        <v>115.47411874215874</v>
      </c>
      <c r="H502" s="139">
        <f t="shared" si="43"/>
        <v>319449</v>
      </c>
    </row>
    <row r="503" spans="1:8" ht="12.75">
      <c r="A503" s="144"/>
      <c r="B503" s="150"/>
      <c r="C503" s="150">
        <v>4370</v>
      </c>
      <c r="D503" s="152" t="s">
        <v>658</v>
      </c>
      <c r="E503" s="153">
        <v>0</v>
      </c>
      <c r="F503" s="154">
        <v>4800</v>
      </c>
      <c r="G503" s="155">
        <v>0</v>
      </c>
      <c r="H503" s="139">
        <f t="shared" si="43"/>
        <v>4800</v>
      </c>
    </row>
    <row r="504" spans="1:8" ht="12.75">
      <c r="A504" s="144"/>
      <c r="B504" s="150"/>
      <c r="C504" s="150">
        <v>4410</v>
      </c>
      <c r="D504" s="152" t="s">
        <v>659</v>
      </c>
      <c r="E504" s="153">
        <v>3000</v>
      </c>
      <c r="F504" s="154">
        <v>3000</v>
      </c>
      <c r="G504" s="155">
        <f>F504/E504*100</f>
        <v>100</v>
      </c>
      <c r="H504" s="139">
        <f t="shared" si="43"/>
        <v>6000</v>
      </c>
    </row>
    <row r="505" spans="1:8" ht="12.75">
      <c r="A505" s="144"/>
      <c r="B505" s="150"/>
      <c r="C505" s="150">
        <v>4430</v>
      </c>
      <c r="D505" s="152" t="s">
        <v>660</v>
      </c>
      <c r="E505" s="153">
        <v>972</v>
      </c>
      <c r="F505" s="154">
        <v>700</v>
      </c>
      <c r="G505" s="155">
        <f>F505/E505*100</f>
        <v>72.0164609053498</v>
      </c>
      <c r="H505" s="139">
        <f t="shared" si="43"/>
        <v>1672</v>
      </c>
    </row>
    <row r="506" spans="1:8" ht="12.75">
      <c r="A506" s="144"/>
      <c r="B506" s="150"/>
      <c r="C506" s="150">
        <v>4440</v>
      </c>
      <c r="D506" s="152" t="s">
        <v>661</v>
      </c>
      <c r="E506" s="153">
        <v>1907</v>
      </c>
      <c r="F506" s="154">
        <v>2751</v>
      </c>
      <c r="G506" s="155">
        <f>F506/E506*100</f>
        <v>144.2579968536969</v>
      </c>
      <c r="H506" s="139">
        <f t="shared" si="43"/>
        <v>4658</v>
      </c>
    </row>
    <row r="507" spans="1:8" ht="12.75">
      <c r="A507" s="144"/>
      <c r="B507" s="150"/>
      <c r="C507" s="150">
        <v>4700</v>
      </c>
      <c r="D507" s="152" t="s">
        <v>681</v>
      </c>
      <c r="E507" s="153">
        <v>0</v>
      </c>
      <c r="F507" s="154">
        <v>1500</v>
      </c>
      <c r="G507" s="155">
        <v>0</v>
      </c>
      <c r="H507" s="139">
        <f t="shared" si="43"/>
        <v>1500</v>
      </c>
    </row>
    <row r="508" spans="1:8" ht="12.75">
      <c r="A508" s="144"/>
      <c r="B508" s="150"/>
      <c r="C508" s="150">
        <v>4740</v>
      </c>
      <c r="D508" s="152" t="s">
        <v>690</v>
      </c>
      <c r="E508" s="153">
        <v>0</v>
      </c>
      <c r="F508" s="154">
        <v>1500</v>
      </c>
      <c r="G508" s="155">
        <v>0</v>
      </c>
      <c r="H508" s="139">
        <f t="shared" si="43"/>
        <v>1500</v>
      </c>
    </row>
    <row r="509" spans="1:8" ht="12.75">
      <c r="A509" s="144"/>
      <c r="B509" s="150"/>
      <c r="C509" s="150">
        <v>4750</v>
      </c>
      <c r="D509" s="152" t="s">
        <v>691</v>
      </c>
      <c r="E509" s="153">
        <v>0</v>
      </c>
      <c r="F509" s="154">
        <v>2000</v>
      </c>
      <c r="G509" s="155">
        <v>0</v>
      </c>
      <c r="H509" s="139">
        <f t="shared" si="43"/>
        <v>2000</v>
      </c>
    </row>
    <row r="510" spans="1:8" ht="12.75">
      <c r="A510" s="144"/>
      <c r="B510" s="150"/>
      <c r="C510" s="150"/>
      <c r="D510" s="152"/>
      <c r="E510" s="153"/>
      <c r="F510" s="154"/>
      <c r="G510" s="153"/>
      <c r="H510" s="139"/>
    </row>
    <row r="511" spans="1:8" ht="12.75">
      <c r="A511" s="167"/>
      <c r="B511" s="109">
        <v>85333</v>
      </c>
      <c r="C511" s="145"/>
      <c r="D511" s="92" t="s">
        <v>775</v>
      </c>
      <c r="E511" s="146">
        <f>SUM(E512:E531)</f>
        <v>2557046</v>
      </c>
      <c r="F511" s="146">
        <f>SUM(F512:F531)</f>
        <v>735513</v>
      </c>
      <c r="G511" s="158">
        <f>F511/E511*100</f>
        <v>28.76416771540285</v>
      </c>
      <c r="H511" s="149">
        <f>E511+F511</f>
        <v>3292559</v>
      </c>
    </row>
    <row r="512" spans="1:8" ht="12.75">
      <c r="A512" s="167"/>
      <c r="B512" s="150"/>
      <c r="C512" s="198">
        <v>2310</v>
      </c>
      <c r="D512" s="166" t="s">
        <v>745</v>
      </c>
      <c r="E512" s="153">
        <v>0</v>
      </c>
      <c r="F512" s="154">
        <v>616103</v>
      </c>
      <c r="G512" s="155">
        <v>0</v>
      </c>
      <c r="H512" s="139">
        <f aca="true" t="shared" si="44" ref="H512:H524">E512+F512</f>
        <v>616103</v>
      </c>
    </row>
    <row r="513" spans="1:10" ht="12.75">
      <c r="A513" s="167"/>
      <c r="B513" s="150"/>
      <c r="C513" s="150">
        <v>4010</v>
      </c>
      <c r="D513" s="152" t="s">
        <v>647</v>
      </c>
      <c r="E513" s="153">
        <v>1725536</v>
      </c>
      <c r="F513" s="154">
        <v>0</v>
      </c>
      <c r="G513" s="155">
        <f aca="true" t="shared" si="45" ref="G513:G524">F513/E513*100</f>
        <v>0</v>
      </c>
      <c r="H513" s="139">
        <f t="shared" si="44"/>
        <v>1725536</v>
      </c>
      <c r="J513" s="122">
        <f>SUM(F513:F518)</f>
        <v>0</v>
      </c>
    </row>
    <row r="514" spans="1:8" ht="12.75">
      <c r="A514" s="167"/>
      <c r="B514" s="150"/>
      <c r="C514" s="150">
        <v>4040</v>
      </c>
      <c r="D514" s="152" t="s">
        <v>648</v>
      </c>
      <c r="E514" s="153">
        <v>120339</v>
      </c>
      <c r="F514" s="154">
        <v>0</v>
      </c>
      <c r="G514" s="155">
        <f t="shared" si="45"/>
        <v>0</v>
      </c>
      <c r="H514" s="139">
        <f t="shared" si="44"/>
        <v>120339</v>
      </c>
    </row>
    <row r="515" spans="1:8" ht="12.75">
      <c r="A515" s="167"/>
      <c r="B515" s="150"/>
      <c r="C515" s="150">
        <v>4110</v>
      </c>
      <c r="D515" s="152" t="s">
        <v>649</v>
      </c>
      <c r="E515" s="153">
        <v>297872</v>
      </c>
      <c r="F515" s="154">
        <v>0</v>
      </c>
      <c r="G515" s="155">
        <f t="shared" si="45"/>
        <v>0</v>
      </c>
      <c r="H515" s="139">
        <f t="shared" si="44"/>
        <v>297872</v>
      </c>
    </row>
    <row r="516" spans="1:8" ht="12.75">
      <c r="A516" s="167"/>
      <c r="B516" s="150"/>
      <c r="C516" s="150">
        <v>4120</v>
      </c>
      <c r="D516" s="152" t="s">
        <v>650</v>
      </c>
      <c r="E516" s="153">
        <v>42355</v>
      </c>
      <c r="F516" s="154">
        <v>0</v>
      </c>
      <c r="G516" s="155">
        <f t="shared" si="45"/>
        <v>0</v>
      </c>
      <c r="H516" s="139">
        <f t="shared" si="44"/>
        <v>42355</v>
      </c>
    </row>
    <row r="517" spans="1:8" ht="12.75">
      <c r="A517" s="167"/>
      <c r="B517" s="150"/>
      <c r="C517" s="150">
        <v>4140</v>
      </c>
      <c r="D517" s="152" t="s">
        <v>776</v>
      </c>
      <c r="E517" s="153">
        <v>21882</v>
      </c>
      <c r="F517" s="154">
        <v>0</v>
      </c>
      <c r="G517" s="155">
        <f t="shared" si="45"/>
        <v>0</v>
      </c>
      <c r="H517" s="139">
        <f t="shared" si="44"/>
        <v>21882</v>
      </c>
    </row>
    <row r="518" spans="1:8" ht="12.75">
      <c r="A518" s="167"/>
      <c r="B518" s="150"/>
      <c r="C518" s="150">
        <v>4170</v>
      </c>
      <c r="D518" s="152" t="s">
        <v>777</v>
      </c>
      <c r="E518" s="153">
        <v>23070</v>
      </c>
      <c r="F518" s="154">
        <v>0</v>
      </c>
      <c r="G518" s="155">
        <f t="shared" si="45"/>
        <v>0</v>
      </c>
      <c r="H518" s="139">
        <f t="shared" si="44"/>
        <v>23070</v>
      </c>
    </row>
    <row r="519" spans="1:8" ht="12.75">
      <c r="A519" s="167"/>
      <c r="B519" s="150"/>
      <c r="C519" s="150">
        <v>4210</v>
      </c>
      <c r="D519" s="152" t="s">
        <v>652</v>
      </c>
      <c r="E519" s="153">
        <v>57941</v>
      </c>
      <c r="F519" s="154">
        <v>0</v>
      </c>
      <c r="G519" s="155">
        <f t="shared" si="45"/>
        <v>0</v>
      </c>
      <c r="H519" s="139">
        <f t="shared" si="44"/>
        <v>57941</v>
      </c>
    </row>
    <row r="520" spans="1:8" ht="12.75">
      <c r="A520" s="167"/>
      <c r="B520" s="150"/>
      <c r="C520" s="150">
        <v>4260</v>
      </c>
      <c r="D520" s="152" t="s">
        <v>653</v>
      </c>
      <c r="E520" s="153">
        <v>81908</v>
      </c>
      <c r="F520" s="154">
        <v>0</v>
      </c>
      <c r="G520" s="155">
        <f t="shared" si="45"/>
        <v>0</v>
      </c>
      <c r="H520" s="139">
        <f t="shared" si="44"/>
        <v>81908</v>
      </c>
    </row>
    <row r="521" spans="1:8" ht="12.75">
      <c r="A521" s="167"/>
      <c r="B521" s="150"/>
      <c r="C521" s="150">
        <v>4270</v>
      </c>
      <c r="D521" s="152" t="s">
        <v>654</v>
      </c>
      <c r="E521" s="153">
        <v>10000</v>
      </c>
      <c r="F521" s="154">
        <v>0</v>
      </c>
      <c r="G521" s="155">
        <f t="shared" si="45"/>
        <v>0</v>
      </c>
      <c r="H521" s="139">
        <f t="shared" si="44"/>
        <v>10000</v>
      </c>
    </row>
    <row r="522" spans="1:8" ht="12.75">
      <c r="A522" s="167"/>
      <c r="B522" s="150"/>
      <c r="C522" s="150">
        <v>4280</v>
      </c>
      <c r="D522" s="152" t="s">
        <v>655</v>
      </c>
      <c r="E522" s="153">
        <v>2700</v>
      </c>
      <c r="F522" s="154">
        <v>0</v>
      </c>
      <c r="G522" s="155">
        <f t="shared" si="45"/>
        <v>0</v>
      </c>
      <c r="H522" s="139">
        <f t="shared" si="44"/>
        <v>2700</v>
      </c>
    </row>
    <row r="523" spans="1:8" ht="12.75">
      <c r="A523" s="167"/>
      <c r="B523" s="150"/>
      <c r="C523" s="150">
        <v>4300</v>
      </c>
      <c r="D523" s="152" t="s">
        <v>641</v>
      </c>
      <c r="E523" s="153">
        <v>87217</v>
      </c>
      <c r="F523" s="154">
        <v>119410</v>
      </c>
      <c r="G523" s="155">
        <f t="shared" si="45"/>
        <v>136.91138195535274</v>
      </c>
      <c r="H523" s="139">
        <f t="shared" si="44"/>
        <v>206627</v>
      </c>
    </row>
    <row r="524" spans="1:8" ht="12.75">
      <c r="A524" s="167"/>
      <c r="B524" s="150"/>
      <c r="C524" s="150">
        <v>4350</v>
      </c>
      <c r="D524" s="152" t="s">
        <v>696</v>
      </c>
      <c r="E524" s="153">
        <v>3000</v>
      </c>
      <c r="F524" s="154">
        <v>0</v>
      </c>
      <c r="G524" s="155">
        <f t="shared" si="45"/>
        <v>0</v>
      </c>
      <c r="H524" s="139">
        <f t="shared" si="44"/>
        <v>3000</v>
      </c>
    </row>
    <row r="525" spans="1:8" ht="12.75">
      <c r="A525" s="167"/>
      <c r="B525" s="150"/>
      <c r="C525" s="150">
        <v>4410</v>
      </c>
      <c r="D525" s="152" t="s">
        <v>659</v>
      </c>
      <c r="E525" s="153">
        <v>1500</v>
      </c>
      <c r="F525" s="154">
        <v>0</v>
      </c>
      <c r="G525" s="155">
        <f aca="true" t="shared" si="46" ref="G525:G531">F525/E525*100</f>
        <v>0</v>
      </c>
      <c r="H525" s="139">
        <f>E525+F525</f>
        <v>1500</v>
      </c>
    </row>
    <row r="526" spans="1:8" ht="12.75">
      <c r="A526" s="167"/>
      <c r="B526" s="150"/>
      <c r="C526" s="150">
        <v>4430</v>
      </c>
      <c r="D526" s="152" t="s">
        <v>660</v>
      </c>
      <c r="E526" s="153">
        <v>5740</v>
      </c>
      <c r="F526" s="154">
        <v>0</v>
      </c>
      <c r="G526" s="155">
        <f t="shared" si="46"/>
        <v>0</v>
      </c>
      <c r="H526" s="139">
        <f>F526+E526</f>
        <v>5740</v>
      </c>
    </row>
    <row r="527" spans="1:8" ht="12.75">
      <c r="A527" s="167"/>
      <c r="B527" s="150"/>
      <c r="C527" s="150">
        <v>4440</v>
      </c>
      <c r="D527" s="152" t="s">
        <v>661</v>
      </c>
      <c r="E527" s="153">
        <v>60223</v>
      </c>
      <c r="F527" s="154">
        <v>0</v>
      </c>
      <c r="G527" s="155">
        <f t="shared" si="46"/>
        <v>0</v>
      </c>
      <c r="H527" s="139">
        <f>E527+F527</f>
        <v>60223</v>
      </c>
    </row>
    <row r="528" spans="1:8" ht="12.75" customHeight="1">
      <c r="A528" s="167"/>
      <c r="B528" s="150"/>
      <c r="C528" s="150">
        <v>4480</v>
      </c>
      <c r="D528" s="152" t="s">
        <v>662</v>
      </c>
      <c r="E528" s="153">
        <v>10658</v>
      </c>
      <c r="F528" s="154">
        <v>0</v>
      </c>
      <c r="G528" s="155">
        <f t="shared" si="46"/>
        <v>0</v>
      </c>
      <c r="H528" s="139">
        <f>E528+F528</f>
        <v>10658</v>
      </c>
    </row>
    <row r="529" spans="1:8" ht="12.75" customHeight="1">
      <c r="A529" s="167"/>
      <c r="B529" s="150"/>
      <c r="C529" s="150">
        <v>4510</v>
      </c>
      <c r="D529" s="152" t="s">
        <v>664</v>
      </c>
      <c r="E529" s="153">
        <v>75</v>
      </c>
      <c r="F529" s="154">
        <v>0</v>
      </c>
      <c r="G529" s="155">
        <f t="shared" si="46"/>
        <v>0</v>
      </c>
      <c r="H529" s="139">
        <f>E529+F529</f>
        <v>75</v>
      </c>
    </row>
    <row r="530" spans="1:8" ht="12.75" customHeight="1">
      <c r="A530" s="167"/>
      <c r="B530" s="150"/>
      <c r="C530" s="150">
        <v>4580</v>
      </c>
      <c r="D530" s="152" t="s">
        <v>667</v>
      </c>
      <c r="E530" s="153">
        <v>1000</v>
      </c>
      <c r="F530" s="154">
        <v>0</v>
      </c>
      <c r="G530" s="155">
        <f t="shared" si="46"/>
        <v>0</v>
      </c>
      <c r="H530" s="139">
        <f>E530+F530</f>
        <v>1000</v>
      </c>
    </row>
    <row r="531" spans="1:8" ht="12.75" customHeight="1">
      <c r="A531" s="167"/>
      <c r="B531" s="150"/>
      <c r="C531" s="150">
        <v>4600</v>
      </c>
      <c r="D531" s="152" t="s">
        <v>778</v>
      </c>
      <c r="E531" s="153">
        <v>4030</v>
      </c>
      <c r="F531" s="154">
        <v>0</v>
      </c>
      <c r="G531" s="155">
        <f t="shared" si="46"/>
        <v>0</v>
      </c>
      <c r="H531" s="139">
        <f>E531+F531</f>
        <v>4030</v>
      </c>
    </row>
    <row r="532" spans="1:8" ht="12.75" customHeight="1">
      <c r="A532" s="167"/>
      <c r="B532" s="150"/>
      <c r="C532" s="150"/>
      <c r="D532" s="152" t="s">
        <v>779</v>
      </c>
      <c r="E532" s="153"/>
      <c r="F532" s="154"/>
      <c r="G532" s="155"/>
      <c r="H532" s="139"/>
    </row>
    <row r="533" spans="1:8" ht="12.75">
      <c r="A533" s="167"/>
      <c r="B533" s="150"/>
      <c r="C533" s="150"/>
      <c r="D533" s="152"/>
      <c r="E533" s="153"/>
      <c r="F533" s="154"/>
      <c r="G533" s="153"/>
      <c r="H533" s="139"/>
    </row>
    <row r="534" spans="1:8" ht="12.75">
      <c r="A534" s="167"/>
      <c r="B534" s="109">
        <v>85334</v>
      </c>
      <c r="C534" s="145"/>
      <c r="D534" s="92" t="s">
        <v>780</v>
      </c>
      <c r="E534" s="146">
        <f>E535</f>
        <v>5745</v>
      </c>
      <c r="F534" s="146">
        <f>F535</f>
        <v>0</v>
      </c>
      <c r="G534" s="158">
        <f>F534/E534*100</f>
        <v>0</v>
      </c>
      <c r="H534" s="149">
        <f>E534+F534</f>
        <v>5745</v>
      </c>
    </row>
    <row r="535" spans="1:8" ht="12.75">
      <c r="A535" s="167"/>
      <c r="B535" s="150"/>
      <c r="C535" s="150">
        <v>3110</v>
      </c>
      <c r="D535" s="152" t="s">
        <v>781</v>
      </c>
      <c r="E535" s="153">
        <v>5745</v>
      </c>
      <c r="F535" s="154">
        <v>0</v>
      </c>
      <c r="G535" s="155">
        <f>F535/E535*100</f>
        <v>0</v>
      </c>
      <c r="H535" s="139">
        <f>SUM(E535:F535)</f>
        <v>5745</v>
      </c>
    </row>
    <row r="536" spans="1:8" ht="12.75">
      <c r="A536" s="167"/>
      <c r="B536" s="150"/>
      <c r="C536" s="150"/>
      <c r="D536" s="152"/>
      <c r="E536" s="153"/>
      <c r="F536" s="154"/>
      <c r="G536" s="153"/>
      <c r="H536" s="139"/>
    </row>
    <row r="537" spans="1:8" ht="12.75">
      <c r="A537" s="167"/>
      <c r="B537" s="109">
        <v>85395</v>
      </c>
      <c r="C537" s="145"/>
      <c r="D537" s="92" t="s">
        <v>621</v>
      </c>
      <c r="E537" s="146">
        <f>SUM(E538:E552)</f>
        <v>1270557</v>
      </c>
      <c r="F537" s="146">
        <f>SUM(F540:F552)</f>
        <v>206577</v>
      </c>
      <c r="G537" s="158">
        <f>F537/E537*100</f>
        <v>16.258774694877914</v>
      </c>
      <c r="H537" s="149">
        <f>E537+F537</f>
        <v>1477134</v>
      </c>
    </row>
    <row r="538" spans="1:8" ht="12.75">
      <c r="A538" s="167"/>
      <c r="B538" s="150"/>
      <c r="C538" s="150">
        <v>2820</v>
      </c>
      <c r="D538" s="152" t="s">
        <v>782</v>
      </c>
      <c r="E538" s="153">
        <v>5300</v>
      </c>
      <c r="F538" s="154">
        <v>0</v>
      </c>
      <c r="G538" s="155">
        <f>F538/E538*100</f>
        <v>0</v>
      </c>
      <c r="H538" s="139">
        <f>SUM(E538:F538)</f>
        <v>5300</v>
      </c>
    </row>
    <row r="539" spans="1:8" ht="12.75">
      <c r="A539" s="167"/>
      <c r="B539" s="150"/>
      <c r="C539" s="150"/>
      <c r="D539" s="152" t="s">
        <v>783</v>
      </c>
      <c r="E539" s="153"/>
      <c r="F539" s="154"/>
      <c r="G539" s="155"/>
      <c r="H539" s="139"/>
    </row>
    <row r="540" spans="1:8" ht="12.75">
      <c r="A540" s="167"/>
      <c r="B540" s="150"/>
      <c r="C540" s="150">
        <v>3118</v>
      </c>
      <c r="D540" s="152" t="s">
        <v>781</v>
      </c>
      <c r="E540" s="153">
        <v>426475</v>
      </c>
      <c r="F540" s="154">
        <v>131031</v>
      </c>
      <c r="G540" s="155">
        <f aca="true" t="shared" si="47" ref="G540:G547">F540/E540*100</f>
        <v>30.724192508353358</v>
      </c>
      <c r="H540" s="139">
        <f aca="true" t="shared" si="48" ref="H540:H552">SUM(E540:F540)</f>
        <v>557506</v>
      </c>
    </row>
    <row r="541" spans="1:8" ht="12.75">
      <c r="A541" s="167"/>
      <c r="B541" s="150"/>
      <c r="C541" s="150">
        <v>3119</v>
      </c>
      <c r="D541" s="152" t="s">
        <v>781</v>
      </c>
      <c r="E541" s="153">
        <v>0</v>
      </c>
      <c r="F541" s="154">
        <v>36054</v>
      </c>
      <c r="G541" s="155"/>
      <c r="H541" s="139"/>
    </row>
    <row r="542" spans="1:8" ht="12.75">
      <c r="A542" s="167"/>
      <c r="B542" s="150"/>
      <c r="C542" s="150">
        <v>4018</v>
      </c>
      <c r="D542" s="152" t="s">
        <v>647</v>
      </c>
      <c r="E542" s="153">
        <v>208186</v>
      </c>
      <c r="F542" s="154">
        <v>20048</v>
      </c>
      <c r="G542" s="155">
        <f t="shared" si="47"/>
        <v>9.629850230082715</v>
      </c>
      <c r="H542" s="139">
        <f t="shared" si="48"/>
        <v>228234</v>
      </c>
    </row>
    <row r="543" spans="1:8" ht="12.75">
      <c r="A543" s="167"/>
      <c r="B543" s="150"/>
      <c r="C543" s="150">
        <v>4110</v>
      </c>
      <c r="D543" s="152" t="s">
        <v>649</v>
      </c>
      <c r="E543" s="153">
        <v>755</v>
      </c>
      <c r="F543" s="154">
        <v>0</v>
      </c>
      <c r="G543" s="155">
        <f t="shared" si="47"/>
        <v>0</v>
      </c>
      <c r="H543" s="139">
        <f t="shared" si="48"/>
        <v>755</v>
      </c>
    </row>
    <row r="544" spans="1:8" ht="12.75">
      <c r="A544" s="167"/>
      <c r="B544" s="150"/>
      <c r="C544" s="150">
        <v>4118</v>
      </c>
      <c r="D544" s="152" t="s">
        <v>649</v>
      </c>
      <c r="E544" s="153">
        <v>35871</v>
      </c>
      <c r="F544" s="154">
        <v>3752</v>
      </c>
      <c r="G544" s="155">
        <f t="shared" si="47"/>
        <v>10.459702824008252</v>
      </c>
      <c r="H544" s="139">
        <f t="shared" si="48"/>
        <v>39623</v>
      </c>
    </row>
    <row r="545" spans="1:8" ht="12.75">
      <c r="A545" s="167"/>
      <c r="B545" s="150"/>
      <c r="C545" s="150">
        <v>4120</v>
      </c>
      <c r="D545" s="152" t="s">
        <v>650</v>
      </c>
      <c r="E545" s="153">
        <v>1102</v>
      </c>
      <c r="F545" s="154">
        <v>0</v>
      </c>
      <c r="G545" s="155">
        <f t="shared" si="47"/>
        <v>0</v>
      </c>
      <c r="H545" s="139">
        <f t="shared" si="48"/>
        <v>1102</v>
      </c>
    </row>
    <row r="546" spans="1:8" ht="12.75">
      <c r="A546" s="167"/>
      <c r="B546" s="150"/>
      <c r="C546" s="150">
        <v>4210</v>
      </c>
      <c r="D546" s="152" t="s">
        <v>652</v>
      </c>
      <c r="E546" s="153">
        <v>13663</v>
      </c>
      <c r="F546" s="154">
        <v>0</v>
      </c>
      <c r="G546" s="155">
        <f t="shared" si="47"/>
        <v>0</v>
      </c>
      <c r="H546" s="139">
        <f t="shared" si="48"/>
        <v>13663</v>
      </c>
    </row>
    <row r="547" spans="1:8" ht="12.75">
      <c r="A547" s="167"/>
      <c r="B547" s="150"/>
      <c r="C547" s="150">
        <v>4218</v>
      </c>
      <c r="D547" s="152" t="s">
        <v>652</v>
      </c>
      <c r="E547" s="153">
        <v>40000</v>
      </c>
      <c r="F547" s="154">
        <v>0</v>
      </c>
      <c r="G547" s="155">
        <f t="shared" si="47"/>
        <v>0</v>
      </c>
      <c r="H547" s="139">
        <f t="shared" si="48"/>
        <v>40000</v>
      </c>
    </row>
    <row r="548" spans="1:8" ht="12.75">
      <c r="A548" s="167"/>
      <c r="B548" s="150"/>
      <c r="C548" s="150">
        <v>4270</v>
      </c>
      <c r="D548" s="152" t="s">
        <v>654</v>
      </c>
      <c r="E548" s="153">
        <v>0</v>
      </c>
      <c r="F548" s="154">
        <v>0</v>
      </c>
      <c r="G548" s="155">
        <v>0</v>
      </c>
      <c r="H548" s="139">
        <f t="shared" si="48"/>
        <v>0</v>
      </c>
    </row>
    <row r="549" spans="1:8" ht="12.75">
      <c r="A549" s="167"/>
      <c r="B549" s="150"/>
      <c r="C549" s="150">
        <v>4288</v>
      </c>
      <c r="D549" s="152" t="s">
        <v>655</v>
      </c>
      <c r="E549" s="153">
        <v>9270</v>
      </c>
      <c r="F549" s="154">
        <v>0</v>
      </c>
      <c r="G549" s="155">
        <v>0</v>
      </c>
      <c r="H549" s="139">
        <f t="shared" si="48"/>
        <v>9270</v>
      </c>
    </row>
    <row r="550" spans="1:8" ht="12.75">
      <c r="A550" s="167"/>
      <c r="B550" s="150"/>
      <c r="C550" s="150">
        <v>4300</v>
      </c>
      <c r="D550" s="152" t="s">
        <v>641</v>
      </c>
      <c r="E550" s="153">
        <v>4885</v>
      </c>
      <c r="F550" s="154">
        <v>0</v>
      </c>
      <c r="G550" s="155">
        <v>0</v>
      </c>
      <c r="H550" s="139">
        <f t="shared" si="48"/>
        <v>4885</v>
      </c>
    </row>
    <row r="551" spans="1:8" ht="12.75">
      <c r="A551" s="167"/>
      <c r="B551" s="150"/>
      <c r="C551" s="150">
        <v>4308</v>
      </c>
      <c r="D551" s="152" t="s">
        <v>641</v>
      </c>
      <c r="E551" s="153">
        <v>253615</v>
      </c>
      <c r="F551" s="154">
        <v>11250</v>
      </c>
      <c r="G551" s="155">
        <v>0</v>
      </c>
      <c r="H551" s="139">
        <f t="shared" si="48"/>
        <v>264865</v>
      </c>
    </row>
    <row r="552" spans="1:8" ht="12.75">
      <c r="A552" s="167"/>
      <c r="B552" s="150"/>
      <c r="C552" s="150">
        <v>4309</v>
      </c>
      <c r="D552" s="152" t="s">
        <v>641</v>
      </c>
      <c r="E552" s="153">
        <v>271435</v>
      </c>
      <c r="F552" s="154">
        <v>4442</v>
      </c>
      <c r="G552" s="155">
        <v>0</v>
      </c>
      <c r="H552" s="139">
        <f t="shared" si="48"/>
        <v>275877</v>
      </c>
    </row>
    <row r="553" spans="1:8" ht="12.75">
      <c r="A553" s="184"/>
      <c r="B553" s="150"/>
      <c r="C553" s="150"/>
      <c r="D553" s="152"/>
      <c r="E553" s="153"/>
      <c r="F553" s="154"/>
      <c r="G553" s="153"/>
      <c r="H553" s="139"/>
    </row>
    <row r="554" spans="1:8" ht="13.5" thickBot="1">
      <c r="A554" s="107">
        <v>854</v>
      </c>
      <c r="B554" s="140"/>
      <c r="C554" s="140"/>
      <c r="D554" s="100" t="s">
        <v>784</v>
      </c>
      <c r="E554" s="141">
        <f>E555+E565+E591+E608+E655+E626+E651</f>
        <v>3667718</v>
      </c>
      <c r="F554" s="159">
        <f>F555+F565+F591+F608+F655+F626+F651</f>
        <v>3279463</v>
      </c>
      <c r="G554" s="142">
        <f>F554/E554*100</f>
        <v>89.41426249237264</v>
      </c>
      <c r="H554" s="143">
        <f aca="true" t="shared" si="49" ref="H554:H563">E554+F554</f>
        <v>6947181</v>
      </c>
    </row>
    <row r="555" spans="1:8" ht="12.75">
      <c r="A555" s="167"/>
      <c r="B555" s="109">
        <v>85401</v>
      </c>
      <c r="C555" s="145"/>
      <c r="D555" s="92" t="s">
        <v>785</v>
      </c>
      <c r="E555" s="146">
        <f>SUM(E556:E563)</f>
        <v>43170</v>
      </c>
      <c r="F555" s="147">
        <f>SUM(F556:F563)</f>
        <v>47785</v>
      </c>
      <c r="G555" s="148">
        <f>F555/E555*100</f>
        <v>110.69029418577716</v>
      </c>
      <c r="H555" s="149">
        <f t="shared" si="49"/>
        <v>90955</v>
      </c>
    </row>
    <row r="556" spans="1:8" ht="12.75">
      <c r="A556" s="167"/>
      <c r="B556" s="150"/>
      <c r="C556" s="150">
        <v>3020</v>
      </c>
      <c r="D556" s="152" t="s">
        <v>646</v>
      </c>
      <c r="E556" s="153">
        <v>0</v>
      </c>
      <c r="F556" s="154">
        <v>63</v>
      </c>
      <c r="G556" s="155">
        <v>0</v>
      </c>
      <c r="H556" s="139">
        <f t="shared" si="49"/>
        <v>63</v>
      </c>
    </row>
    <row r="557" spans="1:10" ht="12.75">
      <c r="A557" s="167"/>
      <c r="B557" s="150"/>
      <c r="C557" s="150">
        <v>4010</v>
      </c>
      <c r="D557" s="152" t="s">
        <v>647</v>
      </c>
      <c r="E557" s="153">
        <v>30166</v>
      </c>
      <c r="F557" s="154">
        <v>31468</v>
      </c>
      <c r="G557" s="155">
        <f>F557/E557*100</f>
        <v>104.3161174832593</v>
      </c>
      <c r="H557" s="139">
        <f t="shared" si="49"/>
        <v>61634</v>
      </c>
      <c r="J557" s="122">
        <f>SUM(H557:H560)</f>
        <v>80296</v>
      </c>
    </row>
    <row r="558" spans="1:8" ht="12.75">
      <c r="A558" s="167"/>
      <c r="B558" s="150"/>
      <c r="C558" s="150">
        <v>4040</v>
      </c>
      <c r="D558" s="152" t="s">
        <v>648</v>
      </c>
      <c r="E558" s="153">
        <v>2410</v>
      </c>
      <c r="F558" s="154">
        <v>2661</v>
      </c>
      <c r="G558" s="155">
        <f>F558/E558*100</f>
        <v>110.41493775933611</v>
      </c>
      <c r="H558" s="139">
        <f t="shared" si="49"/>
        <v>5071</v>
      </c>
    </row>
    <row r="559" spans="1:8" ht="12.75">
      <c r="A559" s="167"/>
      <c r="B559" s="150"/>
      <c r="C559" s="150">
        <v>4110</v>
      </c>
      <c r="D559" s="152" t="s">
        <v>649</v>
      </c>
      <c r="E559" s="153">
        <v>5837</v>
      </c>
      <c r="F559" s="154">
        <v>6007</v>
      </c>
      <c r="G559" s="155">
        <f>F559/E559*100</f>
        <v>102.91245502826794</v>
      </c>
      <c r="H559" s="139">
        <f t="shared" si="49"/>
        <v>11844</v>
      </c>
    </row>
    <row r="560" spans="1:8" ht="12.75">
      <c r="A560" s="167"/>
      <c r="B560" s="150"/>
      <c r="C560" s="150">
        <v>4120</v>
      </c>
      <c r="D560" s="152" t="s">
        <v>650</v>
      </c>
      <c r="E560" s="153">
        <v>911</v>
      </c>
      <c r="F560" s="154">
        <v>836</v>
      </c>
      <c r="G560" s="155">
        <f>F560/E560*100</f>
        <v>91.76728869374314</v>
      </c>
      <c r="H560" s="139">
        <f t="shared" si="49"/>
        <v>1747</v>
      </c>
    </row>
    <row r="561" spans="1:8" ht="12.75">
      <c r="A561" s="167"/>
      <c r="B561" s="150"/>
      <c r="C561" s="150">
        <v>4210</v>
      </c>
      <c r="D561" s="152" t="s">
        <v>652</v>
      </c>
      <c r="E561" s="153">
        <v>0</v>
      </c>
      <c r="F561" s="154">
        <v>2000</v>
      </c>
      <c r="G561" s="155">
        <v>0</v>
      </c>
      <c r="H561" s="139">
        <f t="shared" si="49"/>
        <v>2000</v>
      </c>
    </row>
    <row r="562" spans="1:8" ht="12.75">
      <c r="A562" s="167"/>
      <c r="B562" s="150"/>
      <c r="C562" s="150">
        <v>4260</v>
      </c>
      <c r="D562" s="152" t="s">
        <v>653</v>
      </c>
      <c r="E562" s="153">
        <v>0</v>
      </c>
      <c r="F562" s="154">
        <v>800</v>
      </c>
      <c r="G562" s="155">
        <v>0</v>
      </c>
      <c r="H562" s="139">
        <f t="shared" si="49"/>
        <v>800</v>
      </c>
    </row>
    <row r="563" spans="1:8" ht="12.75">
      <c r="A563" s="167"/>
      <c r="B563" s="150"/>
      <c r="C563" s="150">
        <v>4440</v>
      </c>
      <c r="D563" s="152" t="s">
        <v>661</v>
      </c>
      <c r="E563" s="153">
        <v>3846</v>
      </c>
      <c r="F563" s="154">
        <v>3950</v>
      </c>
      <c r="G563" s="155">
        <f>F563/E563*100</f>
        <v>102.70410816432658</v>
      </c>
      <c r="H563" s="139">
        <f t="shared" si="49"/>
        <v>7796</v>
      </c>
    </row>
    <row r="564" spans="1:8" ht="14.25" customHeight="1" hidden="1">
      <c r="A564" s="167"/>
      <c r="B564" s="150"/>
      <c r="C564" s="150"/>
      <c r="D564" s="152"/>
      <c r="E564" s="153"/>
      <c r="F564" s="154"/>
      <c r="G564" s="153"/>
      <c r="H564" s="139"/>
    </row>
    <row r="565" spans="1:8" ht="12.75" hidden="1">
      <c r="A565" s="167"/>
      <c r="B565" s="109">
        <v>85406</v>
      </c>
      <c r="C565" s="145"/>
      <c r="D565" s="92" t="s">
        <v>786</v>
      </c>
      <c r="E565" s="146">
        <f>SUM(E566:E589)</f>
        <v>603699</v>
      </c>
      <c r="F565" s="147">
        <f>SUM(F566:F589)</f>
        <v>700237</v>
      </c>
      <c r="G565" s="158">
        <f aca="true" t="shared" si="50" ref="G565:G571">F565/E565*100</f>
        <v>115.99108164830487</v>
      </c>
      <c r="H565" s="149">
        <f aca="true" t="shared" si="51" ref="H565:H578">E565+F565</f>
        <v>1303936</v>
      </c>
    </row>
    <row r="566" spans="1:9" ht="12.75" hidden="1">
      <c r="A566" s="167"/>
      <c r="B566" s="150"/>
      <c r="C566" s="198">
        <v>2310</v>
      </c>
      <c r="D566" s="166" t="s">
        <v>745</v>
      </c>
      <c r="E566" s="153">
        <v>120000</v>
      </c>
      <c r="F566" s="154">
        <v>199000</v>
      </c>
      <c r="G566" s="155">
        <f t="shared" si="50"/>
        <v>165.83333333333334</v>
      </c>
      <c r="H566" s="139">
        <f t="shared" si="51"/>
        <v>319000</v>
      </c>
      <c r="I566" s="122"/>
    </row>
    <row r="567" spans="1:8" ht="12.75" hidden="1">
      <c r="A567" s="167"/>
      <c r="B567" s="150"/>
      <c r="C567" s="150">
        <v>3020</v>
      </c>
      <c r="D567" s="152" t="s">
        <v>646</v>
      </c>
      <c r="E567" s="153">
        <v>919</v>
      </c>
      <c r="F567" s="154">
        <v>1105</v>
      </c>
      <c r="G567" s="155">
        <f t="shared" si="50"/>
        <v>120.23939064200218</v>
      </c>
      <c r="H567" s="139">
        <f t="shared" si="51"/>
        <v>2024</v>
      </c>
    </row>
    <row r="568" spans="1:10" ht="12.75" hidden="1">
      <c r="A568" s="167"/>
      <c r="B568" s="150"/>
      <c r="C568" s="150">
        <v>4010</v>
      </c>
      <c r="D568" s="152" t="s">
        <v>647</v>
      </c>
      <c r="E568" s="153">
        <v>317392</v>
      </c>
      <c r="F568" s="154">
        <f>343646+2604</f>
        <v>346250</v>
      </c>
      <c r="G568" s="155">
        <f t="shared" si="50"/>
        <v>109.09222664717446</v>
      </c>
      <c r="H568" s="139">
        <f t="shared" si="51"/>
        <v>663642</v>
      </c>
      <c r="J568" s="122">
        <f>SUM(H568:H572)</f>
        <v>851885</v>
      </c>
    </row>
    <row r="569" spans="1:8" ht="12.75" hidden="1">
      <c r="A569" s="167"/>
      <c r="B569" s="150"/>
      <c r="C569" s="150">
        <v>4040</v>
      </c>
      <c r="D569" s="152" t="s">
        <v>648</v>
      </c>
      <c r="E569" s="153">
        <v>24151</v>
      </c>
      <c r="F569" s="154">
        <v>26142</v>
      </c>
      <c r="G569" s="155">
        <f t="shared" si="50"/>
        <v>108.2439650532069</v>
      </c>
      <c r="H569" s="139">
        <f t="shared" si="51"/>
        <v>50293</v>
      </c>
    </row>
    <row r="570" spans="1:8" ht="12.75" hidden="1">
      <c r="A570" s="167"/>
      <c r="B570" s="150"/>
      <c r="C570" s="150">
        <v>4110</v>
      </c>
      <c r="D570" s="152" t="s">
        <v>649</v>
      </c>
      <c r="E570" s="153">
        <v>58876</v>
      </c>
      <c r="F570" s="154">
        <f>61660+465</f>
        <v>62125</v>
      </c>
      <c r="G570" s="155">
        <f t="shared" si="50"/>
        <v>105.5183776071744</v>
      </c>
      <c r="H570" s="139">
        <f t="shared" si="51"/>
        <v>121001</v>
      </c>
    </row>
    <row r="571" spans="1:8" ht="12.75" hidden="1">
      <c r="A571" s="167"/>
      <c r="B571" s="150"/>
      <c r="C571" s="150">
        <v>4120</v>
      </c>
      <c r="D571" s="152" t="s">
        <v>650</v>
      </c>
      <c r="E571" s="153">
        <v>8222</v>
      </c>
      <c r="F571" s="154">
        <f>8663+64</f>
        <v>8727</v>
      </c>
      <c r="G571" s="155">
        <f t="shared" si="50"/>
        <v>106.14205789345658</v>
      </c>
      <c r="H571" s="139">
        <f t="shared" si="51"/>
        <v>16949</v>
      </c>
    </row>
    <row r="572" spans="1:8" ht="12.75" hidden="1">
      <c r="A572" s="167"/>
      <c r="B572" s="150"/>
      <c r="C572" s="150">
        <v>4170</v>
      </c>
      <c r="D572" s="152" t="s">
        <v>651</v>
      </c>
      <c r="E572" s="153">
        <v>0</v>
      </c>
      <c r="F572" s="154">
        <v>0</v>
      </c>
      <c r="G572" s="155">
        <v>0</v>
      </c>
      <c r="H572" s="139">
        <f t="shared" si="51"/>
        <v>0</v>
      </c>
    </row>
    <row r="573" spans="1:8" ht="12.75" hidden="1">
      <c r="A573" s="167"/>
      <c r="B573" s="150"/>
      <c r="C573" s="150">
        <v>4210</v>
      </c>
      <c r="D573" s="152" t="s">
        <v>652</v>
      </c>
      <c r="E573" s="153">
        <v>7409</v>
      </c>
      <c r="F573" s="154">
        <v>6200</v>
      </c>
      <c r="G573" s="155">
        <f aca="true" t="shared" si="52" ref="G573:G579">F573/E573*100</f>
        <v>83.68200836820083</v>
      </c>
      <c r="H573" s="139">
        <f t="shared" si="51"/>
        <v>13609</v>
      </c>
    </row>
    <row r="574" spans="1:8" ht="12.75" hidden="1">
      <c r="A574" s="167"/>
      <c r="B574" s="150"/>
      <c r="C574" s="150">
        <v>4240</v>
      </c>
      <c r="D574" s="152" t="s">
        <v>726</v>
      </c>
      <c r="E574" s="153">
        <v>21916</v>
      </c>
      <c r="F574" s="154">
        <v>2000</v>
      </c>
      <c r="G574" s="155">
        <f t="shared" si="52"/>
        <v>9.125752874612155</v>
      </c>
      <c r="H574" s="139">
        <f t="shared" si="51"/>
        <v>23916</v>
      </c>
    </row>
    <row r="575" spans="1:8" ht="12.75" hidden="1">
      <c r="A575" s="167"/>
      <c r="B575" s="150"/>
      <c r="C575" s="150">
        <v>4260</v>
      </c>
      <c r="D575" s="152" t="s">
        <v>653</v>
      </c>
      <c r="E575" s="153">
        <v>8931</v>
      </c>
      <c r="F575" s="154">
        <v>8000</v>
      </c>
      <c r="G575" s="155">
        <f t="shared" si="52"/>
        <v>89.57563542716382</v>
      </c>
      <c r="H575" s="139">
        <f t="shared" si="51"/>
        <v>16931</v>
      </c>
    </row>
    <row r="576" spans="1:8" ht="12.75" hidden="1">
      <c r="A576" s="167"/>
      <c r="B576" s="150"/>
      <c r="C576" s="150">
        <v>4270</v>
      </c>
      <c r="D576" s="152" t="s">
        <v>654</v>
      </c>
      <c r="E576" s="153">
        <v>2880</v>
      </c>
      <c r="F576" s="154">
        <v>2000</v>
      </c>
      <c r="G576" s="155">
        <f t="shared" si="52"/>
        <v>69.44444444444444</v>
      </c>
      <c r="H576" s="139">
        <f t="shared" si="51"/>
        <v>4880</v>
      </c>
    </row>
    <row r="577" spans="1:8" ht="12.75" hidden="1">
      <c r="A577" s="167"/>
      <c r="B577" s="186"/>
      <c r="C577" s="150">
        <v>4280</v>
      </c>
      <c r="D577" s="152" t="s">
        <v>655</v>
      </c>
      <c r="E577" s="153">
        <v>40</v>
      </c>
      <c r="F577" s="154">
        <v>80</v>
      </c>
      <c r="G577" s="155">
        <f t="shared" si="52"/>
        <v>200</v>
      </c>
      <c r="H577" s="139">
        <f t="shared" si="51"/>
        <v>120</v>
      </c>
    </row>
    <row r="578" spans="1:8" ht="12.75" hidden="1">
      <c r="A578" s="167"/>
      <c r="B578" s="186"/>
      <c r="C578" s="150">
        <v>4300</v>
      </c>
      <c r="D578" s="152" t="s">
        <v>641</v>
      </c>
      <c r="E578" s="153">
        <v>9565</v>
      </c>
      <c r="F578" s="154">
        <v>5100</v>
      </c>
      <c r="G578" s="155">
        <f t="shared" si="52"/>
        <v>53.31939362258233</v>
      </c>
      <c r="H578" s="139">
        <f t="shared" si="51"/>
        <v>14665</v>
      </c>
    </row>
    <row r="579" spans="1:8" ht="12.75" hidden="1">
      <c r="A579" s="167"/>
      <c r="B579" s="186"/>
      <c r="C579" s="150">
        <v>4350</v>
      </c>
      <c r="D579" s="152" t="s">
        <v>696</v>
      </c>
      <c r="E579" s="153">
        <v>68</v>
      </c>
      <c r="F579" s="154">
        <v>50</v>
      </c>
      <c r="G579" s="155">
        <f t="shared" si="52"/>
        <v>73.52941176470588</v>
      </c>
      <c r="H579" s="139">
        <f aca="true" t="shared" si="53" ref="H579:H589">F579+E579</f>
        <v>118</v>
      </c>
    </row>
    <row r="580" spans="1:8" ht="12.75" hidden="1">
      <c r="A580" s="167"/>
      <c r="B580" s="186"/>
      <c r="C580" s="150">
        <v>4360</v>
      </c>
      <c r="D580" s="152" t="s">
        <v>697</v>
      </c>
      <c r="E580" s="153">
        <v>0</v>
      </c>
      <c r="F580" s="154">
        <v>1300</v>
      </c>
      <c r="G580" s="155">
        <v>0</v>
      </c>
      <c r="H580" s="139">
        <f t="shared" si="53"/>
        <v>1300</v>
      </c>
    </row>
    <row r="581" spans="1:8" ht="12.75" hidden="1">
      <c r="A581" s="167"/>
      <c r="B581" s="186"/>
      <c r="C581" s="150">
        <v>4370</v>
      </c>
      <c r="D581" s="152" t="s">
        <v>658</v>
      </c>
      <c r="E581" s="153">
        <v>0</v>
      </c>
      <c r="F581" s="154">
        <v>1900</v>
      </c>
      <c r="G581" s="155">
        <v>0</v>
      </c>
      <c r="H581" s="139">
        <f t="shared" si="53"/>
        <v>1900</v>
      </c>
    </row>
    <row r="582" spans="1:8" ht="12.75" hidden="1">
      <c r="A582" s="167"/>
      <c r="B582" s="186"/>
      <c r="C582" s="150">
        <v>4400</v>
      </c>
      <c r="D582" s="152" t="s">
        <v>686</v>
      </c>
      <c r="E582" s="153">
        <v>0</v>
      </c>
      <c r="F582" s="154">
        <v>2158</v>
      </c>
      <c r="G582" s="155">
        <v>0</v>
      </c>
      <c r="H582" s="139">
        <f t="shared" si="53"/>
        <v>2158</v>
      </c>
    </row>
    <row r="583" spans="1:8" ht="12.75" hidden="1">
      <c r="A583" s="167"/>
      <c r="B583" s="186"/>
      <c r="C583" s="150">
        <v>4410</v>
      </c>
      <c r="D583" s="152" t="s">
        <v>659</v>
      </c>
      <c r="E583" s="153">
        <v>2105</v>
      </c>
      <c r="F583" s="154">
        <v>2200</v>
      </c>
      <c r="G583" s="155">
        <f>F583/E583*100</f>
        <v>104.51306413301663</v>
      </c>
      <c r="H583" s="139">
        <f t="shared" si="53"/>
        <v>4305</v>
      </c>
    </row>
    <row r="584" spans="1:8" ht="12.75" hidden="1">
      <c r="A584" s="167"/>
      <c r="B584" s="186"/>
      <c r="C584" s="150">
        <v>4430</v>
      </c>
      <c r="D584" s="152" t="s">
        <v>660</v>
      </c>
      <c r="E584" s="153">
        <v>412</v>
      </c>
      <c r="F584" s="154">
        <v>2000</v>
      </c>
      <c r="G584" s="155">
        <f>F584/E584*100</f>
        <v>485.43689320388347</v>
      </c>
      <c r="H584" s="139">
        <f t="shared" si="53"/>
        <v>2412</v>
      </c>
    </row>
    <row r="585" spans="1:8" ht="12.75" hidden="1">
      <c r="A585" s="167"/>
      <c r="B585" s="186"/>
      <c r="C585" s="150">
        <v>4440</v>
      </c>
      <c r="D585" s="152" t="s">
        <v>661</v>
      </c>
      <c r="E585" s="153">
        <v>20813</v>
      </c>
      <c r="F585" s="154">
        <v>21500</v>
      </c>
      <c r="G585" s="155">
        <f>F585/E585*100</f>
        <v>103.30082160188343</v>
      </c>
      <c r="H585" s="139">
        <f t="shared" si="53"/>
        <v>42313</v>
      </c>
    </row>
    <row r="586" spans="1:8" ht="12.75" hidden="1">
      <c r="A586" s="167"/>
      <c r="B586" s="186"/>
      <c r="C586" s="150">
        <v>4700</v>
      </c>
      <c r="D586" s="152" t="s">
        <v>681</v>
      </c>
      <c r="E586" s="153">
        <v>0</v>
      </c>
      <c r="F586" s="154">
        <v>200</v>
      </c>
      <c r="G586" s="155">
        <v>0</v>
      </c>
      <c r="H586" s="139">
        <f t="shared" si="53"/>
        <v>200</v>
      </c>
    </row>
    <row r="587" spans="1:8" ht="12.75" hidden="1">
      <c r="A587" s="167"/>
      <c r="B587" s="186"/>
      <c r="C587" s="150">
        <v>4740</v>
      </c>
      <c r="D587" s="152" t="s">
        <v>690</v>
      </c>
      <c r="E587" s="153">
        <v>0</v>
      </c>
      <c r="F587" s="154">
        <v>1200</v>
      </c>
      <c r="G587" s="155">
        <v>0</v>
      </c>
      <c r="H587" s="139">
        <f t="shared" si="53"/>
        <v>1200</v>
      </c>
    </row>
    <row r="588" spans="1:8" ht="12.75" hidden="1">
      <c r="A588" s="167"/>
      <c r="B588" s="186"/>
      <c r="C588" s="150">
        <v>4750</v>
      </c>
      <c r="D588" s="152" t="s">
        <v>691</v>
      </c>
      <c r="E588" s="153">
        <v>0</v>
      </c>
      <c r="F588" s="154">
        <v>1000</v>
      </c>
      <c r="G588" s="155">
        <v>0</v>
      </c>
      <c r="H588" s="139">
        <f t="shared" si="53"/>
        <v>1000</v>
      </c>
    </row>
    <row r="589" spans="1:8" ht="12.75" hidden="1">
      <c r="A589" s="167"/>
      <c r="B589" s="186"/>
      <c r="C589" s="156">
        <v>6050</v>
      </c>
      <c r="D589" s="152" t="s">
        <v>668</v>
      </c>
      <c r="E589" s="153">
        <v>0</v>
      </c>
      <c r="F589" s="154">
        <v>0</v>
      </c>
      <c r="G589" s="155">
        <v>0</v>
      </c>
      <c r="H589" s="139">
        <f t="shared" si="53"/>
        <v>0</v>
      </c>
    </row>
    <row r="590" spans="1:8" ht="12.75">
      <c r="A590" s="167"/>
      <c r="B590" s="186"/>
      <c r="C590" s="198"/>
      <c r="D590" s="188"/>
      <c r="E590" s="153"/>
      <c r="F590" s="154"/>
      <c r="G590" s="153"/>
      <c r="H590" s="139"/>
    </row>
    <row r="591" spans="1:8" ht="12.75">
      <c r="A591" s="184"/>
      <c r="B591" s="109">
        <v>85410</v>
      </c>
      <c r="C591" s="200"/>
      <c r="D591" s="119" t="s">
        <v>787</v>
      </c>
      <c r="E591" s="146">
        <f>SUM(E592:E605)</f>
        <v>235468</v>
      </c>
      <c r="F591" s="147">
        <f>SUM(F592:F606)</f>
        <v>261130</v>
      </c>
      <c r="G591" s="158">
        <f aca="true" t="shared" si="54" ref="G591:G602">F591/E591*100</f>
        <v>110.8982961591384</v>
      </c>
      <c r="H591" s="149">
        <f aca="true" t="shared" si="55" ref="H591:H606">E591+F591</f>
        <v>496598</v>
      </c>
    </row>
    <row r="592" spans="1:8" ht="12.75">
      <c r="A592" s="184"/>
      <c r="B592" s="186"/>
      <c r="C592" s="150">
        <v>3020</v>
      </c>
      <c r="D592" s="152" t="s">
        <v>646</v>
      </c>
      <c r="E592" s="153">
        <v>136</v>
      </c>
      <c r="F592" s="154">
        <v>157</v>
      </c>
      <c r="G592" s="155">
        <f t="shared" si="54"/>
        <v>115.44117647058823</v>
      </c>
      <c r="H592" s="139">
        <f t="shared" si="55"/>
        <v>293</v>
      </c>
    </row>
    <row r="593" spans="1:10" ht="12.75">
      <c r="A593" s="184"/>
      <c r="B593" s="186"/>
      <c r="C593" s="150">
        <v>4010</v>
      </c>
      <c r="D593" s="152" t="s">
        <v>647</v>
      </c>
      <c r="E593" s="153">
        <v>70638</v>
      </c>
      <c r="F593" s="154">
        <f>90011+1885</f>
        <v>91896</v>
      </c>
      <c r="G593" s="155">
        <f t="shared" si="54"/>
        <v>130.09428353011128</v>
      </c>
      <c r="H593" s="139">
        <f t="shared" si="55"/>
        <v>162534</v>
      </c>
      <c r="J593" s="122">
        <f>SUM(H593:H596)</f>
        <v>210775</v>
      </c>
    </row>
    <row r="594" spans="1:8" ht="12.75">
      <c r="A594" s="184"/>
      <c r="B594" s="186"/>
      <c r="C594" s="150">
        <v>4040</v>
      </c>
      <c r="D594" s="152" t="s">
        <v>648</v>
      </c>
      <c r="E594" s="153">
        <v>5128</v>
      </c>
      <c r="F594" s="154">
        <v>6004</v>
      </c>
      <c r="G594" s="155">
        <f t="shared" si="54"/>
        <v>117.08268330733229</v>
      </c>
      <c r="H594" s="139">
        <f t="shared" si="55"/>
        <v>11132</v>
      </c>
    </row>
    <row r="595" spans="1:8" ht="12.75">
      <c r="A595" s="184"/>
      <c r="B595" s="186"/>
      <c r="C595" s="150">
        <v>4110</v>
      </c>
      <c r="D595" s="152" t="s">
        <v>649</v>
      </c>
      <c r="E595" s="153">
        <v>15696</v>
      </c>
      <c r="F595" s="154">
        <f>16764+337</f>
        <v>17101</v>
      </c>
      <c r="G595" s="155">
        <f t="shared" si="54"/>
        <v>108.9513251783894</v>
      </c>
      <c r="H595" s="139">
        <f t="shared" si="55"/>
        <v>32797</v>
      </c>
    </row>
    <row r="596" spans="1:8" ht="12.75">
      <c r="A596" s="184"/>
      <c r="B596" s="186"/>
      <c r="C596" s="150">
        <v>4120</v>
      </c>
      <c r="D596" s="152" t="s">
        <v>650</v>
      </c>
      <c r="E596" s="153">
        <v>1914</v>
      </c>
      <c r="F596" s="154">
        <f>2352+46</f>
        <v>2398</v>
      </c>
      <c r="G596" s="155">
        <f t="shared" si="54"/>
        <v>125.28735632183907</v>
      </c>
      <c r="H596" s="139">
        <f t="shared" si="55"/>
        <v>4312</v>
      </c>
    </row>
    <row r="597" spans="1:8" ht="12.75">
      <c r="A597" s="184"/>
      <c r="B597" s="186"/>
      <c r="C597" s="150">
        <v>4210</v>
      </c>
      <c r="D597" s="152" t="s">
        <v>652</v>
      </c>
      <c r="E597" s="153">
        <v>57960</v>
      </c>
      <c r="F597" s="154">
        <v>59000</v>
      </c>
      <c r="G597" s="155">
        <f t="shared" si="54"/>
        <v>101.79434092477571</v>
      </c>
      <c r="H597" s="139">
        <f t="shared" si="55"/>
        <v>116960</v>
      </c>
    </row>
    <row r="598" spans="1:8" ht="12.75">
      <c r="A598" s="184"/>
      <c r="B598" s="186"/>
      <c r="C598" s="150">
        <v>4220</v>
      </c>
      <c r="D598" s="152" t="s">
        <v>757</v>
      </c>
      <c r="E598" s="153">
        <v>55548</v>
      </c>
      <c r="F598" s="154">
        <f>68542-10000</f>
        <v>58542</v>
      </c>
      <c r="G598" s="155">
        <f t="shared" si="54"/>
        <v>105.3899330308922</v>
      </c>
      <c r="H598" s="139">
        <f t="shared" si="55"/>
        <v>114090</v>
      </c>
    </row>
    <row r="599" spans="1:8" ht="12.75">
      <c r="A599" s="184"/>
      <c r="B599" s="186"/>
      <c r="C599" s="150">
        <v>4260</v>
      </c>
      <c r="D599" s="152" t="s">
        <v>653</v>
      </c>
      <c r="E599" s="153">
        <v>10000</v>
      </c>
      <c r="F599" s="154">
        <v>10000</v>
      </c>
      <c r="G599" s="155">
        <f t="shared" si="54"/>
        <v>100</v>
      </c>
      <c r="H599" s="139">
        <f t="shared" si="55"/>
        <v>20000</v>
      </c>
    </row>
    <row r="600" spans="1:8" ht="12.75">
      <c r="A600" s="184"/>
      <c r="B600" s="186"/>
      <c r="C600" s="150">
        <v>4270</v>
      </c>
      <c r="D600" s="152" t="s">
        <v>654</v>
      </c>
      <c r="E600" s="153">
        <v>2000</v>
      </c>
      <c r="F600" s="154">
        <v>2000</v>
      </c>
      <c r="G600" s="155">
        <f t="shared" si="54"/>
        <v>100</v>
      </c>
      <c r="H600" s="139">
        <f t="shared" si="55"/>
        <v>4000</v>
      </c>
    </row>
    <row r="601" spans="1:8" ht="12.75">
      <c r="A601" s="184"/>
      <c r="B601" s="186"/>
      <c r="C601" s="150">
        <v>4280</v>
      </c>
      <c r="D601" s="152" t="s">
        <v>655</v>
      </c>
      <c r="E601" s="153">
        <v>150</v>
      </c>
      <c r="F601" s="154">
        <v>150</v>
      </c>
      <c r="G601" s="155">
        <f t="shared" si="54"/>
        <v>100</v>
      </c>
      <c r="H601" s="139">
        <f t="shared" si="55"/>
        <v>300</v>
      </c>
    </row>
    <row r="602" spans="1:8" ht="12.75">
      <c r="A602" s="184"/>
      <c r="B602" s="186"/>
      <c r="C602" s="150">
        <v>4300</v>
      </c>
      <c r="D602" s="152" t="s">
        <v>641</v>
      </c>
      <c r="E602" s="153">
        <v>2940</v>
      </c>
      <c r="F602" s="154">
        <v>2000</v>
      </c>
      <c r="G602" s="155">
        <f t="shared" si="54"/>
        <v>68.02721088435374</v>
      </c>
      <c r="H602" s="139">
        <f t="shared" si="55"/>
        <v>4940</v>
      </c>
    </row>
    <row r="603" spans="1:8" ht="12.75">
      <c r="A603" s="184"/>
      <c r="B603" s="186"/>
      <c r="C603" s="150">
        <v>4370</v>
      </c>
      <c r="D603" s="152" t="s">
        <v>658</v>
      </c>
      <c r="E603" s="153">
        <v>0</v>
      </c>
      <c r="F603" s="154">
        <v>2000</v>
      </c>
      <c r="G603" s="155">
        <v>0</v>
      </c>
      <c r="H603" s="139">
        <f t="shared" si="55"/>
        <v>2000</v>
      </c>
    </row>
    <row r="604" spans="1:8" ht="12.75">
      <c r="A604" s="184"/>
      <c r="B604" s="186"/>
      <c r="C604" s="150">
        <v>4440</v>
      </c>
      <c r="D604" s="152" t="s">
        <v>661</v>
      </c>
      <c r="E604" s="153">
        <v>5358</v>
      </c>
      <c r="F604" s="154">
        <v>5862</v>
      </c>
      <c r="G604" s="155">
        <f>F604/E604*100</f>
        <v>109.40649496080627</v>
      </c>
      <c r="H604" s="139">
        <f t="shared" si="55"/>
        <v>11220</v>
      </c>
    </row>
    <row r="605" spans="1:8" ht="12.75">
      <c r="A605" s="184"/>
      <c r="B605" s="186"/>
      <c r="C605" s="150">
        <v>4530</v>
      </c>
      <c r="D605" s="152" t="s">
        <v>788</v>
      </c>
      <c r="E605" s="153">
        <v>8000</v>
      </c>
      <c r="F605" s="154">
        <v>4020</v>
      </c>
      <c r="G605" s="155">
        <f>F605/E605*100</f>
        <v>50.24999999999999</v>
      </c>
      <c r="H605" s="139">
        <f t="shared" si="55"/>
        <v>12020</v>
      </c>
    </row>
    <row r="606" spans="1:8" ht="12.75">
      <c r="A606" s="184"/>
      <c r="B606" s="186"/>
      <c r="C606" s="156">
        <v>6050</v>
      </c>
      <c r="D606" s="152" t="s">
        <v>668</v>
      </c>
      <c r="E606" s="153">
        <v>0</v>
      </c>
      <c r="F606" s="154"/>
      <c r="G606" s="155"/>
      <c r="H606" s="139">
        <f t="shared" si="55"/>
        <v>0</v>
      </c>
    </row>
    <row r="607" spans="1:8" ht="12.75">
      <c r="A607" s="184"/>
      <c r="B607" s="186"/>
      <c r="C607" s="150"/>
      <c r="D607" s="152"/>
      <c r="E607" s="153"/>
      <c r="F607" s="154"/>
      <c r="G607" s="155"/>
      <c r="H607" s="139"/>
    </row>
    <row r="608" spans="1:8" ht="12.75">
      <c r="A608" s="184"/>
      <c r="B608" s="201">
        <v>85415</v>
      </c>
      <c r="C608" s="145"/>
      <c r="D608" s="92" t="s">
        <v>789</v>
      </c>
      <c r="E608" s="146">
        <f>SUM(E609:E624)</f>
        <v>786161</v>
      </c>
      <c r="F608" s="147">
        <f>SUM(F609:F624)</f>
        <v>197280</v>
      </c>
      <c r="G608" s="158">
        <f aca="true" t="shared" si="56" ref="G608:G624">F608/E608*100</f>
        <v>25.09409650186158</v>
      </c>
      <c r="H608" s="149">
        <f>E608+F608</f>
        <v>983441</v>
      </c>
    </row>
    <row r="609" spans="1:8" ht="12.75">
      <c r="A609" s="184"/>
      <c r="B609" s="186"/>
      <c r="C609" s="150">
        <v>3240</v>
      </c>
      <c r="D609" s="152" t="s">
        <v>790</v>
      </c>
      <c r="E609" s="153">
        <v>333300</v>
      </c>
      <c r="F609" s="154">
        <v>40000</v>
      </c>
      <c r="G609" s="155">
        <f t="shared" si="56"/>
        <v>12.001200120012001</v>
      </c>
      <c r="H609" s="139">
        <f>E609+F609</f>
        <v>373300</v>
      </c>
    </row>
    <row r="610" spans="1:8" ht="12.75">
      <c r="A610" s="184"/>
      <c r="B610" s="186"/>
      <c r="C610" s="150">
        <v>3248</v>
      </c>
      <c r="D610" s="152" t="s">
        <v>791</v>
      </c>
      <c r="E610" s="153">
        <v>261328</v>
      </c>
      <c r="F610" s="154">
        <v>97430</v>
      </c>
      <c r="G610" s="155">
        <f t="shared" si="56"/>
        <v>37.28264862548215</v>
      </c>
      <c r="H610" s="139">
        <f>F610+E610</f>
        <v>358758</v>
      </c>
    </row>
    <row r="611" spans="1:8" ht="12.75">
      <c r="A611" s="184"/>
      <c r="B611" s="186"/>
      <c r="C611" s="150">
        <v>3249</v>
      </c>
      <c r="D611" s="152" t="s">
        <v>791</v>
      </c>
      <c r="E611" s="153">
        <v>123754</v>
      </c>
      <c r="F611" s="154">
        <v>45850</v>
      </c>
      <c r="G611" s="155">
        <f t="shared" si="56"/>
        <v>37.04930749713141</v>
      </c>
      <c r="H611" s="139">
        <f>F611+E611</f>
        <v>169604</v>
      </c>
    </row>
    <row r="612" spans="1:10" ht="12.75">
      <c r="A612" s="184"/>
      <c r="B612" s="186"/>
      <c r="C612" s="150">
        <v>4110</v>
      </c>
      <c r="D612" s="152" t="s">
        <v>649</v>
      </c>
      <c r="E612" s="153">
        <v>1895</v>
      </c>
      <c r="F612" s="154">
        <v>0</v>
      </c>
      <c r="G612" s="155">
        <f t="shared" si="56"/>
        <v>0</v>
      </c>
      <c r="H612" s="139">
        <f aca="true" t="shared" si="57" ref="H612:H624">E612+F612</f>
        <v>1895</v>
      </c>
      <c r="J612" s="122">
        <f>SUM(H612:H618)</f>
        <v>21207</v>
      </c>
    </row>
    <row r="613" spans="1:10" ht="12.75">
      <c r="A613" s="184"/>
      <c r="B613" s="186"/>
      <c r="C613" s="150">
        <v>4118</v>
      </c>
      <c r="D613" s="152" t="s">
        <v>649</v>
      </c>
      <c r="E613" s="153">
        <v>119</v>
      </c>
      <c r="F613" s="154">
        <v>119</v>
      </c>
      <c r="G613" s="155">
        <f t="shared" si="56"/>
        <v>100</v>
      </c>
      <c r="H613" s="139">
        <f t="shared" si="57"/>
        <v>238</v>
      </c>
      <c r="J613" s="122"/>
    </row>
    <row r="614" spans="1:10" ht="12.75">
      <c r="A614" s="184"/>
      <c r="B614" s="186"/>
      <c r="C614" s="150">
        <v>4119</v>
      </c>
      <c r="D614" s="152" t="s">
        <v>649</v>
      </c>
      <c r="E614" s="153">
        <v>56</v>
      </c>
      <c r="F614" s="154">
        <v>56</v>
      </c>
      <c r="G614" s="155">
        <f t="shared" si="56"/>
        <v>100</v>
      </c>
      <c r="H614" s="139">
        <f t="shared" si="57"/>
        <v>112</v>
      </c>
      <c r="J614" s="122"/>
    </row>
    <row r="615" spans="1:8" ht="12.75">
      <c r="A615" s="184"/>
      <c r="B615" s="186"/>
      <c r="C615" s="150">
        <v>4120</v>
      </c>
      <c r="D615" s="152" t="s">
        <v>650</v>
      </c>
      <c r="E615" s="153">
        <v>267</v>
      </c>
      <c r="F615" s="154">
        <v>0</v>
      </c>
      <c r="G615" s="155">
        <f t="shared" si="56"/>
        <v>0</v>
      </c>
      <c r="H615" s="139">
        <f t="shared" si="57"/>
        <v>267</v>
      </c>
    </row>
    <row r="616" spans="1:8" ht="12.75">
      <c r="A616" s="184"/>
      <c r="B616" s="186"/>
      <c r="C616" s="150">
        <v>4128</v>
      </c>
      <c r="D616" s="152" t="s">
        <v>650</v>
      </c>
      <c r="E616" s="153">
        <v>17</v>
      </c>
      <c r="F616" s="154">
        <v>17</v>
      </c>
      <c r="G616" s="155">
        <f t="shared" si="56"/>
        <v>100</v>
      </c>
      <c r="H616" s="139">
        <f t="shared" si="57"/>
        <v>34</v>
      </c>
    </row>
    <row r="617" spans="1:8" ht="12.75">
      <c r="A617" s="184"/>
      <c r="B617" s="186"/>
      <c r="C617" s="150">
        <v>4129</v>
      </c>
      <c r="D617" s="152" t="s">
        <v>650</v>
      </c>
      <c r="E617" s="153">
        <v>8</v>
      </c>
      <c r="F617" s="154">
        <v>8</v>
      </c>
      <c r="G617" s="155">
        <f t="shared" si="56"/>
        <v>100</v>
      </c>
      <c r="H617" s="139">
        <f t="shared" si="57"/>
        <v>16</v>
      </c>
    </row>
    <row r="618" spans="1:8" ht="12.75">
      <c r="A618" s="184"/>
      <c r="B618" s="186"/>
      <c r="C618" s="150">
        <v>4170</v>
      </c>
      <c r="D618" s="152" t="s">
        <v>651</v>
      </c>
      <c r="E618" s="153">
        <v>18645</v>
      </c>
      <c r="F618" s="154">
        <v>0</v>
      </c>
      <c r="G618" s="155">
        <f t="shared" si="56"/>
        <v>0</v>
      </c>
      <c r="H618" s="139">
        <f t="shared" si="57"/>
        <v>18645</v>
      </c>
    </row>
    <row r="619" spans="1:8" ht="12.75">
      <c r="A619" s="184"/>
      <c r="B619" s="186"/>
      <c r="C619" s="150">
        <v>4178</v>
      </c>
      <c r="D619" s="152" t="s">
        <v>651</v>
      </c>
      <c r="E619" s="153">
        <v>2720</v>
      </c>
      <c r="F619" s="154">
        <f>1632+680</f>
        <v>2312</v>
      </c>
      <c r="G619" s="155">
        <f t="shared" si="56"/>
        <v>85</v>
      </c>
      <c r="H619" s="139">
        <f t="shared" si="57"/>
        <v>5032</v>
      </c>
    </row>
    <row r="620" spans="1:8" ht="12.75">
      <c r="A620" s="184"/>
      <c r="B620" s="186"/>
      <c r="C620" s="150">
        <v>4179</v>
      </c>
      <c r="D620" s="152" t="s">
        <v>651</v>
      </c>
      <c r="E620" s="153">
        <v>1280</v>
      </c>
      <c r="F620" s="154">
        <f>768+320</f>
        <v>1088</v>
      </c>
      <c r="G620" s="155">
        <f t="shared" si="56"/>
        <v>85</v>
      </c>
      <c r="H620" s="139">
        <f t="shared" si="57"/>
        <v>2368</v>
      </c>
    </row>
    <row r="621" spans="1:8" ht="12.75">
      <c r="A621" s="184"/>
      <c r="B621" s="186"/>
      <c r="C621" s="150">
        <v>4210</v>
      </c>
      <c r="D621" s="152" t="s">
        <v>652</v>
      </c>
      <c r="E621" s="153">
        <v>71</v>
      </c>
      <c r="F621" s="154">
        <v>0</v>
      </c>
      <c r="G621" s="155">
        <f t="shared" si="56"/>
        <v>0</v>
      </c>
      <c r="H621" s="139">
        <f t="shared" si="57"/>
        <v>71</v>
      </c>
    </row>
    <row r="622" spans="1:8" ht="12.75">
      <c r="A622" s="184"/>
      <c r="B622" s="186"/>
      <c r="C622" s="150">
        <v>4300</v>
      </c>
      <c r="D622" s="152" t="s">
        <v>641</v>
      </c>
      <c r="E622" s="153">
        <v>36196</v>
      </c>
      <c r="F622" s="154">
        <v>3400</v>
      </c>
      <c r="G622" s="155">
        <f t="shared" si="56"/>
        <v>9.393303127417395</v>
      </c>
      <c r="H622" s="139">
        <f t="shared" si="57"/>
        <v>39596</v>
      </c>
    </row>
    <row r="623" spans="1:8" ht="12.75">
      <c r="A623" s="184"/>
      <c r="B623" s="186"/>
      <c r="C623" s="150">
        <v>4308</v>
      </c>
      <c r="D623" s="152" t="s">
        <v>641</v>
      </c>
      <c r="E623" s="153">
        <v>4956</v>
      </c>
      <c r="F623" s="154">
        <f>5576-816</f>
        <v>4760</v>
      </c>
      <c r="G623" s="155">
        <f t="shared" si="56"/>
        <v>96.045197740113</v>
      </c>
      <c r="H623" s="139">
        <f t="shared" si="57"/>
        <v>9716</v>
      </c>
    </row>
    <row r="624" spans="1:8" ht="12.75">
      <c r="A624" s="184"/>
      <c r="B624" s="186"/>
      <c r="C624" s="150">
        <v>4309</v>
      </c>
      <c r="D624" s="152" t="s">
        <v>641</v>
      </c>
      <c r="E624" s="153">
        <v>1549</v>
      </c>
      <c r="F624" s="154">
        <f>2624-384</f>
        <v>2240</v>
      </c>
      <c r="G624" s="155">
        <f t="shared" si="56"/>
        <v>144.609425435765</v>
      </c>
      <c r="H624" s="139">
        <f t="shared" si="57"/>
        <v>3789</v>
      </c>
    </row>
    <row r="625" spans="1:8" ht="12.75">
      <c r="A625" s="184"/>
      <c r="B625" s="186"/>
      <c r="C625" s="150"/>
      <c r="D625" s="152"/>
      <c r="E625" s="153"/>
      <c r="F625" s="154"/>
      <c r="G625" s="155"/>
      <c r="H625" s="139"/>
    </row>
    <row r="626" spans="1:8" ht="12.75">
      <c r="A626" s="184"/>
      <c r="B626" s="201">
        <v>85420</v>
      </c>
      <c r="C626" s="145"/>
      <c r="D626" s="92" t="s">
        <v>792</v>
      </c>
      <c r="E626" s="146">
        <f>SUM(E627:E649)</f>
        <v>1988771</v>
      </c>
      <c r="F626" s="147">
        <f>SUM(F627:F649)</f>
        <v>2066337</v>
      </c>
      <c r="G626" s="158">
        <f aca="true" t="shared" si="58" ref="G626:G638">F626/E626*100</f>
        <v>103.90019765976074</v>
      </c>
      <c r="H626" s="149">
        <f aca="true" t="shared" si="59" ref="H626:H649">E626+F626</f>
        <v>4055108</v>
      </c>
    </row>
    <row r="627" spans="1:8" ht="12.75">
      <c r="A627" s="184"/>
      <c r="B627" s="186"/>
      <c r="C627" s="150">
        <v>3020</v>
      </c>
      <c r="D627" s="152" t="s">
        <v>646</v>
      </c>
      <c r="E627" s="153">
        <v>63016</v>
      </c>
      <c r="F627" s="154">
        <v>62413</v>
      </c>
      <c r="G627" s="155">
        <f t="shared" si="58"/>
        <v>99.04310016503744</v>
      </c>
      <c r="H627" s="139">
        <f t="shared" si="59"/>
        <v>125429</v>
      </c>
    </row>
    <row r="628" spans="1:8" ht="12.75">
      <c r="A628" s="184"/>
      <c r="B628" s="186"/>
      <c r="C628" s="150">
        <v>3110</v>
      </c>
      <c r="D628" s="152" t="s">
        <v>756</v>
      </c>
      <c r="E628" s="153">
        <v>1000</v>
      </c>
      <c r="F628" s="154">
        <v>8200</v>
      </c>
      <c r="G628" s="155">
        <f t="shared" si="58"/>
        <v>819.9999999999999</v>
      </c>
      <c r="H628" s="139">
        <f t="shared" si="59"/>
        <v>9200</v>
      </c>
    </row>
    <row r="629" spans="1:10" ht="12.75">
      <c r="A629" s="184"/>
      <c r="B629" s="186"/>
      <c r="C629" s="150">
        <v>4010</v>
      </c>
      <c r="D629" s="152" t="s">
        <v>647</v>
      </c>
      <c r="E629" s="153">
        <v>945195</v>
      </c>
      <c r="F629" s="154">
        <f>1004065+11570</f>
        <v>1015635</v>
      </c>
      <c r="G629" s="155">
        <f t="shared" si="58"/>
        <v>107.45243045085935</v>
      </c>
      <c r="H629" s="139">
        <f t="shared" si="59"/>
        <v>1960830</v>
      </c>
      <c r="J629" s="122">
        <f>SUM(H629:H633)</f>
        <v>2535823</v>
      </c>
    </row>
    <row r="630" spans="1:8" ht="12.75">
      <c r="A630" s="184"/>
      <c r="B630" s="186"/>
      <c r="C630" s="150">
        <v>4040</v>
      </c>
      <c r="D630" s="152" t="s">
        <v>648</v>
      </c>
      <c r="E630" s="153">
        <v>67815</v>
      </c>
      <c r="F630" s="154">
        <v>75237</v>
      </c>
      <c r="G630" s="155">
        <f t="shared" si="58"/>
        <v>110.94448130944481</v>
      </c>
      <c r="H630" s="139">
        <f t="shared" si="59"/>
        <v>143052</v>
      </c>
    </row>
    <row r="631" spans="1:8" ht="12.75">
      <c r="A631" s="184"/>
      <c r="B631" s="186"/>
      <c r="C631" s="150">
        <v>4110</v>
      </c>
      <c r="D631" s="152" t="s">
        <v>649</v>
      </c>
      <c r="E631" s="153">
        <v>175108</v>
      </c>
      <c r="F631" s="154">
        <f>193975+2069</f>
        <v>196044</v>
      </c>
      <c r="G631" s="155">
        <f t="shared" si="58"/>
        <v>111.95604998058342</v>
      </c>
      <c r="H631" s="139">
        <f t="shared" si="59"/>
        <v>371152</v>
      </c>
    </row>
    <row r="632" spans="1:8" ht="12.75">
      <c r="A632" s="184"/>
      <c r="B632" s="186"/>
      <c r="C632" s="150">
        <v>4120</v>
      </c>
      <c r="D632" s="152" t="s">
        <v>650</v>
      </c>
      <c r="E632" s="153">
        <v>24702</v>
      </c>
      <c r="F632" s="154">
        <f>26804+283</f>
        <v>27087</v>
      </c>
      <c r="G632" s="155">
        <f t="shared" si="58"/>
        <v>109.65508865678892</v>
      </c>
      <c r="H632" s="139">
        <f t="shared" si="59"/>
        <v>51789</v>
      </c>
    </row>
    <row r="633" spans="1:8" ht="12.75">
      <c r="A633" s="184"/>
      <c r="B633" s="186"/>
      <c r="C633" s="150">
        <v>4170</v>
      </c>
      <c r="D633" s="152" t="s">
        <v>651</v>
      </c>
      <c r="E633" s="153">
        <v>3000</v>
      </c>
      <c r="F633" s="154">
        <v>6000</v>
      </c>
      <c r="G633" s="155">
        <f t="shared" si="58"/>
        <v>200</v>
      </c>
      <c r="H633" s="139">
        <f t="shared" si="59"/>
        <v>9000</v>
      </c>
    </row>
    <row r="634" spans="1:8" ht="12.75">
      <c r="A634" s="184"/>
      <c r="B634" s="186"/>
      <c r="C634" s="150">
        <v>4210</v>
      </c>
      <c r="D634" s="152" t="s">
        <v>652</v>
      </c>
      <c r="E634" s="153">
        <v>298619</v>
      </c>
      <c r="F634" s="154">
        <v>275110</v>
      </c>
      <c r="G634" s="155">
        <f t="shared" si="58"/>
        <v>92.12742658705575</v>
      </c>
      <c r="H634" s="139">
        <f t="shared" si="59"/>
        <v>573729</v>
      </c>
    </row>
    <row r="635" spans="1:8" ht="12.75">
      <c r="A635" s="184"/>
      <c r="B635" s="186"/>
      <c r="C635" s="150">
        <v>4220</v>
      </c>
      <c r="D635" s="152" t="s">
        <v>757</v>
      </c>
      <c r="E635" s="153">
        <v>5000</v>
      </c>
      <c r="F635" s="154">
        <v>5000</v>
      </c>
      <c r="G635" s="155">
        <f t="shared" si="58"/>
        <v>100</v>
      </c>
      <c r="H635" s="139">
        <f t="shared" si="59"/>
        <v>10000</v>
      </c>
    </row>
    <row r="636" spans="1:8" ht="12.75">
      <c r="A636" s="184"/>
      <c r="B636" s="186"/>
      <c r="C636" s="150">
        <v>4260</v>
      </c>
      <c r="D636" s="152" t="s">
        <v>653</v>
      </c>
      <c r="E636" s="153">
        <v>40121</v>
      </c>
      <c r="F636" s="154">
        <v>42000</v>
      </c>
      <c r="G636" s="155">
        <f t="shared" si="58"/>
        <v>104.6833329179233</v>
      </c>
      <c r="H636" s="139">
        <f t="shared" si="59"/>
        <v>82121</v>
      </c>
    </row>
    <row r="637" spans="1:8" ht="12.75">
      <c r="A637" s="184"/>
      <c r="B637" s="186"/>
      <c r="C637" s="150">
        <v>4270</v>
      </c>
      <c r="D637" s="152" t="s">
        <v>654</v>
      </c>
      <c r="E637" s="153">
        <v>2947</v>
      </c>
      <c r="F637" s="154">
        <v>10000</v>
      </c>
      <c r="G637" s="155">
        <f t="shared" si="58"/>
        <v>339.328130302002</v>
      </c>
      <c r="H637" s="139">
        <f t="shared" si="59"/>
        <v>12947</v>
      </c>
    </row>
    <row r="638" spans="1:8" ht="12.75">
      <c r="A638" s="184"/>
      <c r="B638" s="186"/>
      <c r="C638" s="150">
        <v>4300</v>
      </c>
      <c r="D638" s="152" t="s">
        <v>641</v>
      </c>
      <c r="E638" s="153">
        <v>264492</v>
      </c>
      <c r="F638" s="154">
        <v>223000</v>
      </c>
      <c r="G638" s="155">
        <f t="shared" si="58"/>
        <v>84.3125690001966</v>
      </c>
      <c r="H638" s="139">
        <f t="shared" si="59"/>
        <v>487492</v>
      </c>
    </row>
    <row r="639" spans="1:8" ht="12.75">
      <c r="A639" s="184"/>
      <c r="B639" s="186"/>
      <c r="C639" s="150">
        <v>4350</v>
      </c>
      <c r="D639" s="152" t="s">
        <v>696</v>
      </c>
      <c r="E639" s="153">
        <v>0</v>
      </c>
      <c r="F639" s="154">
        <v>3000</v>
      </c>
      <c r="G639" s="155">
        <v>0</v>
      </c>
      <c r="H639" s="139">
        <f t="shared" si="59"/>
        <v>3000</v>
      </c>
    </row>
    <row r="640" spans="1:8" ht="12.75">
      <c r="A640" s="184"/>
      <c r="B640" s="186"/>
      <c r="C640" s="150">
        <v>4360</v>
      </c>
      <c r="D640" s="152" t="s">
        <v>697</v>
      </c>
      <c r="E640" s="153">
        <v>0</v>
      </c>
      <c r="F640" s="154">
        <v>3000</v>
      </c>
      <c r="G640" s="155">
        <v>0</v>
      </c>
      <c r="H640" s="139">
        <f t="shared" si="59"/>
        <v>3000</v>
      </c>
    </row>
    <row r="641" spans="1:8" ht="12.75">
      <c r="A641" s="184"/>
      <c r="B641" s="186"/>
      <c r="C641" s="150">
        <v>4370</v>
      </c>
      <c r="D641" s="152" t="s">
        <v>658</v>
      </c>
      <c r="E641" s="153">
        <v>0</v>
      </c>
      <c r="F641" s="154">
        <v>6000</v>
      </c>
      <c r="G641" s="155">
        <v>0</v>
      </c>
      <c r="H641" s="139">
        <f t="shared" si="59"/>
        <v>6000</v>
      </c>
    </row>
    <row r="642" spans="1:8" ht="12.75">
      <c r="A642" s="184"/>
      <c r="B642" s="186"/>
      <c r="C642" s="150">
        <v>4390</v>
      </c>
      <c r="D642" s="152" t="s">
        <v>686</v>
      </c>
      <c r="E642" s="153">
        <v>0</v>
      </c>
      <c r="F642" s="154">
        <v>1000</v>
      </c>
      <c r="G642" s="155">
        <v>0</v>
      </c>
      <c r="H642" s="139">
        <f t="shared" si="59"/>
        <v>1000</v>
      </c>
    </row>
    <row r="643" spans="1:8" ht="12.75">
      <c r="A643" s="184"/>
      <c r="B643" s="186"/>
      <c r="C643" s="150">
        <v>4410</v>
      </c>
      <c r="D643" s="152" t="s">
        <v>659</v>
      </c>
      <c r="E643" s="153">
        <v>3172</v>
      </c>
      <c r="F643" s="154">
        <v>3000</v>
      </c>
      <c r="G643" s="155">
        <f>F643/E643*100</f>
        <v>94.57755359394704</v>
      </c>
      <c r="H643" s="139">
        <f t="shared" si="59"/>
        <v>6172</v>
      </c>
    </row>
    <row r="644" spans="1:8" ht="12.75">
      <c r="A644" s="184"/>
      <c r="B644" s="186"/>
      <c r="C644" s="150">
        <v>4420</v>
      </c>
      <c r="D644" s="152" t="s">
        <v>694</v>
      </c>
      <c r="E644" s="153">
        <v>1850</v>
      </c>
      <c r="F644" s="154">
        <v>1000</v>
      </c>
      <c r="G644" s="155">
        <f>F644/E644*100</f>
        <v>54.054054054054056</v>
      </c>
      <c r="H644" s="139">
        <f t="shared" si="59"/>
        <v>2850</v>
      </c>
    </row>
    <row r="645" spans="1:8" ht="12.75">
      <c r="A645" s="184"/>
      <c r="B645" s="186"/>
      <c r="C645" s="150">
        <v>4430</v>
      </c>
      <c r="D645" s="152" t="s">
        <v>660</v>
      </c>
      <c r="E645" s="153">
        <v>10242</v>
      </c>
      <c r="F645" s="154">
        <v>10700</v>
      </c>
      <c r="G645" s="155">
        <f>F645/E645*100</f>
        <v>104.47178285491114</v>
      </c>
      <c r="H645" s="139">
        <f t="shared" si="59"/>
        <v>20942</v>
      </c>
    </row>
    <row r="646" spans="1:8" ht="12.75">
      <c r="A646" s="184"/>
      <c r="B646" s="186"/>
      <c r="C646" s="150">
        <v>4440</v>
      </c>
      <c r="D646" s="152" t="s">
        <v>661</v>
      </c>
      <c r="E646" s="153">
        <v>82492</v>
      </c>
      <c r="F646" s="154">
        <v>90911</v>
      </c>
      <c r="G646" s="155">
        <f>F646/E646*100</f>
        <v>110.20583814188043</v>
      </c>
      <c r="H646" s="139">
        <f t="shared" si="59"/>
        <v>173403</v>
      </c>
    </row>
    <row r="647" spans="1:8" ht="12.75">
      <c r="A647" s="184"/>
      <c r="B647" s="186"/>
      <c r="C647" s="150">
        <v>4740</v>
      </c>
      <c r="D647" s="152" t="s">
        <v>690</v>
      </c>
      <c r="E647" s="153">
        <v>0</v>
      </c>
      <c r="F647" s="154">
        <v>2000</v>
      </c>
      <c r="G647" s="155">
        <v>0</v>
      </c>
      <c r="H647" s="139">
        <f t="shared" si="59"/>
        <v>2000</v>
      </c>
    </row>
    <row r="648" spans="1:8" ht="12.75">
      <c r="A648" s="184"/>
      <c r="B648" s="186"/>
      <c r="C648" s="150">
        <v>6050</v>
      </c>
      <c r="D648" s="152" t="s">
        <v>668</v>
      </c>
      <c r="E648" s="153">
        <v>0</v>
      </c>
      <c r="F648" s="154">
        <v>0</v>
      </c>
      <c r="G648" s="155">
        <v>0</v>
      </c>
      <c r="H648" s="139">
        <f t="shared" si="59"/>
        <v>0</v>
      </c>
    </row>
    <row r="649" spans="1:10" ht="12.75">
      <c r="A649" s="184"/>
      <c r="B649" s="186"/>
      <c r="C649" s="150">
        <v>6060</v>
      </c>
      <c r="D649" s="152" t="s">
        <v>687</v>
      </c>
      <c r="E649" s="153">
        <v>0</v>
      </c>
      <c r="F649" s="154">
        <v>0</v>
      </c>
      <c r="G649" s="155">
        <v>0</v>
      </c>
      <c r="H649" s="139">
        <f t="shared" si="59"/>
        <v>0</v>
      </c>
      <c r="J649" s="123">
        <v>7747</v>
      </c>
    </row>
    <row r="650" spans="1:8" ht="12.75">
      <c r="A650" s="184"/>
      <c r="B650" s="186"/>
      <c r="C650" s="150"/>
      <c r="D650" s="152"/>
      <c r="E650" s="153"/>
      <c r="F650" s="154"/>
      <c r="G650" s="155"/>
      <c r="H650" s="139"/>
    </row>
    <row r="651" spans="1:8" ht="12.75">
      <c r="A651" s="184"/>
      <c r="B651" s="201">
        <v>85446</v>
      </c>
      <c r="C651" s="145"/>
      <c r="D651" s="92" t="s">
        <v>731</v>
      </c>
      <c r="E651" s="146">
        <f>SUM(E652:E653)</f>
        <v>3830</v>
      </c>
      <c r="F651" s="147">
        <f>SUM(F652:F653)</f>
        <v>0</v>
      </c>
      <c r="G651" s="158">
        <f>F651/E651*100</f>
        <v>0</v>
      </c>
      <c r="H651" s="149">
        <f>E651+F651</f>
        <v>3830</v>
      </c>
    </row>
    <row r="652" spans="1:8" ht="12.75">
      <c r="A652" s="184"/>
      <c r="B652" s="186"/>
      <c r="C652" s="150">
        <v>4300</v>
      </c>
      <c r="D652" s="152" t="s">
        <v>641</v>
      </c>
      <c r="E652" s="153">
        <v>3180</v>
      </c>
      <c r="F652" s="154">
        <v>0</v>
      </c>
      <c r="G652" s="155">
        <f>F652/E652*100</f>
        <v>0</v>
      </c>
      <c r="H652" s="139">
        <f>E652+F652</f>
        <v>3180</v>
      </c>
    </row>
    <row r="653" spans="1:8" ht="12.75">
      <c r="A653" s="184"/>
      <c r="B653" s="186"/>
      <c r="C653" s="150">
        <v>4410</v>
      </c>
      <c r="D653" s="152" t="s">
        <v>659</v>
      </c>
      <c r="E653" s="153">
        <v>650</v>
      </c>
      <c r="F653" s="154">
        <v>0</v>
      </c>
      <c r="G653" s="155">
        <f>F653/E653*100</f>
        <v>0</v>
      </c>
      <c r="H653" s="139">
        <f>E653+F653</f>
        <v>650</v>
      </c>
    </row>
    <row r="654" spans="1:8" ht="12.75">
      <c r="A654" s="184"/>
      <c r="B654" s="186"/>
      <c r="C654" s="150"/>
      <c r="D654" s="152"/>
      <c r="E654" s="153"/>
      <c r="F654" s="154"/>
      <c r="G654" s="155"/>
      <c r="H654" s="139"/>
    </row>
    <row r="655" spans="1:8" ht="12.75">
      <c r="A655" s="184"/>
      <c r="B655" s="201">
        <v>85495</v>
      </c>
      <c r="C655" s="145"/>
      <c r="D655" s="92" t="s">
        <v>621</v>
      </c>
      <c r="E655" s="146">
        <f>SUM(E656)</f>
        <v>6619</v>
      </c>
      <c r="F655" s="147">
        <f>SUM(F656)</f>
        <v>6694</v>
      </c>
      <c r="G655" s="158">
        <f>F655/E655*100</f>
        <v>101.13310167699048</v>
      </c>
      <c r="H655" s="149">
        <f>E655+F655</f>
        <v>13313</v>
      </c>
    </row>
    <row r="656" spans="1:8" ht="12.75">
      <c r="A656" s="184"/>
      <c r="B656" s="186"/>
      <c r="C656" s="150">
        <v>4440</v>
      </c>
      <c r="D656" s="152" t="s">
        <v>661</v>
      </c>
      <c r="E656" s="153">
        <v>6619</v>
      </c>
      <c r="F656" s="154">
        <v>6694</v>
      </c>
      <c r="G656" s="155">
        <f>F656/E656*100</f>
        <v>101.13310167699048</v>
      </c>
      <c r="H656" s="139">
        <f>E656+F656</f>
        <v>13313</v>
      </c>
    </row>
    <row r="657" spans="1:8" ht="12.75">
      <c r="A657" s="167"/>
      <c r="B657" s="150"/>
      <c r="C657" s="150"/>
      <c r="D657" s="152"/>
      <c r="E657" s="153"/>
      <c r="F657" s="154"/>
      <c r="G657" s="155"/>
      <c r="H657" s="139"/>
    </row>
    <row r="658" spans="1:8" ht="13.5" thickBot="1">
      <c r="A658" s="107">
        <v>921</v>
      </c>
      <c r="B658" s="140"/>
      <c r="C658" s="140"/>
      <c r="D658" s="100" t="s">
        <v>793</v>
      </c>
      <c r="E658" s="141">
        <f>E659+E666</f>
        <v>55000</v>
      </c>
      <c r="F658" s="159">
        <f>F659+F666</f>
        <v>55000</v>
      </c>
      <c r="G658" s="142">
        <f>F658/E658*100</f>
        <v>100</v>
      </c>
      <c r="H658" s="143">
        <f>E658+F658</f>
        <v>110000</v>
      </c>
    </row>
    <row r="659" spans="1:8" ht="12.75">
      <c r="A659" s="167"/>
      <c r="B659" s="109">
        <v>92105</v>
      </c>
      <c r="C659" s="145"/>
      <c r="D659" s="92" t="s">
        <v>794</v>
      </c>
      <c r="E659" s="146">
        <f>SUM(E660:E664)</f>
        <v>20000</v>
      </c>
      <c r="F659" s="147">
        <f>SUM(F660:F664)</f>
        <v>20000</v>
      </c>
      <c r="G659" s="148">
        <f>F659/E659*100</f>
        <v>100</v>
      </c>
      <c r="H659" s="149">
        <f>E659+F659</f>
        <v>40000</v>
      </c>
    </row>
    <row r="660" spans="1:9" ht="12.75">
      <c r="A660" s="167"/>
      <c r="B660" s="150"/>
      <c r="C660" s="151" t="s">
        <v>673</v>
      </c>
      <c r="D660" s="152" t="s">
        <v>674</v>
      </c>
      <c r="E660" s="153">
        <v>4000</v>
      </c>
      <c r="F660" s="154">
        <v>4000</v>
      </c>
      <c r="G660" s="155">
        <f>F660/E660*100</f>
        <v>100</v>
      </c>
      <c r="H660" s="139">
        <f>E660+F660</f>
        <v>8000</v>
      </c>
      <c r="I660" s="122"/>
    </row>
    <row r="661" spans="1:9" ht="12.75">
      <c r="A661" s="167"/>
      <c r="B661" s="150"/>
      <c r="C661" s="151"/>
      <c r="D661" s="152" t="s">
        <v>675</v>
      </c>
      <c r="E661" s="153"/>
      <c r="F661" s="154"/>
      <c r="G661" s="155"/>
      <c r="H661" s="139"/>
      <c r="I661" s="122"/>
    </row>
    <row r="662" spans="1:8" ht="12.75">
      <c r="A662" s="167"/>
      <c r="B662" s="150"/>
      <c r="C662" s="150">
        <v>3020</v>
      </c>
      <c r="D662" s="152" t="s">
        <v>646</v>
      </c>
      <c r="E662" s="153">
        <v>5000</v>
      </c>
      <c r="F662" s="154">
        <v>5000</v>
      </c>
      <c r="G662" s="155">
        <f>F662/E662*100</f>
        <v>100</v>
      </c>
      <c r="H662" s="139">
        <f>E662+F662</f>
        <v>10000</v>
      </c>
    </row>
    <row r="663" spans="1:8" ht="12.75">
      <c r="A663" s="167"/>
      <c r="B663" s="150"/>
      <c r="C663" s="150">
        <v>4210</v>
      </c>
      <c r="D663" s="152" t="s">
        <v>652</v>
      </c>
      <c r="E663" s="153">
        <v>1840</v>
      </c>
      <c r="F663" s="154">
        <v>3000</v>
      </c>
      <c r="G663" s="155">
        <f>F663/E663*100</f>
        <v>163.04347826086956</v>
      </c>
      <c r="H663" s="139">
        <f>E663+F663</f>
        <v>4840</v>
      </c>
    </row>
    <row r="664" spans="1:8" ht="12.75">
      <c r="A664" s="167"/>
      <c r="B664" s="150"/>
      <c r="C664" s="150">
        <v>4300</v>
      </c>
      <c r="D664" s="152" t="s">
        <v>641</v>
      </c>
      <c r="E664" s="153">
        <v>9160</v>
      </c>
      <c r="F664" s="154">
        <v>8000</v>
      </c>
      <c r="G664" s="155">
        <f>F664/E664*100</f>
        <v>87.33624454148472</v>
      </c>
      <c r="H664" s="139">
        <f>E664+F664</f>
        <v>17160</v>
      </c>
    </row>
    <row r="665" spans="1:8" ht="12.75">
      <c r="A665" s="167"/>
      <c r="B665" s="150"/>
      <c r="C665" s="150"/>
      <c r="D665" s="152"/>
      <c r="E665" s="153"/>
      <c r="F665" s="154"/>
      <c r="G665" s="155"/>
      <c r="H665" s="139"/>
    </row>
    <row r="666" spans="1:8" ht="12.75">
      <c r="A666" s="167"/>
      <c r="B666" s="109">
        <v>92116</v>
      </c>
      <c r="C666" s="145"/>
      <c r="D666" s="119" t="s">
        <v>795</v>
      </c>
      <c r="E666" s="146">
        <f>E667</f>
        <v>35000</v>
      </c>
      <c r="F666" s="147">
        <f>F667</f>
        <v>35000</v>
      </c>
      <c r="G666" s="158">
        <f>F666/E666*100</f>
        <v>100</v>
      </c>
      <c r="H666" s="149">
        <f>E666+F666</f>
        <v>70000</v>
      </c>
    </row>
    <row r="667" spans="1:9" ht="12.75">
      <c r="A667" s="167"/>
      <c r="B667" s="150"/>
      <c r="C667" s="198">
        <v>2310</v>
      </c>
      <c r="D667" s="166" t="s">
        <v>745</v>
      </c>
      <c r="E667" s="153">
        <v>35000</v>
      </c>
      <c r="F667" s="154">
        <v>35000</v>
      </c>
      <c r="G667" s="155">
        <f>F667/E667*100</f>
        <v>100</v>
      </c>
      <c r="H667" s="139">
        <f>E667+F667</f>
        <v>70000</v>
      </c>
      <c r="I667" s="122"/>
    </row>
    <row r="668" spans="1:8" ht="12.75">
      <c r="A668" s="167"/>
      <c r="B668" s="150"/>
      <c r="C668" s="198"/>
      <c r="D668" s="188"/>
      <c r="E668" s="153"/>
      <c r="F668" s="154"/>
      <c r="G668" s="155"/>
      <c r="H668" s="139"/>
    </row>
    <row r="669" spans="1:8" ht="13.5" thickBot="1">
      <c r="A669" s="107">
        <v>926</v>
      </c>
      <c r="B669" s="140"/>
      <c r="C669" s="140"/>
      <c r="D669" s="100" t="s">
        <v>796</v>
      </c>
      <c r="E669" s="141">
        <f>E670</f>
        <v>94700</v>
      </c>
      <c r="F669" s="159">
        <f>F670</f>
        <v>100000</v>
      </c>
      <c r="G669" s="142">
        <f>F669/E669*100</f>
        <v>105.59662090813093</v>
      </c>
      <c r="H669" s="143">
        <f>E669+F669</f>
        <v>194700</v>
      </c>
    </row>
    <row r="670" spans="1:8" ht="12.75">
      <c r="A670" s="167"/>
      <c r="B670" s="109">
        <v>92605</v>
      </c>
      <c r="C670" s="145"/>
      <c r="D670" s="92" t="s">
        <v>797</v>
      </c>
      <c r="E670" s="146">
        <f>SUM(E671:E675)</f>
        <v>94700</v>
      </c>
      <c r="F670" s="147">
        <f>SUM(F671:F675)</f>
        <v>100000</v>
      </c>
      <c r="G670" s="148">
        <f>F670/E670*100</f>
        <v>105.59662090813093</v>
      </c>
      <c r="H670" s="149">
        <f>E670+F670</f>
        <v>194700</v>
      </c>
    </row>
    <row r="671" spans="1:9" ht="12.75">
      <c r="A671" s="167"/>
      <c r="B671" s="150"/>
      <c r="C671" s="151" t="s">
        <v>673</v>
      </c>
      <c r="D671" s="152" t="s">
        <v>674</v>
      </c>
      <c r="E671" s="153">
        <v>64000</v>
      </c>
      <c r="F671" s="154">
        <v>70000</v>
      </c>
      <c r="G671" s="155">
        <f>F671/E671*100</f>
        <v>109.375</v>
      </c>
      <c r="H671" s="139">
        <f>E671+F671</f>
        <v>134000</v>
      </c>
      <c r="I671" s="122"/>
    </row>
    <row r="672" spans="1:9" ht="12.75">
      <c r="A672" s="167"/>
      <c r="B672" s="150"/>
      <c r="C672" s="151"/>
      <c r="D672" s="152" t="s">
        <v>675</v>
      </c>
      <c r="E672" s="153"/>
      <c r="F672" s="154"/>
      <c r="G672" s="155"/>
      <c r="H672" s="139"/>
      <c r="I672" s="122"/>
    </row>
    <row r="673" spans="1:8" ht="12.75">
      <c r="A673" s="167"/>
      <c r="B673" s="150"/>
      <c r="C673" s="150">
        <v>3020</v>
      </c>
      <c r="D673" s="152" t="s">
        <v>798</v>
      </c>
      <c r="E673" s="153">
        <v>10000</v>
      </c>
      <c r="F673" s="154">
        <v>10000</v>
      </c>
      <c r="G673" s="155">
        <f>F673/E673*100</f>
        <v>100</v>
      </c>
      <c r="H673" s="139">
        <f>E673+F673</f>
        <v>20000</v>
      </c>
    </row>
    <row r="674" spans="1:8" ht="12.75">
      <c r="A674" s="167"/>
      <c r="B674" s="150"/>
      <c r="C674" s="150">
        <v>4210</v>
      </c>
      <c r="D674" s="152" t="s">
        <v>652</v>
      </c>
      <c r="E674" s="153">
        <v>5700</v>
      </c>
      <c r="F674" s="154">
        <v>5000</v>
      </c>
      <c r="G674" s="155">
        <f>F674/E674*100</f>
        <v>87.71929824561403</v>
      </c>
      <c r="H674" s="139">
        <f>E674+F674</f>
        <v>10700</v>
      </c>
    </row>
    <row r="675" spans="1:8" ht="12.75">
      <c r="A675" s="167"/>
      <c r="B675" s="150"/>
      <c r="C675" s="150">
        <v>4300</v>
      </c>
      <c r="D675" s="152" t="s">
        <v>641</v>
      </c>
      <c r="E675" s="153">
        <v>15000</v>
      </c>
      <c r="F675" s="154">
        <v>15000</v>
      </c>
      <c r="G675" s="155">
        <f>F675/E675*100</f>
        <v>100</v>
      </c>
      <c r="H675" s="139">
        <f>E675+F675</f>
        <v>30000</v>
      </c>
    </row>
    <row r="676" spans="1:8" ht="13.5" thickBot="1">
      <c r="A676" s="167"/>
      <c r="B676" s="150"/>
      <c r="C676" s="150"/>
      <c r="D676" s="152"/>
      <c r="E676" s="153"/>
      <c r="F676" s="154"/>
      <c r="G676" s="176"/>
      <c r="H676" s="139"/>
    </row>
    <row r="677" spans="1:8" ht="17.25" customHeight="1" thickBot="1">
      <c r="A677" s="1040" t="s">
        <v>799</v>
      </c>
      <c r="B677" s="1041"/>
      <c r="C677" s="1041"/>
      <c r="D677" s="1042"/>
      <c r="E677" s="211">
        <f>E669+E658+E554+E492+E363+E336+E324+E222+E218+E209+E194+E105+E79+E69+E62+E29+E22+E15+E184</f>
        <v>38926114</v>
      </c>
      <c r="F677" s="211">
        <f>F669+F658+F554+F492+F363+F336+F324+F222+F218+F209+F194+F105+F79+F69+F62+F29+F22+F15+F184</f>
        <v>34892013</v>
      </c>
      <c r="G677" s="212">
        <f>F677/E677*100</f>
        <v>89.63651753164983</v>
      </c>
      <c r="H677" s="213">
        <f>F677+E677</f>
        <v>73818127</v>
      </c>
    </row>
    <row r="678" spans="5:7" ht="12.75">
      <c r="E678" s="170"/>
      <c r="G678" s="137"/>
    </row>
    <row r="679" spans="5:12" ht="12.75">
      <c r="E679" s="170" t="s">
        <v>800</v>
      </c>
      <c r="G679" s="137"/>
      <c r="I679" s="214"/>
      <c r="J679" s="214"/>
      <c r="K679" s="214"/>
      <c r="L679" s="214"/>
    </row>
    <row r="680" spans="5:12" ht="12.75">
      <c r="E680" s="170" t="s">
        <v>525</v>
      </c>
      <c r="G680" s="137"/>
      <c r="H680" s="215"/>
      <c r="I680" s="122"/>
      <c r="K680" s="214"/>
      <c r="L680" s="214"/>
    </row>
    <row r="681" spans="5:12" ht="12.75">
      <c r="E681" s="170" t="s">
        <v>801</v>
      </c>
      <c r="G681" s="137"/>
      <c r="H681" s="215"/>
      <c r="I681" s="215"/>
      <c r="J681" s="216"/>
      <c r="K681" s="214"/>
      <c r="L681" s="214"/>
    </row>
    <row r="682" spans="5:11" ht="12.75">
      <c r="E682" s="170" t="s">
        <v>802</v>
      </c>
      <c r="G682" s="137"/>
      <c r="H682" s="215"/>
      <c r="I682" s="215"/>
      <c r="J682" s="216"/>
      <c r="K682" s="123"/>
    </row>
    <row r="683" spans="5:11" ht="12.75">
      <c r="E683" s="170" t="s">
        <v>803</v>
      </c>
      <c r="G683" s="137"/>
      <c r="H683" s="215"/>
      <c r="I683" s="215"/>
      <c r="J683" s="216"/>
      <c r="K683" s="123"/>
    </row>
    <row r="684" spans="5:11" ht="12.75">
      <c r="E684" s="170"/>
      <c r="G684" s="137"/>
      <c r="K684" s="123"/>
    </row>
    <row r="685" spans="5:7" ht="12.75">
      <c r="E685" s="170"/>
      <c r="G685" s="137"/>
    </row>
    <row r="686" spans="5:7" ht="12.75">
      <c r="E686" s="170"/>
      <c r="G686" s="137"/>
    </row>
    <row r="687" spans="5:7" ht="12.75">
      <c r="E687" s="170"/>
      <c r="F687" s="120">
        <v>7615</v>
      </c>
      <c r="G687" s="137"/>
    </row>
    <row r="688" spans="5:7" ht="12.75">
      <c r="E688" s="170"/>
      <c r="F688" s="120">
        <v>1309</v>
      </c>
      <c r="G688" s="137"/>
    </row>
    <row r="689" spans="5:7" ht="12.75">
      <c r="E689" s="170"/>
      <c r="F689" s="120">
        <v>186</v>
      </c>
      <c r="G689" s="137"/>
    </row>
    <row r="690" spans="5:7" ht="12.75">
      <c r="E690" s="170"/>
      <c r="F690" s="120">
        <v>93235</v>
      </c>
      <c r="G690" s="137"/>
    </row>
    <row r="691" spans="5:7" ht="12.75">
      <c r="E691" s="170"/>
      <c r="F691" s="120">
        <v>16027</v>
      </c>
      <c r="G691" s="137"/>
    </row>
    <row r="692" spans="5:7" ht="12.75">
      <c r="E692" s="170"/>
      <c r="F692" s="120">
        <v>1165</v>
      </c>
      <c r="G692" s="137"/>
    </row>
    <row r="693" spans="5:7" ht="12.75">
      <c r="E693" s="170"/>
      <c r="F693" s="120">
        <v>37664</v>
      </c>
      <c r="G693" s="137"/>
    </row>
    <row r="694" spans="5:7" ht="12.75">
      <c r="E694" s="170"/>
      <c r="F694" s="120">
        <v>6734</v>
      </c>
      <c r="G694" s="137"/>
    </row>
    <row r="695" spans="5:7" ht="12.75">
      <c r="E695" s="170"/>
      <c r="F695" s="120">
        <v>922</v>
      </c>
      <c r="G695" s="137"/>
    </row>
    <row r="696" spans="5:7" ht="12.75">
      <c r="E696" s="170"/>
      <c r="F696" s="120">
        <v>57645</v>
      </c>
      <c r="G696" s="137"/>
    </row>
    <row r="697" spans="5:7" ht="12.75">
      <c r="E697" s="170"/>
      <c r="F697" s="120">
        <v>10306</v>
      </c>
      <c r="G697" s="137"/>
    </row>
    <row r="698" spans="5:7" ht="12.75">
      <c r="E698" s="170"/>
      <c r="F698" s="120">
        <v>1412</v>
      </c>
      <c r="G698" s="137"/>
    </row>
    <row r="699" spans="5:7" ht="12.75">
      <c r="E699" s="170"/>
      <c r="F699" s="120">
        <v>13169</v>
      </c>
      <c r="G699" s="137"/>
    </row>
    <row r="700" spans="5:7" ht="12.75">
      <c r="E700" s="170"/>
      <c r="F700" s="120">
        <v>65485</v>
      </c>
      <c r="G700" s="137"/>
    </row>
    <row r="701" spans="5:7" ht="12.75">
      <c r="E701" s="170"/>
      <c r="F701" s="120">
        <v>2354</v>
      </c>
      <c r="G701" s="137"/>
    </row>
    <row r="702" spans="5:7" ht="12.75">
      <c r="E702" s="170"/>
      <c r="F702" s="120">
        <v>9002</v>
      </c>
      <c r="G702" s="137"/>
    </row>
    <row r="703" spans="5:7" ht="12.75">
      <c r="E703" s="170"/>
      <c r="F703" s="120">
        <v>323</v>
      </c>
      <c r="G703" s="137"/>
    </row>
    <row r="704" spans="5:7" ht="12.75">
      <c r="E704" s="170"/>
      <c r="F704" s="120">
        <v>734</v>
      </c>
      <c r="G704" s="137"/>
    </row>
    <row r="705" spans="5:7" ht="12.75">
      <c r="E705" s="170"/>
      <c r="F705" s="120">
        <v>1537</v>
      </c>
      <c r="G705" s="137"/>
    </row>
    <row r="706" spans="5:7" ht="12.75">
      <c r="E706" s="170"/>
      <c r="F706" s="120">
        <v>275</v>
      </c>
      <c r="G706" s="137"/>
    </row>
    <row r="707" spans="5:7" ht="12.75">
      <c r="E707" s="170"/>
      <c r="F707" s="120">
        <v>37</v>
      </c>
      <c r="G707" s="137"/>
    </row>
    <row r="708" spans="5:7" ht="12.75">
      <c r="E708" s="170"/>
      <c r="F708" s="120">
        <v>1561</v>
      </c>
      <c r="G708" s="137"/>
    </row>
    <row r="709" spans="5:7" ht="12.75">
      <c r="E709" s="170"/>
      <c r="F709" s="120">
        <v>279</v>
      </c>
      <c r="G709" s="137"/>
    </row>
    <row r="710" spans="5:7" ht="12.75">
      <c r="E710" s="170"/>
      <c r="F710" s="120">
        <v>38</v>
      </c>
      <c r="G710" s="137"/>
    </row>
    <row r="711" spans="5:7" ht="12.75">
      <c r="E711" s="170"/>
      <c r="F711" s="120">
        <v>12788</v>
      </c>
      <c r="G711" s="137"/>
    </row>
    <row r="712" spans="5:7" ht="12.75">
      <c r="E712" s="170"/>
      <c r="F712" s="120">
        <v>2286</v>
      </c>
      <c r="G712" s="137"/>
    </row>
    <row r="713" spans="5:7" ht="12.75">
      <c r="E713" s="170"/>
      <c r="F713" s="120">
        <v>313</v>
      </c>
      <c r="G713" s="137"/>
    </row>
    <row r="714" spans="5:7" ht="12.75">
      <c r="E714" s="170"/>
      <c r="F714" s="120">
        <v>1885</v>
      </c>
      <c r="G714" s="137"/>
    </row>
    <row r="715" spans="5:7" ht="12.75">
      <c r="E715" s="170"/>
      <c r="F715" s="120">
        <v>337</v>
      </c>
      <c r="G715" s="137"/>
    </row>
    <row r="716" spans="5:7" ht="12.75">
      <c r="E716" s="170"/>
      <c r="F716" s="120">
        <v>46</v>
      </c>
      <c r="G716" s="137"/>
    </row>
    <row r="717" spans="5:7" ht="12.75">
      <c r="E717" s="170"/>
      <c r="F717" s="120">
        <v>4391</v>
      </c>
      <c r="G717" s="137"/>
    </row>
    <row r="718" spans="5:7" ht="12.75">
      <c r="E718" s="170"/>
      <c r="F718" s="120">
        <v>785</v>
      </c>
      <c r="G718" s="137"/>
    </row>
    <row r="719" spans="5:7" ht="12.75">
      <c r="E719" s="170"/>
      <c r="F719" s="120">
        <v>108</v>
      </c>
      <c r="G719" s="137"/>
    </row>
    <row r="720" spans="5:7" ht="12.75">
      <c r="E720" s="170"/>
      <c r="F720" s="120">
        <v>11570</v>
      </c>
      <c r="G720" s="137"/>
    </row>
    <row r="721" spans="5:7" ht="12.75">
      <c r="E721" s="170"/>
      <c r="F721" s="120">
        <v>2069</v>
      </c>
      <c r="G721" s="137"/>
    </row>
    <row r="722" spans="5:7" ht="12.75">
      <c r="E722" s="170"/>
      <c r="F722" s="120">
        <v>283</v>
      </c>
      <c r="G722" s="137"/>
    </row>
    <row r="723" spans="5:7" ht="12.75">
      <c r="E723" s="170"/>
      <c r="F723" s="120">
        <v>22256</v>
      </c>
      <c r="G723" s="137"/>
    </row>
    <row r="724" spans="5:7" ht="12.75">
      <c r="E724" s="170"/>
      <c r="F724" s="120">
        <v>3979</v>
      </c>
      <c r="G724" s="137"/>
    </row>
    <row r="725" spans="5:7" ht="12.75">
      <c r="E725" s="170"/>
      <c r="F725" s="120">
        <v>545</v>
      </c>
      <c r="G725" s="137"/>
    </row>
    <row r="726" spans="5:7" ht="12.75">
      <c r="E726" s="170"/>
      <c r="F726" s="120">
        <f>SUM(F687:F725)</f>
        <v>392655</v>
      </c>
      <c r="G726" s="137"/>
    </row>
    <row r="727" spans="5:7" ht="12.75">
      <c r="E727" s="170"/>
      <c r="G727" s="137"/>
    </row>
    <row r="728" spans="5:7" ht="12.75">
      <c r="E728" s="170"/>
      <c r="G728" s="137"/>
    </row>
    <row r="729" spans="5:7" ht="12.75">
      <c r="E729" s="170"/>
      <c r="G729" s="137"/>
    </row>
    <row r="730" spans="5:7" ht="12.75">
      <c r="E730" s="170"/>
      <c r="G730" s="137"/>
    </row>
    <row r="731" spans="5:7" ht="12.75">
      <c r="E731" s="170"/>
      <c r="G731" s="137"/>
    </row>
    <row r="732" spans="5:7" ht="12.75">
      <c r="E732" s="170"/>
      <c r="G732" s="137"/>
    </row>
    <row r="733" spans="5:7" ht="12.75">
      <c r="E733" s="170"/>
      <c r="G733" s="137"/>
    </row>
    <row r="734" spans="5:7" ht="12.75">
      <c r="E734" s="170"/>
      <c r="G734" s="137"/>
    </row>
    <row r="735" spans="5:7" ht="12.75">
      <c r="E735" s="170"/>
      <c r="G735" s="137"/>
    </row>
    <row r="736" spans="5:7" ht="12.75">
      <c r="E736" s="170"/>
      <c r="G736" s="137"/>
    </row>
    <row r="737" spans="5:7" ht="12.75">
      <c r="E737" s="170"/>
      <c r="G737" s="137"/>
    </row>
    <row r="738" spans="5:7" ht="12.75">
      <c r="E738" s="170"/>
      <c r="G738" s="137"/>
    </row>
    <row r="739" spans="5:7" ht="12.75">
      <c r="E739" s="170"/>
      <c r="G739" s="137"/>
    </row>
    <row r="740" spans="5:7" ht="12.75">
      <c r="E740" s="170"/>
      <c r="G740" s="137"/>
    </row>
    <row r="741" spans="5:7" ht="12.75">
      <c r="E741" s="170"/>
      <c r="G741" s="137"/>
    </row>
    <row r="742" spans="5:7" ht="12.75">
      <c r="E742" s="170"/>
      <c r="G742" s="137"/>
    </row>
    <row r="743" spans="5:7" ht="12.75">
      <c r="E743" s="170"/>
      <c r="G743" s="137"/>
    </row>
    <row r="744" spans="5:7" ht="12.75">
      <c r="E744" s="170"/>
      <c r="G744" s="137"/>
    </row>
    <row r="745" spans="5:7" ht="12.75">
      <c r="E745" s="170"/>
      <c r="G745" s="137"/>
    </row>
    <row r="746" ht="12.75">
      <c r="E746" s="170"/>
    </row>
    <row r="747" ht="12.75">
      <c r="E747" s="170"/>
    </row>
    <row r="748" ht="12.75">
      <c r="E748" s="170"/>
    </row>
    <row r="749" ht="12.75">
      <c r="E749" s="170"/>
    </row>
    <row r="750" ht="12.75">
      <c r="E750" s="170"/>
    </row>
    <row r="751" ht="12.75">
      <c r="E751" s="170"/>
    </row>
    <row r="752" ht="12.75">
      <c r="E752" s="170"/>
    </row>
    <row r="753" ht="12.75">
      <c r="E753" s="170"/>
    </row>
    <row r="754" ht="12.75">
      <c r="E754" s="170"/>
    </row>
    <row r="755" ht="12.75">
      <c r="E755" s="170"/>
    </row>
    <row r="756" ht="12.75">
      <c r="E756" s="170"/>
    </row>
    <row r="757" ht="12.75">
      <c r="E757" s="170"/>
    </row>
    <row r="758" ht="12.75">
      <c r="E758" s="170"/>
    </row>
    <row r="759" ht="12.75">
      <c r="E759" s="170"/>
    </row>
    <row r="760" ht="12.75">
      <c r="E760" s="170"/>
    </row>
    <row r="761" ht="12.75">
      <c r="E761" s="170"/>
    </row>
    <row r="762" ht="12.75">
      <c r="E762" s="170"/>
    </row>
    <row r="763" ht="12.75">
      <c r="E763" s="170"/>
    </row>
    <row r="764" ht="12.75">
      <c r="E764" s="170"/>
    </row>
    <row r="765" ht="12.75">
      <c r="E765" s="170"/>
    </row>
    <row r="766" ht="12.75">
      <c r="E766" s="170"/>
    </row>
    <row r="767" ht="12.75">
      <c r="E767" s="170"/>
    </row>
    <row r="768" ht="12.75">
      <c r="E768" s="170"/>
    </row>
    <row r="769" ht="12.75">
      <c r="E769" s="170"/>
    </row>
    <row r="770" ht="12.75">
      <c r="E770" s="170"/>
    </row>
    <row r="771" ht="12.75">
      <c r="E771" s="170"/>
    </row>
    <row r="772" ht="12.75">
      <c r="E772" s="170"/>
    </row>
    <row r="773" ht="12.75">
      <c r="E773" s="170"/>
    </row>
    <row r="774" ht="12.75">
      <c r="E774" s="170"/>
    </row>
    <row r="775" ht="12.75">
      <c r="E775" s="170"/>
    </row>
    <row r="776" ht="12.75">
      <c r="E776" s="170"/>
    </row>
    <row r="777" ht="12.75">
      <c r="E777" s="170"/>
    </row>
    <row r="778" ht="12.75">
      <c r="E778" s="170"/>
    </row>
    <row r="779" ht="12.75">
      <c r="E779" s="170"/>
    </row>
    <row r="780" ht="12.75">
      <c r="E780" s="170"/>
    </row>
    <row r="781" ht="12.75">
      <c r="E781" s="170"/>
    </row>
    <row r="782" ht="12.75">
      <c r="E782" s="170"/>
    </row>
    <row r="783" ht="12.75">
      <c r="E783" s="170"/>
    </row>
    <row r="784" ht="12.75">
      <c r="E784" s="170"/>
    </row>
    <row r="785" ht="12.75">
      <c r="E785" s="170"/>
    </row>
    <row r="786" ht="12.75">
      <c r="E786" s="170"/>
    </row>
    <row r="787" ht="12.75">
      <c r="E787" s="170"/>
    </row>
    <row r="788" ht="12.75">
      <c r="E788" s="170"/>
    </row>
    <row r="789" ht="12.75">
      <c r="E789" s="170"/>
    </row>
    <row r="790" ht="12.75">
      <c r="E790" s="170"/>
    </row>
    <row r="791" ht="12.75">
      <c r="E791" s="170"/>
    </row>
    <row r="792" ht="12.75">
      <c r="E792" s="170"/>
    </row>
    <row r="793" ht="12.75">
      <c r="E793" s="170"/>
    </row>
    <row r="794" ht="12.75">
      <c r="E794" s="170"/>
    </row>
    <row r="795" ht="12.75">
      <c r="E795" s="170"/>
    </row>
    <row r="796" ht="12.75">
      <c r="E796" s="170"/>
    </row>
    <row r="797" ht="12.75">
      <c r="E797" s="170"/>
    </row>
    <row r="798" ht="12.75">
      <c r="E798" s="170"/>
    </row>
    <row r="799" ht="12.75">
      <c r="E799" s="170"/>
    </row>
    <row r="800" ht="12.75">
      <c r="E800" s="170"/>
    </row>
    <row r="801" ht="12.75">
      <c r="E801" s="170"/>
    </row>
    <row r="802" ht="12.75">
      <c r="E802" s="170"/>
    </row>
    <row r="803" ht="12.75">
      <c r="E803" s="170"/>
    </row>
    <row r="804" ht="12.75">
      <c r="E804" s="170"/>
    </row>
    <row r="805" ht="12.75">
      <c r="E805" s="170"/>
    </row>
    <row r="806" ht="12.75">
      <c r="E806" s="170"/>
    </row>
    <row r="807" ht="12.75">
      <c r="E807" s="170"/>
    </row>
    <row r="808" ht="12.75">
      <c r="E808" s="170"/>
    </row>
    <row r="809" ht="12.75">
      <c r="E809" s="170"/>
    </row>
    <row r="810" ht="12.75">
      <c r="E810" s="170"/>
    </row>
    <row r="811" ht="12.75">
      <c r="E811" s="170"/>
    </row>
    <row r="812" ht="12.75">
      <c r="E812" s="170"/>
    </row>
    <row r="813" ht="12.75">
      <c r="E813" s="170"/>
    </row>
    <row r="814" ht="12.75">
      <c r="E814" s="170"/>
    </row>
    <row r="815" ht="12.75">
      <c r="E815" s="170"/>
    </row>
    <row r="816" ht="12.75">
      <c r="E816" s="170"/>
    </row>
    <row r="817" ht="12.75">
      <c r="E817" s="170"/>
    </row>
    <row r="818" ht="12.75">
      <c r="E818" s="170"/>
    </row>
    <row r="819" ht="12.75">
      <c r="E819" s="170"/>
    </row>
    <row r="820" ht="12.75">
      <c r="E820" s="170"/>
    </row>
    <row r="821" ht="12.75">
      <c r="E821" s="170"/>
    </row>
    <row r="822" ht="12.75">
      <c r="E822" s="170"/>
    </row>
    <row r="823" ht="12.75">
      <c r="E823" s="170"/>
    </row>
    <row r="824" ht="12.75">
      <c r="E824" s="170"/>
    </row>
    <row r="825" ht="12.75">
      <c r="E825" s="170"/>
    </row>
    <row r="826" ht="12.75">
      <c r="E826" s="170"/>
    </row>
    <row r="827" ht="12.75">
      <c r="E827" s="170"/>
    </row>
    <row r="828" ht="12.75">
      <c r="E828" s="170"/>
    </row>
    <row r="829" ht="12.75">
      <c r="E829" s="170"/>
    </row>
    <row r="830" ht="12.75">
      <c r="E830" s="170"/>
    </row>
    <row r="831" ht="12.75">
      <c r="E831" s="170"/>
    </row>
    <row r="832" ht="12.75">
      <c r="E832" s="170"/>
    </row>
    <row r="833" ht="12.75">
      <c r="E833" s="170"/>
    </row>
    <row r="834" ht="12.75">
      <c r="E834" s="170"/>
    </row>
    <row r="835" ht="12.75">
      <c r="E835" s="170"/>
    </row>
    <row r="836" ht="12.75">
      <c r="E836" s="170"/>
    </row>
    <row r="837" ht="12.75">
      <c r="E837" s="170"/>
    </row>
    <row r="838" ht="12.75">
      <c r="E838" s="170"/>
    </row>
    <row r="839" ht="12.75">
      <c r="E839" s="170"/>
    </row>
    <row r="840" ht="12.75">
      <c r="E840" s="170"/>
    </row>
    <row r="841" ht="12.75">
      <c r="E841" s="170"/>
    </row>
    <row r="842" ht="12.75">
      <c r="E842" s="170"/>
    </row>
    <row r="843" ht="12.75">
      <c r="E843" s="170"/>
    </row>
    <row r="844" ht="12.75">
      <c r="E844" s="170"/>
    </row>
    <row r="845" ht="12.75">
      <c r="E845" s="170"/>
    </row>
    <row r="846" ht="12.75">
      <c r="E846" s="170"/>
    </row>
    <row r="847" ht="12.75">
      <c r="E847" s="170"/>
    </row>
    <row r="848" ht="12.75">
      <c r="E848" s="170"/>
    </row>
    <row r="849" ht="12.75">
      <c r="E849" s="170"/>
    </row>
    <row r="850" ht="12.75">
      <c r="E850" s="170"/>
    </row>
    <row r="851" ht="12.75">
      <c r="E851" s="170"/>
    </row>
    <row r="852" ht="12.75">
      <c r="E852" s="170"/>
    </row>
    <row r="853" ht="12.75">
      <c r="E853" s="170"/>
    </row>
    <row r="854" ht="12.75">
      <c r="E854" s="170"/>
    </row>
    <row r="855" ht="12.75">
      <c r="E855" s="170"/>
    </row>
    <row r="856" ht="12.75">
      <c r="E856" s="170"/>
    </row>
    <row r="857" ht="12.75">
      <c r="E857" s="170"/>
    </row>
    <row r="858" ht="12.75">
      <c r="E858" s="170"/>
    </row>
    <row r="859" ht="12.75">
      <c r="E859" s="170"/>
    </row>
    <row r="860" ht="12.75">
      <c r="E860" s="170"/>
    </row>
    <row r="861" ht="12.75">
      <c r="E861" s="170"/>
    </row>
    <row r="862" ht="12.75">
      <c r="E862" s="170"/>
    </row>
    <row r="863" ht="12.75">
      <c r="E863" s="170"/>
    </row>
    <row r="864" ht="12.75">
      <c r="E864" s="170"/>
    </row>
    <row r="865" ht="12.75">
      <c r="E865" s="170"/>
    </row>
    <row r="866" ht="12.75">
      <c r="E866" s="170"/>
    </row>
    <row r="867" ht="12.75">
      <c r="E867" s="170"/>
    </row>
    <row r="868" ht="12.75">
      <c r="E868" s="170"/>
    </row>
    <row r="869" ht="12.75">
      <c r="E869" s="170"/>
    </row>
    <row r="870" ht="12.75">
      <c r="E870" s="170"/>
    </row>
    <row r="871" ht="12.75">
      <c r="E871" s="170"/>
    </row>
    <row r="872" ht="12.75">
      <c r="E872" s="170"/>
    </row>
    <row r="873" ht="12.75">
      <c r="E873" s="170"/>
    </row>
    <row r="874" ht="12.75">
      <c r="E874" s="170"/>
    </row>
    <row r="875" ht="12.75">
      <c r="E875" s="170"/>
    </row>
    <row r="876" ht="12.75">
      <c r="E876" s="170"/>
    </row>
    <row r="877" ht="12.75">
      <c r="E877" s="170"/>
    </row>
    <row r="878" ht="12.75">
      <c r="E878" s="170"/>
    </row>
    <row r="879" ht="12.75">
      <c r="E879" s="170"/>
    </row>
    <row r="880" ht="12.75">
      <c r="E880" s="170"/>
    </row>
    <row r="881" ht="12.75">
      <c r="E881" s="170"/>
    </row>
    <row r="882" ht="12.75">
      <c r="E882" s="170"/>
    </row>
    <row r="883" ht="12.75">
      <c r="E883" s="170"/>
    </row>
    <row r="884" ht="12.75">
      <c r="E884" s="170"/>
    </row>
    <row r="885" ht="12.75">
      <c r="E885" s="170"/>
    </row>
    <row r="886" ht="12.75">
      <c r="E886" s="170"/>
    </row>
    <row r="887" ht="12.75">
      <c r="E887" s="170"/>
    </row>
    <row r="888" ht="12.75">
      <c r="E888" s="170"/>
    </row>
    <row r="889" ht="12.75">
      <c r="E889" s="170"/>
    </row>
    <row r="890" ht="12.75">
      <c r="E890" s="170"/>
    </row>
    <row r="891" ht="12.75">
      <c r="E891" s="170"/>
    </row>
    <row r="892" ht="12.75">
      <c r="E892" s="170"/>
    </row>
    <row r="893" ht="12.75">
      <c r="E893" s="170"/>
    </row>
    <row r="894" ht="12.75">
      <c r="E894" s="170"/>
    </row>
    <row r="895" ht="12.75">
      <c r="E895" s="170"/>
    </row>
    <row r="896" ht="12.75">
      <c r="E896" s="170"/>
    </row>
    <row r="897" ht="12.75">
      <c r="E897" s="170"/>
    </row>
    <row r="898" ht="12.75">
      <c r="E898" s="170"/>
    </row>
    <row r="899" ht="12.75">
      <c r="E899" s="170"/>
    </row>
    <row r="900" ht="12.75">
      <c r="E900" s="170"/>
    </row>
    <row r="901" ht="12.75">
      <c r="E901" s="170"/>
    </row>
    <row r="902" ht="12.75">
      <c r="E902" s="170"/>
    </row>
    <row r="903" ht="12.75">
      <c r="E903" s="170"/>
    </row>
    <row r="904" ht="12.75">
      <c r="E904" s="170"/>
    </row>
    <row r="905" ht="12.75">
      <c r="E905" s="170"/>
    </row>
    <row r="906" ht="12.75">
      <c r="E906" s="170"/>
    </row>
    <row r="907" ht="12.75">
      <c r="E907" s="170"/>
    </row>
    <row r="908" ht="12.75">
      <c r="E908" s="170"/>
    </row>
    <row r="909" ht="12.75">
      <c r="E909" s="170"/>
    </row>
    <row r="910" ht="12.75">
      <c r="E910" s="170"/>
    </row>
    <row r="911" ht="12.75">
      <c r="E911" s="170"/>
    </row>
    <row r="912" ht="12.75">
      <c r="E912" s="170"/>
    </row>
    <row r="913" ht="12.75">
      <c r="E913" s="170"/>
    </row>
    <row r="914" ht="12.75">
      <c r="E914" s="170"/>
    </row>
    <row r="915" ht="12.75">
      <c r="E915" s="170"/>
    </row>
    <row r="916" ht="12.75">
      <c r="E916" s="170"/>
    </row>
    <row r="917" ht="12.75">
      <c r="E917" s="170"/>
    </row>
    <row r="918" ht="12.75">
      <c r="E918" s="170"/>
    </row>
    <row r="919" ht="12.75">
      <c r="E919" s="170"/>
    </row>
    <row r="920" ht="12.75">
      <c r="E920" s="170"/>
    </row>
    <row r="921" ht="12.75">
      <c r="E921" s="170"/>
    </row>
    <row r="922" ht="12.75">
      <c r="E922" s="170"/>
    </row>
    <row r="923" ht="12.75">
      <c r="E923" s="170"/>
    </row>
    <row r="924" ht="12.75">
      <c r="E924" s="170"/>
    </row>
    <row r="925" ht="12.75">
      <c r="E925" s="170"/>
    </row>
    <row r="926" ht="12.75">
      <c r="E926" s="170"/>
    </row>
    <row r="927" ht="12.75">
      <c r="E927" s="170"/>
    </row>
    <row r="928" ht="12.75">
      <c r="E928" s="170"/>
    </row>
    <row r="929" ht="12.75">
      <c r="E929" s="170"/>
    </row>
    <row r="930" ht="12.75">
      <c r="E930" s="170"/>
    </row>
    <row r="931" ht="12.75">
      <c r="E931" s="170"/>
    </row>
    <row r="932" ht="12.75">
      <c r="E932" s="170"/>
    </row>
    <row r="933" ht="12.75">
      <c r="E933" s="170"/>
    </row>
    <row r="934" ht="12.75">
      <c r="E934" s="170"/>
    </row>
    <row r="935" ht="12.75">
      <c r="E935" s="170"/>
    </row>
    <row r="936" ht="12.75">
      <c r="E936" s="170"/>
    </row>
    <row r="937" ht="12.75">
      <c r="E937" s="170"/>
    </row>
    <row r="938" ht="12.75">
      <c r="E938" s="170"/>
    </row>
    <row r="939" ht="12.75">
      <c r="E939" s="170"/>
    </row>
    <row r="940" ht="12.75">
      <c r="E940" s="170"/>
    </row>
    <row r="941" ht="12.75">
      <c r="E941" s="170"/>
    </row>
    <row r="942" ht="12.75">
      <c r="E942" s="170"/>
    </row>
    <row r="943" ht="12.75">
      <c r="E943" s="170"/>
    </row>
    <row r="944" ht="12.75">
      <c r="E944" s="170"/>
    </row>
    <row r="945" ht="12.75">
      <c r="E945" s="170"/>
    </row>
    <row r="946" ht="12.75">
      <c r="E946" s="170"/>
    </row>
    <row r="947" ht="12.75">
      <c r="E947" s="170"/>
    </row>
    <row r="948" ht="12.75">
      <c r="E948" s="170"/>
    </row>
    <row r="949" ht="12.75">
      <c r="E949" s="170"/>
    </row>
    <row r="950" ht="12.75">
      <c r="E950" s="170"/>
    </row>
    <row r="951" ht="12.75">
      <c r="E951" s="170"/>
    </row>
    <row r="952" ht="12.75">
      <c r="E952" s="170"/>
    </row>
    <row r="953" ht="12.75">
      <c r="E953" s="170"/>
    </row>
    <row r="954" ht="12.75">
      <c r="E954" s="170"/>
    </row>
    <row r="955" ht="12.75">
      <c r="E955" s="170"/>
    </row>
    <row r="956" ht="12.75">
      <c r="E956" s="170"/>
    </row>
    <row r="957" ht="12.75">
      <c r="E957" s="170"/>
    </row>
    <row r="958" ht="12.75">
      <c r="E958" s="170"/>
    </row>
    <row r="959" ht="12.75">
      <c r="E959" s="170"/>
    </row>
    <row r="960" ht="12.75">
      <c r="E960" s="170"/>
    </row>
    <row r="961" ht="12.75">
      <c r="E961" s="170"/>
    </row>
    <row r="962" ht="12.75">
      <c r="E962" s="170"/>
    </row>
    <row r="963" ht="12.75">
      <c r="E963" s="170"/>
    </row>
    <row r="964" ht="12.75">
      <c r="E964" s="170"/>
    </row>
    <row r="965" ht="12.75">
      <c r="E965" s="170"/>
    </row>
    <row r="966" ht="12.75">
      <c r="E966" s="170"/>
    </row>
    <row r="967" ht="12.75">
      <c r="E967" s="170"/>
    </row>
    <row r="968" ht="12.75">
      <c r="E968" s="170"/>
    </row>
    <row r="969" ht="12.75">
      <c r="E969" s="170"/>
    </row>
    <row r="970" ht="12.75">
      <c r="E970" s="170"/>
    </row>
    <row r="971" ht="12.75">
      <c r="E971" s="170"/>
    </row>
    <row r="972" ht="12.75">
      <c r="E972" s="170"/>
    </row>
    <row r="973" ht="12.75">
      <c r="E973" s="170"/>
    </row>
    <row r="974" ht="12.75">
      <c r="E974" s="170"/>
    </row>
    <row r="975" ht="12.75">
      <c r="E975" s="170"/>
    </row>
    <row r="976" ht="12.75">
      <c r="E976" s="170"/>
    </row>
    <row r="977" ht="12.75">
      <c r="E977" s="170"/>
    </row>
    <row r="978" ht="12.75">
      <c r="E978" s="170"/>
    </row>
    <row r="979" ht="12.75">
      <c r="E979" s="170"/>
    </row>
    <row r="980" ht="12.75">
      <c r="E980" s="170"/>
    </row>
    <row r="981" ht="12.75">
      <c r="E981" s="170"/>
    </row>
    <row r="982" ht="12.75">
      <c r="E982" s="170"/>
    </row>
    <row r="983" ht="12.75">
      <c r="E983" s="170"/>
    </row>
    <row r="984" ht="12.75">
      <c r="E984" s="170"/>
    </row>
    <row r="985" ht="12.75">
      <c r="E985" s="170"/>
    </row>
    <row r="986" ht="12.75">
      <c r="E986" s="170"/>
    </row>
    <row r="987" ht="12.75">
      <c r="E987" s="170"/>
    </row>
    <row r="988" ht="12.75">
      <c r="E988" s="170"/>
    </row>
    <row r="989" ht="12.75">
      <c r="E989" s="170"/>
    </row>
    <row r="990" ht="12.75">
      <c r="E990" s="170"/>
    </row>
    <row r="991" ht="12.75">
      <c r="E991" s="170"/>
    </row>
    <row r="992" ht="12.75">
      <c r="E992" s="170"/>
    </row>
    <row r="993" ht="12.75">
      <c r="E993" s="170"/>
    </row>
    <row r="994" ht="12.75">
      <c r="E994" s="170"/>
    </row>
    <row r="995" ht="12.75">
      <c r="E995" s="170"/>
    </row>
    <row r="996" ht="12.75">
      <c r="E996" s="170"/>
    </row>
    <row r="997" ht="12.75">
      <c r="E997" s="170"/>
    </row>
    <row r="998" ht="12.75">
      <c r="E998" s="170"/>
    </row>
    <row r="999" ht="12.75">
      <c r="E999" s="170"/>
    </row>
    <row r="1000" ht="12.75">
      <c r="E1000" s="170"/>
    </row>
    <row r="1001" ht="12.75">
      <c r="E1001" s="170"/>
    </row>
    <row r="1002" ht="12.75">
      <c r="E1002" s="170"/>
    </row>
    <row r="1003" ht="12.75">
      <c r="E1003" s="170"/>
    </row>
    <row r="1004" ht="12.75">
      <c r="E1004" s="170"/>
    </row>
    <row r="1005" ht="12.75">
      <c r="E1005" s="170"/>
    </row>
    <row r="1006" ht="12.75">
      <c r="E1006" s="170"/>
    </row>
    <row r="1007" ht="12.75">
      <c r="E1007" s="170"/>
    </row>
    <row r="1008" ht="12.75">
      <c r="E1008" s="170"/>
    </row>
    <row r="1009" ht="12.75">
      <c r="E1009" s="170"/>
    </row>
    <row r="1010" ht="12.75">
      <c r="E1010" s="170"/>
    </row>
    <row r="1011" ht="12.75">
      <c r="E1011" s="170"/>
    </row>
    <row r="1012" ht="12.75">
      <c r="E1012" s="170"/>
    </row>
  </sheetData>
  <mergeCells count="11">
    <mergeCell ref="A7:H7"/>
    <mergeCell ref="E10:E12"/>
    <mergeCell ref="F10:F12"/>
    <mergeCell ref="A10:A12"/>
    <mergeCell ref="B10:B12"/>
    <mergeCell ref="C10:C12"/>
    <mergeCell ref="D10:D12"/>
    <mergeCell ref="G10:G12"/>
    <mergeCell ref="A677:D677"/>
    <mergeCell ref="H10:H12"/>
    <mergeCell ref="A9:H9"/>
  </mergeCells>
  <printOptions horizontalCentered="1"/>
  <pageMargins left="0.24" right="0.24" top="0.27" bottom="0.25" header="0.11811023622047245" footer="0.11811023622047245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5" zoomScaleNormal="75" workbookViewId="0" topLeftCell="D17">
      <selection activeCell="F25" sqref="F25:M2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33.00390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10.625" style="1" customWidth="1"/>
    <col min="13" max="13" width="11.625" style="1" customWidth="1"/>
    <col min="14" max="14" width="16.75390625" style="1" customWidth="1"/>
    <col min="15" max="16384" width="9.125" style="1" customWidth="1"/>
  </cols>
  <sheetData>
    <row r="1" spans="13:14" ht="12.75">
      <c r="M1" s="7" t="s">
        <v>993</v>
      </c>
      <c r="N1" s="7"/>
    </row>
    <row r="2" spans="13:14" ht="12.75">
      <c r="M2" s="7" t="s">
        <v>994</v>
      </c>
      <c r="N2" s="7"/>
    </row>
    <row r="3" spans="13:14" ht="12.75">
      <c r="M3" s="7" t="s">
        <v>995</v>
      </c>
      <c r="N3" s="7"/>
    </row>
    <row r="4" spans="13:14" ht="12.75">
      <c r="M4" s="7" t="s">
        <v>0</v>
      </c>
      <c r="N4" s="7"/>
    </row>
    <row r="6" spans="1:14" ht="18">
      <c r="A6" s="1057" t="s">
        <v>482</v>
      </c>
      <c r="B6" s="1057"/>
      <c r="C6" s="1057"/>
      <c r="D6" s="1057"/>
      <c r="E6" s="1057"/>
      <c r="F6" s="1057"/>
      <c r="G6" s="1057"/>
      <c r="H6" s="1057"/>
      <c r="I6" s="1057"/>
      <c r="J6" s="1057"/>
      <c r="K6" s="1057"/>
      <c r="L6" s="1057"/>
      <c r="M6" s="1057"/>
      <c r="N6" s="1057"/>
    </row>
    <row r="7" spans="1:14" ht="10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0" t="s">
        <v>434</v>
      </c>
    </row>
    <row r="8" spans="1:14" s="42" customFormat="1" ht="19.5" customHeight="1">
      <c r="A8" s="1058" t="s">
        <v>453</v>
      </c>
      <c r="B8" s="1058" t="s">
        <v>395</v>
      </c>
      <c r="C8" s="1058" t="s">
        <v>433</v>
      </c>
      <c r="D8" s="1058" t="s">
        <v>545</v>
      </c>
      <c r="E8" s="1059" t="s">
        <v>529</v>
      </c>
      <c r="F8" s="1059" t="s">
        <v>542</v>
      </c>
      <c r="G8" s="1059" t="s">
        <v>481</v>
      </c>
      <c r="H8" s="1059"/>
      <c r="I8" s="1059"/>
      <c r="J8" s="1059"/>
      <c r="K8" s="1059"/>
      <c r="L8" s="1059"/>
      <c r="M8" s="1059"/>
      <c r="N8" s="1059" t="s">
        <v>546</v>
      </c>
    </row>
    <row r="9" spans="1:14" s="42" customFormat="1" ht="19.5" customHeight="1">
      <c r="A9" s="1058"/>
      <c r="B9" s="1058"/>
      <c r="C9" s="1058"/>
      <c r="D9" s="1058"/>
      <c r="E9" s="1059"/>
      <c r="F9" s="1059"/>
      <c r="G9" s="1059" t="s">
        <v>600</v>
      </c>
      <c r="H9" s="1059" t="s">
        <v>602</v>
      </c>
      <c r="I9" s="1059"/>
      <c r="J9" s="1059"/>
      <c r="K9" s="1059"/>
      <c r="L9" s="1059" t="s">
        <v>449</v>
      </c>
      <c r="M9" s="1059" t="s">
        <v>451</v>
      </c>
      <c r="N9" s="1059"/>
    </row>
    <row r="10" spans="1:14" s="42" customFormat="1" ht="29.25" customHeight="1">
      <c r="A10" s="1058"/>
      <c r="B10" s="1058"/>
      <c r="C10" s="1058"/>
      <c r="D10" s="1058"/>
      <c r="E10" s="1059"/>
      <c r="F10" s="1059"/>
      <c r="G10" s="1059"/>
      <c r="H10" s="1059" t="s">
        <v>547</v>
      </c>
      <c r="I10" s="1059" t="s">
        <v>527</v>
      </c>
      <c r="J10" s="1059" t="s">
        <v>608</v>
      </c>
      <c r="K10" s="1059" t="s">
        <v>528</v>
      </c>
      <c r="L10" s="1059"/>
      <c r="M10" s="1059"/>
      <c r="N10" s="1059"/>
    </row>
    <row r="11" spans="1:14" s="42" customFormat="1" ht="19.5" customHeight="1">
      <c r="A11" s="1058"/>
      <c r="B11" s="1058"/>
      <c r="C11" s="1058"/>
      <c r="D11" s="1058"/>
      <c r="E11" s="1059"/>
      <c r="F11" s="1059"/>
      <c r="G11" s="1059"/>
      <c r="H11" s="1059"/>
      <c r="I11" s="1059"/>
      <c r="J11" s="1059"/>
      <c r="K11" s="1059"/>
      <c r="L11" s="1059"/>
      <c r="M11" s="1059"/>
      <c r="N11" s="1059"/>
    </row>
    <row r="12" spans="1:14" s="42" customFormat="1" ht="19.5" customHeight="1">
      <c r="A12" s="1058"/>
      <c r="B12" s="1058"/>
      <c r="C12" s="1058"/>
      <c r="D12" s="1058"/>
      <c r="E12" s="1059"/>
      <c r="F12" s="1059"/>
      <c r="G12" s="1059"/>
      <c r="H12" s="1059"/>
      <c r="I12" s="1059"/>
      <c r="J12" s="1059"/>
      <c r="K12" s="1059"/>
      <c r="L12" s="1059"/>
      <c r="M12" s="1059"/>
      <c r="N12" s="1059"/>
    </row>
    <row r="13" spans="1:14" ht="7.5" customHeight="1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  <c r="N13" s="19">
        <v>14</v>
      </c>
    </row>
    <row r="14" spans="1:14" ht="78" customHeight="1">
      <c r="A14" s="247" t="s">
        <v>404</v>
      </c>
      <c r="B14" s="245">
        <v>600</v>
      </c>
      <c r="C14" s="22">
        <v>60014</v>
      </c>
      <c r="D14" s="22">
        <v>6050</v>
      </c>
      <c r="E14" s="240" t="s">
        <v>805</v>
      </c>
      <c r="F14" s="243">
        <v>7400000</v>
      </c>
      <c r="G14" s="243">
        <f>SUM(H14:K14)</f>
        <v>195000</v>
      </c>
      <c r="H14" s="243">
        <v>195000</v>
      </c>
      <c r="I14" s="243"/>
      <c r="J14" s="244"/>
      <c r="K14" s="243"/>
      <c r="L14" s="243">
        <v>1000000</v>
      </c>
      <c r="M14" s="243">
        <v>1700000</v>
      </c>
      <c r="N14" s="242" t="s">
        <v>375</v>
      </c>
    </row>
    <row r="15" spans="1:14" ht="40.5" customHeight="1" hidden="1">
      <c r="A15" s="248" t="s">
        <v>405</v>
      </c>
      <c r="B15" s="245">
        <v>600</v>
      </c>
      <c r="C15" s="22">
        <v>60014</v>
      </c>
      <c r="D15" s="22">
        <v>6050</v>
      </c>
      <c r="E15" s="240" t="s">
        <v>806</v>
      </c>
      <c r="F15" s="243">
        <v>3100000</v>
      </c>
      <c r="G15" s="243">
        <f aca="true" t="shared" si="0" ref="G15:G24">SUM(H15:K15)</f>
        <v>0</v>
      </c>
      <c r="H15" s="243">
        <v>0</v>
      </c>
      <c r="I15" s="243">
        <v>0</v>
      </c>
      <c r="J15" s="244"/>
      <c r="K15" s="243">
        <v>0</v>
      </c>
      <c r="L15" s="243">
        <v>0</v>
      </c>
      <c r="M15" s="243">
        <v>80000</v>
      </c>
      <c r="N15" s="242" t="s">
        <v>375</v>
      </c>
    </row>
    <row r="16" spans="1:14" ht="63.75" hidden="1">
      <c r="A16" s="247" t="s">
        <v>406</v>
      </c>
      <c r="B16" s="245">
        <v>600</v>
      </c>
      <c r="C16" s="22">
        <v>60014</v>
      </c>
      <c r="D16" s="22">
        <v>6050</v>
      </c>
      <c r="E16" s="240" t="s">
        <v>131</v>
      </c>
      <c r="F16" s="243">
        <v>3080000</v>
      </c>
      <c r="G16" s="243">
        <f t="shared" si="0"/>
        <v>0</v>
      </c>
      <c r="H16" s="243">
        <v>0</v>
      </c>
      <c r="I16" s="243">
        <v>0</v>
      </c>
      <c r="J16" s="244"/>
      <c r="K16" s="243">
        <v>0</v>
      </c>
      <c r="L16" s="243">
        <v>80000</v>
      </c>
      <c r="M16" s="243">
        <v>1000000</v>
      </c>
      <c r="N16" s="242" t="s">
        <v>375</v>
      </c>
    </row>
    <row r="17" spans="1:14" ht="51">
      <c r="A17" s="248" t="s">
        <v>405</v>
      </c>
      <c r="B17" s="245">
        <v>600</v>
      </c>
      <c r="C17" s="22">
        <v>60014</v>
      </c>
      <c r="D17" s="22" t="s">
        <v>807</v>
      </c>
      <c r="E17" s="240" t="s">
        <v>808</v>
      </c>
      <c r="F17" s="243">
        <v>3470000</v>
      </c>
      <c r="G17" s="243">
        <f t="shared" si="0"/>
        <v>70000</v>
      </c>
      <c r="H17" s="243">
        <v>70000</v>
      </c>
      <c r="I17" s="243">
        <v>0</v>
      </c>
      <c r="J17" s="244"/>
      <c r="K17" s="243">
        <v>0</v>
      </c>
      <c r="L17" s="243">
        <v>0</v>
      </c>
      <c r="M17" s="243">
        <v>1000000</v>
      </c>
      <c r="N17" s="242" t="s">
        <v>375</v>
      </c>
    </row>
    <row r="18" spans="1:14" ht="38.25" hidden="1">
      <c r="A18" s="247" t="s">
        <v>404</v>
      </c>
      <c r="B18" s="245">
        <v>600</v>
      </c>
      <c r="C18" s="22">
        <v>60014</v>
      </c>
      <c r="D18" s="22">
        <v>6050</v>
      </c>
      <c r="E18" s="240" t="s">
        <v>809</v>
      </c>
      <c r="F18" s="243">
        <v>3700000</v>
      </c>
      <c r="G18" s="243">
        <f t="shared" si="0"/>
        <v>0</v>
      </c>
      <c r="H18" s="243">
        <v>0</v>
      </c>
      <c r="I18" s="243">
        <v>0</v>
      </c>
      <c r="J18" s="244"/>
      <c r="K18" s="243">
        <v>0</v>
      </c>
      <c r="L18" s="243">
        <v>0</v>
      </c>
      <c r="M18" s="243">
        <v>64000</v>
      </c>
      <c r="N18" s="242" t="s">
        <v>375</v>
      </c>
    </row>
    <row r="19" spans="1:14" ht="25.5" hidden="1">
      <c r="A19" s="248" t="s">
        <v>405</v>
      </c>
      <c r="B19" s="245">
        <v>600</v>
      </c>
      <c r="C19" s="22">
        <v>60014</v>
      </c>
      <c r="D19" s="22">
        <v>6050</v>
      </c>
      <c r="E19" s="240" t="s">
        <v>810</v>
      </c>
      <c r="F19" s="243">
        <v>1200000</v>
      </c>
      <c r="G19" s="243">
        <f t="shared" si="0"/>
        <v>0</v>
      </c>
      <c r="H19" s="243">
        <v>0</v>
      </c>
      <c r="I19" s="243">
        <v>0</v>
      </c>
      <c r="J19" s="244"/>
      <c r="K19" s="243">
        <v>0</v>
      </c>
      <c r="L19" s="243">
        <v>0</v>
      </c>
      <c r="M19" s="243">
        <v>300000</v>
      </c>
      <c r="N19" s="242" t="s">
        <v>375</v>
      </c>
    </row>
    <row r="20" spans="1:14" ht="38.25">
      <c r="A20" s="247" t="s">
        <v>406</v>
      </c>
      <c r="B20" s="245">
        <v>600</v>
      </c>
      <c r="C20" s="22">
        <v>60014</v>
      </c>
      <c r="D20" s="22">
        <v>6050</v>
      </c>
      <c r="E20" s="240" t="s">
        <v>811</v>
      </c>
      <c r="F20" s="243">
        <v>14000000</v>
      </c>
      <c r="G20" s="243">
        <f t="shared" si="0"/>
        <v>45000</v>
      </c>
      <c r="H20" s="243">
        <v>45000</v>
      </c>
      <c r="I20" s="243">
        <v>0</v>
      </c>
      <c r="J20" s="244"/>
      <c r="K20" s="243">
        <v>0</v>
      </c>
      <c r="L20" s="243">
        <v>1000000</v>
      </c>
      <c r="M20" s="243">
        <v>6350000</v>
      </c>
      <c r="N20" s="242" t="s">
        <v>375</v>
      </c>
    </row>
    <row r="21" spans="1:14" ht="51">
      <c r="A21" s="248" t="s">
        <v>394</v>
      </c>
      <c r="B21" s="245">
        <v>600</v>
      </c>
      <c r="C21" s="22">
        <v>60014</v>
      </c>
      <c r="D21" s="22">
        <v>6050</v>
      </c>
      <c r="E21" s="240" t="s">
        <v>812</v>
      </c>
      <c r="F21" s="243">
        <v>1100000</v>
      </c>
      <c r="G21" s="243">
        <f t="shared" si="0"/>
        <v>15000</v>
      </c>
      <c r="H21" s="243">
        <v>15000</v>
      </c>
      <c r="I21" s="243">
        <v>0</v>
      </c>
      <c r="J21" s="244"/>
      <c r="K21" s="243">
        <v>0</v>
      </c>
      <c r="L21" s="243">
        <v>1085000</v>
      </c>
      <c r="M21" s="243">
        <v>0</v>
      </c>
      <c r="N21" s="242" t="s">
        <v>375</v>
      </c>
    </row>
    <row r="22" spans="1:14" ht="38.25" hidden="1">
      <c r="A22" s="247" t="s">
        <v>404</v>
      </c>
      <c r="B22" s="245">
        <v>750</v>
      </c>
      <c r="C22" s="22">
        <v>75020</v>
      </c>
      <c r="D22" s="22">
        <v>6050</v>
      </c>
      <c r="E22" s="240" t="s">
        <v>813</v>
      </c>
      <c r="F22" s="243">
        <v>1566000</v>
      </c>
      <c r="G22" s="243">
        <f t="shared" si="0"/>
        <v>0</v>
      </c>
      <c r="H22" s="243">
        <v>0</v>
      </c>
      <c r="I22" s="243">
        <v>0</v>
      </c>
      <c r="J22" s="244"/>
      <c r="K22" s="243">
        <v>0</v>
      </c>
      <c r="L22" s="243">
        <v>700000</v>
      </c>
      <c r="M22" s="243">
        <v>866000</v>
      </c>
      <c r="N22" s="242" t="s">
        <v>814</v>
      </c>
    </row>
    <row r="23" spans="1:14" ht="51">
      <c r="A23" s="248" t="s">
        <v>411</v>
      </c>
      <c r="B23" s="245">
        <v>801</v>
      </c>
      <c r="C23" s="22">
        <v>80130</v>
      </c>
      <c r="D23" s="237">
        <v>6050</v>
      </c>
      <c r="E23" s="238" t="s">
        <v>815</v>
      </c>
      <c r="F23" s="243">
        <v>13500</v>
      </c>
      <c r="G23" s="243">
        <f t="shared" si="0"/>
        <v>13500</v>
      </c>
      <c r="H23" s="243">
        <v>13500</v>
      </c>
      <c r="I23" s="243">
        <v>0</v>
      </c>
      <c r="J23" s="244"/>
      <c r="K23" s="243">
        <v>0</v>
      </c>
      <c r="L23" s="243">
        <v>0</v>
      </c>
      <c r="M23" s="243">
        <v>0</v>
      </c>
      <c r="N23" s="242" t="s">
        <v>814</v>
      </c>
    </row>
    <row r="24" spans="1:14" ht="38.25" hidden="1">
      <c r="A24" s="236" t="s">
        <v>820</v>
      </c>
      <c r="B24" s="246">
        <v>852</v>
      </c>
      <c r="C24" s="239">
        <v>85201</v>
      </c>
      <c r="D24" s="239">
        <v>6050</v>
      </c>
      <c r="E24" s="241" t="s">
        <v>816</v>
      </c>
      <c r="F24" s="243">
        <v>200000</v>
      </c>
      <c r="G24" s="243">
        <f t="shared" si="0"/>
        <v>0</v>
      </c>
      <c r="H24" s="243">
        <v>0</v>
      </c>
      <c r="I24" s="243">
        <v>0</v>
      </c>
      <c r="J24" s="244"/>
      <c r="K24" s="243">
        <v>0</v>
      </c>
      <c r="L24" s="243">
        <v>0</v>
      </c>
      <c r="M24" s="243">
        <v>0</v>
      </c>
      <c r="N24" s="20" t="s">
        <v>817</v>
      </c>
    </row>
    <row r="25" spans="1:14" ht="22.5" customHeight="1">
      <c r="A25" s="1060" t="s">
        <v>539</v>
      </c>
      <c r="B25" s="1061"/>
      <c r="C25" s="1061"/>
      <c r="D25" s="1061"/>
      <c r="E25" s="1062"/>
      <c r="F25" s="243">
        <f aca="true" t="shared" si="1" ref="F25:M25">F23+F21+F20+F17+F14</f>
        <v>25983500</v>
      </c>
      <c r="G25" s="243">
        <f t="shared" si="1"/>
        <v>338500</v>
      </c>
      <c r="H25" s="243">
        <f t="shared" si="1"/>
        <v>338500</v>
      </c>
      <c r="I25" s="243">
        <f t="shared" si="1"/>
        <v>0</v>
      </c>
      <c r="J25" s="243">
        <f t="shared" si="1"/>
        <v>0</v>
      </c>
      <c r="K25" s="243">
        <f t="shared" si="1"/>
        <v>0</v>
      </c>
      <c r="L25" s="243">
        <f t="shared" si="1"/>
        <v>3085000</v>
      </c>
      <c r="M25" s="243">
        <f t="shared" si="1"/>
        <v>9050000</v>
      </c>
      <c r="N25" s="69" t="s">
        <v>439</v>
      </c>
    </row>
    <row r="32" ht="12.75">
      <c r="A32" s="75"/>
    </row>
  </sheetData>
  <mergeCells count="18">
    <mergeCell ref="L9:L12"/>
    <mergeCell ref="A25:E25"/>
    <mergeCell ref="H9:K9"/>
    <mergeCell ref="H10:H12"/>
    <mergeCell ref="I10:I12"/>
    <mergeCell ref="J10:J12"/>
    <mergeCell ref="K10:K12"/>
    <mergeCell ref="D8:D12"/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M9:M12"/>
  </mergeCells>
  <printOptions horizontalCentered="1"/>
  <pageMargins left="0.2" right="0.22" top="0.24" bottom="0.19" header="0.24" footer="0.19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75" zoomScaleNormal="75" zoomScaleSheetLayoutView="75" workbookViewId="0" topLeftCell="D1">
      <pane ySplit="11" topLeftCell="BM22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4.375" style="1" customWidth="1"/>
    <col min="2" max="2" width="5.875" style="1" customWidth="1"/>
    <col min="3" max="3" width="6.625" style="1" customWidth="1"/>
    <col min="4" max="4" width="5.375" style="1" customWidth="1"/>
    <col min="5" max="5" width="45.75390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K1" s="1" t="s">
        <v>1</v>
      </c>
    </row>
    <row r="2" ht="12.75">
      <c r="K2" s="1" t="s">
        <v>2</v>
      </c>
    </row>
    <row r="3" ht="12.75">
      <c r="K3" s="1" t="s">
        <v>826</v>
      </c>
    </row>
    <row r="4" ht="12.75">
      <c r="K4" s="1" t="s">
        <v>3</v>
      </c>
    </row>
    <row r="5" spans="1:12" ht="18">
      <c r="A5" s="1057" t="s">
        <v>480</v>
      </c>
      <c r="B5" s="1057"/>
      <c r="C5" s="1057"/>
      <c r="D5" s="1057"/>
      <c r="E5" s="1057"/>
      <c r="F5" s="1057"/>
      <c r="G5" s="1057"/>
      <c r="H5" s="1057"/>
      <c r="I5" s="1057"/>
      <c r="J5" s="1057"/>
      <c r="K5" s="1057"/>
      <c r="L5" s="1057"/>
    </row>
    <row r="6" spans="1:12" ht="10.5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0" t="s">
        <v>434</v>
      </c>
    </row>
    <row r="7" spans="1:12" s="42" customFormat="1" ht="19.5" customHeight="1">
      <c r="A7" s="1065" t="s">
        <v>453</v>
      </c>
      <c r="B7" s="1067" t="s">
        <v>395</v>
      </c>
      <c r="C7" s="1067" t="s">
        <v>433</v>
      </c>
      <c r="D7" s="1067" t="s">
        <v>545</v>
      </c>
      <c r="E7" s="1068" t="s">
        <v>548</v>
      </c>
      <c r="F7" s="1068" t="s">
        <v>542</v>
      </c>
      <c r="G7" s="1068" t="s">
        <v>481</v>
      </c>
      <c r="H7" s="1068"/>
      <c r="I7" s="1068"/>
      <c r="J7" s="1068"/>
      <c r="K7" s="1068"/>
      <c r="L7" s="1069" t="s">
        <v>546</v>
      </c>
    </row>
    <row r="8" spans="1:12" s="42" customFormat="1" ht="19.5" customHeight="1">
      <c r="A8" s="1066"/>
      <c r="B8" s="1058"/>
      <c r="C8" s="1058"/>
      <c r="D8" s="1058"/>
      <c r="E8" s="1059"/>
      <c r="F8" s="1059"/>
      <c r="G8" s="1059" t="s">
        <v>601</v>
      </c>
      <c r="H8" s="1059" t="s">
        <v>602</v>
      </c>
      <c r="I8" s="1059"/>
      <c r="J8" s="1059"/>
      <c r="K8" s="1059"/>
      <c r="L8" s="1070"/>
    </row>
    <row r="9" spans="1:12" s="42" customFormat="1" ht="29.25" customHeight="1">
      <c r="A9" s="1066"/>
      <c r="B9" s="1058"/>
      <c r="C9" s="1058"/>
      <c r="D9" s="1058"/>
      <c r="E9" s="1059"/>
      <c r="F9" s="1059"/>
      <c r="G9" s="1059"/>
      <c r="H9" s="1059" t="s">
        <v>547</v>
      </c>
      <c r="I9" s="1059" t="s">
        <v>527</v>
      </c>
      <c r="J9" s="1059" t="s">
        <v>549</v>
      </c>
      <c r="K9" s="1059" t="s">
        <v>528</v>
      </c>
      <c r="L9" s="1070"/>
    </row>
    <row r="10" spans="1:12" s="42" customFormat="1" ht="19.5" customHeight="1">
      <c r="A10" s="1066"/>
      <c r="B10" s="1058"/>
      <c r="C10" s="1058"/>
      <c r="D10" s="1058"/>
      <c r="E10" s="1059"/>
      <c r="F10" s="1059"/>
      <c r="G10" s="1059"/>
      <c r="H10" s="1059"/>
      <c r="I10" s="1059"/>
      <c r="J10" s="1059"/>
      <c r="K10" s="1059"/>
      <c r="L10" s="1070"/>
    </row>
    <row r="11" spans="1:12" s="42" customFormat="1" ht="19.5" customHeight="1">
      <c r="A11" s="1066"/>
      <c r="B11" s="1058"/>
      <c r="C11" s="1058"/>
      <c r="D11" s="1058"/>
      <c r="E11" s="1059"/>
      <c r="F11" s="1059"/>
      <c r="G11" s="1059"/>
      <c r="H11" s="1059"/>
      <c r="I11" s="1059"/>
      <c r="J11" s="1059"/>
      <c r="K11" s="1059"/>
      <c r="L11" s="1070"/>
    </row>
    <row r="12" spans="1:12" ht="7.5" customHeight="1">
      <c r="A12" s="261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262">
        <v>12</v>
      </c>
    </row>
    <row r="13" spans="1:12" ht="24">
      <c r="A13" s="263" t="s">
        <v>404</v>
      </c>
      <c r="B13" s="265">
        <v>750</v>
      </c>
      <c r="C13" s="265">
        <v>75020</v>
      </c>
      <c r="D13" s="265">
        <v>6050</v>
      </c>
      <c r="E13" s="266" t="s">
        <v>561</v>
      </c>
      <c r="F13" s="264">
        <v>400000</v>
      </c>
      <c r="G13" s="264">
        <f>SUM(H13:K13)</f>
        <v>400000</v>
      </c>
      <c r="H13" s="264">
        <v>400000</v>
      </c>
      <c r="I13" s="265">
        <v>0</v>
      </c>
      <c r="J13" s="266">
        <v>0</v>
      </c>
      <c r="K13" s="265">
        <v>0</v>
      </c>
      <c r="L13" s="268" t="s">
        <v>814</v>
      </c>
    </row>
    <row r="14" spans="1:12" ht="24">
      <c r="A14" s="263" t="s">
        <v>405</v>
      </c>
      <c r="B14" s="265">
        <v>750</v>
      </c>
      <c r="C14" s="265">
        <v>75020</v>
      </c>
      <c r="D14" s="265">
        <v>6050</v>
      </c>
      <c r="E14" s="266" t="s">
        <v>831</v>
      </c>
      <c r="F14" s="264">
        <v>20000</v>
      </c>
      <c r="G14" s="264">
        <f aca="true" t="shared" si="0" ref="G14:G24">SUM(H14:K14)</f>
        <v>20000</v>
      </c>
      <c r="H14" s="264">
        <v>20000</v>
      </c>
      <c r="I14" s="265">
        <v>0</v>
      </c>
      <c r="J14" s="266">
        <v>0</v>
      </c>
      <c r="K14" s="265">
        <v>0</v>
      </c>
      <c r="L14" s="268" t="s">
        <v>814</v>
      </c>
    </row>
    <row r="15" spans="1:12" ht="47.25" customHeight="1">
      <c r="A15" s="263" t="s">
        <v>406</v>
      </c>
      <c r="B15" s="265">
        <v>750</v>
      </c>
      <c r="C15" s="265">
        <v>75020</v>
      </c>
      <c r="D15" s="265">
        <v>6050</v>
      </c>
      <c r="E15" s="266" t="s">
        <v>833</v>
      </c>
      <c r="F15" s="264">
        <v>100000</v>
      </c>
      <c r="G15" s="264">
        <f t="shared" si="0"/>
        <v>100000</v>
      </c>
      <c r="H15" s="264">
        <v>100000</v>
      </c>
      <c r="I15" s="265">
        <v>0</v>
      </c>
      <c r="J15" s="266">
        <v>0</v>
      </c>
      <c r="K15" s="265">
        <v>0</v>
      </c>
      <c r="L15" s="268" t="s">
        <v>814</v>
      </c>
    </row>
    <row r="16" spans="1:12" ht="24">
      <c r="A16" s="263" t="s">
        <v>394</v>
      </c>
      <c r="B16" s="265">
        <v>600</v>
      </c>
      <c r="C16" s="265">
        <v>60014</v>
      </c>
      <c r="D16" s="265">
        <v>6060</v>
      </c>
      <c r="E16" s="266" t="s">
        <v>374</v>
      </c>
      <c r="F16" s="264">
        <v>15000</v>
      </c>
      <c r="G16" s="264">
        <f t="shared" si="0"/>
        <v>15000</v>
      </c>
      <c r="H16" s="264">
        <v>15000</v>
      </c>
      <c r="I16" s="265">
        <v>0</v>
      </c>
      <c r="J16" s="266">
        <v>0</v>
      </c>
      <c r="K16" s="265">
        <v>0</v>
      </c>
      <c r="L16" s="983" t="s">
        <v>375</v>
      </c>
    </row>
    <row r="17" spans="1:12" ht="24">
      <c r="A17" s="263" t="s">
        <v>411</v>
      </c>
      <c r="B17" s="265">
        <v>600</v>
      </c>
      <c r="C17" s="265">
        <v>60014</v>
      </c>
      <c r="D17" s="265">
        <v>6060</v>
      </c>
      <c r="E17" s="266" t="s">
        <v>836</v>
      </c>
      <c r="F17" s="264">
        <v>45000</v>
      </c>
      <c r="G17" s="264">
        <f t="shared" si="0"/>
        <v>45000</v>
      </c>
      <c r="H17" s="264">
        <v>45000</v>
      </c>
      <c r="I17" s="265">
        <v>0</v>
      </c>
      <c r="J17" s="266">
        <v>0</v>
      </c>
      <c r="K17" s="265">
        <v>0</v>
      </c>
      <c r="L17" s="983" t="s">
        <v>375</v>
      </c>
    </row>
    <row r="18" spans="1:12" ht="24">
      <c r="A18" s="263" t="s">
        <v>414</v>
      </c>
      <c r="B18" s="265">
        <v>600</v>
      </c>
      <c r="C18" s="265">
        <v>60014</v>
      </c>
      <c r="D18" s="265">
        <v>6060</v>
      </c>
      <c r="E18" s="266" t="s">
        <v>837</v>
      </c>
      <c r="F18" s="264">
        <v>25000</v>
      </c>
      <c r="G18" s="264">
        <f t="shared" si="0"/>
        <v>25000</v>
      </c>
      <c r="H18" s="264">
        <v>25000</v>
      </c>
      <c r="I18" s="265">
        <v>0</v>
      </c>
      <c r="J18" s="266">
        <v>0</v>
      </c>
      <c r="K18" s="265">
        <v>0</v>
      </c>
      <c r="L18" s="983" t="s">
        <v>375</v>
      </c>
    </row>
    <row r="19" spans="1:12" ht="24">
      <c r="A19" s="263" t="s">
        <v>416</v>
      </c>
      <c r="B19" s="265">
        <v>600</v>
      </c>
      <c r="C19" s="265">
        <v>60014</v>
      </c>
      <c r="D19" s="265">
        <v>6060</v>
      </c>
      <c r="E19" s="266" t="s">
        <v>838</v>
      </c>
      <c r="F19" s="264">
        <v>70000</v>
      </c>
      <c r="G19" s="264">
        <f t="shared" si="0"/>
        <v>70000</v>
      </c>
      <c r="H19" s="264">
        <v>70000</v>
      </c>
      <c r="I19" s="265">
        <v>0</v>
      </c>
      <c r="J19" s="266">
        <v>0</v>
      </c>
      <c r="K19" s="265">
        <v>0</v>
      </c>
      <c r="L19" s="983" t="s">
        <v>375</v>
      </c>
    </row>
    <row r="20" spans="1:12" ht="24">
      <c r="A20" s="263" t="s">
        <v>423</v>
      </c>
      <c r="B20" s="265">
        <v>600</v>
      </c>
      <c r="C20" s="265">
        <v>60014</v>
      </c>
      <c r="D20" s="265">
        <v>6060</v>
      </c>
      <c r="E20" s="266" t="s">
        <v>839</v>
      </c>
      <c r="F20" s="264">
        <v>20000</v>
      </c>
      <c r="G20" s="264">
        <f t="shared" si="0"/>
        <v>20000</v>
      </c>
      <c r="H20" s="264">
        <v>20000</v>
      </c>
      <c r="I20" s="265">
        <v>0</v>
      </c>
      <c r="J20" s="266">
        <v>0</v>
      </c>
      <c r="K20" s="265">
        <v>0</v>
      </c>
      <c r="L20" s="983" t="s">
        <v>375</v>
      </c>
    </row>
    <row r="21" spans="1:12" ht="24">
      <c r="A21" s="263" t="s">
        <v>818</v>
      </c>
      <c r="B21" s="265">
        <v>600</v>
      </c>
      <c r="C21" s="265">
        <v>60014</v>
      </c>
      <c r="D21" s="265">
        <v>6060</v>
      </c>
      <c r="E21" s="266" t="s">
        <v>840</v>
      </c>
      <c r="F21" s="264">
        <v>50000</v>
      </c>
      <c r="G21" s="264">
        <f t="shared" si="0"/>
        <v>50000</v>
      </c>
      <c r="H21" s="264">
        <v>50000</v>
      </c>
      <c r="I21" s="265">
        <v>0</v>
      </c>
      <c r="J21" s="266">
        <v>0</v>
      </c>
      <c r="K21" s="265">
        <v>0</v>
      </c>
      <c r="L21" s="983" t="s">
        <v>375</v>
      </c>
    </row>
    <row r="22" spans="1:12" ht="24">
      <c r="A22" s="263" t="s">
        <v>819</v>
      </c>
      <c r="B22" s="265">
        <v>750</v>
      </c>
      <c r="C22" s="265">
        <v>75020</v>
      </c>
      <c r="D22" s="265">
        <v>6060</v>
      </c>
      <c r="E22" s="266" t="s">
        <v>843</v>
      </c>
      <c r="F22" s="264">
        <v>74250</v>
      </c>
      <c r="G22" s="264">
        <f t="shared" si="0"/>
        <v>74250</v>
      </c>
      <c r="H22" s="264">
        <v>74250</v>
      </c>
      <c r="I22" s="265">
        <v>0</v>
      </c>
      <c r="J22" s="266">
        <v>0</v>
      </c>
      <c r="K22" s="265">
        <v>0</v>
      </c>
      <c r="L22" s="268" t="s">
        <v>814</v>
      </c>
    </row>
    <row r="23" spans="1:12" ht="42.75" customHeight="1">
      <c r="A23" s="263" t="s">
        <v>820</v>
      </c>
      <c r="B23" s="265">
        <v>750</v>
      </c>
      <c r="C23" s="265">
        <v>75020</v>
      </c>
      <c r="D23" s="265">
        <v>6060</v>
      </c>
      <c r="E23" s="266" t="s">
        <v>841</v>
      </c>
      <c r="F23" s="264">
        <v>70000</v>
      </c>
      <c r="G23" s="264">
        <f t="shared" si="0"/>
        <v>70000</v>
      </c>
      <c r="H23" s="264">
        <v>70000</v>
      </c>
      <c r="I23" s="265">
        <v>0</v>
      </c>
      <c r="J23" s="266">
        <v>0</v>
      </c>
      <c r="K23" s="265">
        <v>0</v>
      </c>
      <c r="L23" s="268" t="s">
        <v>814</v>
      </c>
    </row>
    <row r="24" spans="1:12" ht="31.5" customHeight="1">
      <c r="A24" s="263" t="s">
        <v>834</v>
      </c>
      <c r="B24" s="265">
        <v>801</v>
      </c>
      <c r="C24" s="265">
        <v>80120</v>
      </c>
      <c r="D24" s="265">
        <v>6060</v>
      </c>
      <c r="E24" s="266" t="s">
        <v>842</v>
      </c>
      <c r="F24" s="264">
        <v>20000</v>
      </c>
      <c r="G24" s="264">
        <f t="shared" si="0"/>
        <v>20000</v>
      </c>
      <c r="H24" s="264">
        <v>20000</v>
      </c>
      <c r="I24" s="265">
        <v>0</v>
      </c>
      <c r="J24" s="266">
        <v>0</v>
      </c>
      <c r="K24" s="265">
        <v>0</v>
      </c>
      <c r="L24" s="267" t="s">
        <v>376</v>
      </c>
    </row>
    <row r="25" spans="1:12" ht="24" customHeight="1">
      <c r="A25" s="263" t="s">
        <v>835</v>
      </c>
      <c r="B25" s="265">
        <v>852</v>
      </c>
      <c r="C25" s="265">
        <v>85202</v>
      </c>
      <c r="D25" s="265">
        <v>6050</v>
      </c>
      <c r="E25" s="265" t="s">
        <v>832</v>
      </c>
      <c r="F25" s="264">
        <v>80000</v>
      </c>
      <c r="G25" s="264">
        <f>SUM(H25:K25)</f>
        <v>80000</v>
      </c>
      <c r="H25" s="264">
        <v>80000</v>
      </c>
      <c r="I25" s="265">
        <v>0</v>
      </c>
      <c r="J25" s="266">
        <v>0</v>
      </c>
      <c r="K25" s="265">
        <v>0</v>
      </c>
      <c r="L25" s="268" t="s">
        <v>377</v>
      </c>
    </row>
    <row r="26" spans="1:12" ht="22.5" customHeight="1" thickBot="1">
      <c r="A26" s="1063" t="s">
        <v>539</v>
      </c>
      <c r="B26" s="1064"/>
      <c r="C26" s="1064"/>
      <c r="D26" s="1064"/>
      <c r="E26" s="1064"/>
      <c r="F26" s="269">
        <f aca="true" t="shared" si="1" ref="F26:K26">SUM(F13:F25)</f>
        <v>989250</v>
      </c>
      <c r="G26" s="269">
        <f t="shared" si="1"/>
        <v>989250</v>
      </c>
      <c r="H26" s="269">
        <f t="shared" si="1"/>
        <v>989250</v>
      </c>
      <c r="I26" s="269">
        <f t="shared" si="1"/>
        <v>0</v>
      </c>
      <c r="J26" s="269">
        <f t="shared" si="1"/>
        <v>0</v>
      </c>
      <c r="K26" s="269">
        <f t="shared" si="1"/>
        <v>0</v>
      </c>
      <c r="L26" s="270" t="s">
        <v>439</v>
      </c>
    </row>
    <row r="28" ht="12.75">
      <c r="A28" s="1" t="s">
        <v>476</v>
      </c>
    </row>
    <row r="29" ht="12.75">
      <c r="A29" s="1" t="s">
        <v>473</v>
      </c>
    </row>
    <row r="30" ht="12.75">
      <c r="A30" s="1" t="s">
        <v>474</v>
      </c>
    </row>
    <row r="31" ht="12.75">
      <c r="A31" s="1" t="s">
        <v>475</v>
      </c>
    </row>
    <row r="33" ht="12.75">
      <c r="A33" s="75" t="s">
        <v>607</v>
      </c>
    </row>
  </sheetData>
  <mergeCells count="16">
    <mergeCell ref="F7:F11"/>
    <mergeCell ref="H8:K8"/>
    <mergeCell ref="H9:H11"/>
    <mergeCell ref="I9:I11"/>
    <mergeCell ref="J9:J11"/>
    <mergeCell ref="K9:K11"/>
    <mergeCell ref="A26:E26"/>
    <mergeCell ref="A5:L5"/>
    <mergeCell ref="A7:A11"/>
    <mergeCell ref="B7:B11"/>
    <mergeCell ref="C7:C11"/>
    <mergeCell ref="E7:E11"/>
    <mergeCell ref="G7:K7"/>
    <mergeCell ref="L7:L11"/>
    <mergeCell ref="G8:G11"/>
    <mergeCell ref="D7:D11"/>
  </mergeCells>
  <printOptions horizontalCentered="1"/>
  <pageMargins left="0.2" right="0.39" top="0.94" bottom="0.22" header="0.22" footer="0.22"/>
  <pageSetup horizontalDpi="600" verticalDpi="600" orientation="landscape" paperSize="9" scale="90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46"/>
  <sheetViews>
    <sheetView zoomScale="90" zoomScaleNormal="90" zoomScaleSheetLayoutView="75" workbookViewId="0" topLeftCell="A4">
      <pane ySplit="9" topLeftCell="BM132" activePane="bottomLeft" state="frozen"/>
      <selection pane="topLeft" activeCell="A4" sqref="A4"/>
      <selection pane="bottomLeft" activeCell="H142" sqref="H142"/>
    </sheetView>
  </sheetViews>
  <sheetFormatPr defaultColWidth="9.00390625" defaultRowHeight="24" customHeight="1"/>
  <cols>
    <col min="1" max="1" width="3.625" style="12" bestFit="1" customWidth="1"/>
    <col min="2" max="2" width="19.875" style="12" customWidth="1"/>
    <col min="3" max="3" width="13.00390625" style="12" customWidth="1"/>
    <col min="4" max="4" width="10.625" style="12" customWidth="1"/>
    <col min="5" max="5" width="12.00390625" style="12" customWidth="1"/>
    <col min="6" max="6" width="9.125" style="12" customWidth="1"/>
    <col min="7" max="7" width="9.375" style="12" customWidth="1"/>
    <col min="8" max="8" width="8.75390625" style="12" bestFit="1" customWidth="1"/>
    <col min="9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>
    <row r="1" ht="12.75" customHeight="1">
      <c r="P1" s="951" t="s">
        <v>225</v>
      </c>
    </row>
    <row r="2" ht="12.75" customHeight="1">
      <c r="P2" s="951" t="s">
        <v>226</v>
      </c>
    </row>
    <row r="3" ht="12.75" customHeight="1">
      <c r="P3" s="951" t="s">
        <v>826</v>
      </c>
    </row>
    <row r="4" ht="12.75" customHeight="1">
      <c r="P4" s="951" t="s">
        <v>227</v>
      </c>
    </row>
    <row r="5" spans="1:17" ht="24" customHeight="1">
      <c r="A5" s="1110" t="s">
        <v>530</v>
      </c>
      <c r="B5" s="1110"/>
      <c r="C5" s="1110"/>
      <c r="D5" s="1110"/>
      <c r="E5" s="1110"/>
      <c r="F5" s="1110"/>
      <c r="G5" s="1110"/>
      <c r="H5" s="1110"/>
      <c r="I5" s="1110"/>
      <c r="J5" s="1110"/>
      <c r="K5" s="1110"/>
      <c r="L5" s="1110"/>
      <c r="M5" s="1110"/>
      <c r="N5" s="1110"/>
      <c r="O5" s="1110"/>
      <c r="P5" s="1110"/>
      <c r="Q5" s="1110"/>
    </row>
    <row r="6" ht="10.5" customHeight="1" thickBot="1"/>
    <row r="7" spans="1:17" ht="13.5" customHeight="1">
      <c r="A7" s="1126" t="s">
        <v>453</v>
      </c>
      <c r="B7" s="1128" t="s">
        <v>483</v>
      </c>
      <c r="C7" s="1123" t="s">
        <v>484</v>
      </c>
      <c r="D7" s="1123" t="s">
        <v>603</v>
      </c>
      <c r="E7" s="1123" t="s">
        <v>535</v>
      </c>
      <c r="F7" s="1119" t="s">
        <v>399</v>
      </c>
      <c r="G7" s="1119"/>
      <c r="H7" s="1119" t="s">
        <v>481</v>
      </c>
      <c r="I7" s="1119"/>
      <c r="J7" s="1119"/>
      <c r="K7" s="1119"/>
      <c r="L7" s="1119"/>
      <c r="M7" s="1119"/>
      <c r="N7" s="1119"/>
      <c r="O7" s="1119"/>
      <c r="P7" s="1119"/>
      <c r="Q7" s="1120"/>
    </row>
    <row r="8" spans="1:17" ht="13.5" customHeight="1">
      <c r="A8" s="1074"/>
      <c r="B8" s="1129"/>
      <c r="C8" s="1124"/>
      <c r="D8" s="1124"/>
      <c r="E8" s="1124"/>
      <c r="F8" s="1117" t="s">
        <v>532</v>
      </c>
      <c r="G8" s="1117" t="s">
        <v>533</v>
      </c>
      <c r="H8" s="1121" t="s">
        <v>477</v>
      </c>
      <c r="I8" s="1121"/>
      <c r="J8" s="1121"/>
      <c r="K8" s="1121"/>
      <c r="L8" s="1121"/>
      <c r="M8" s="1121"/>
      <c r="N8" s="1121"/>
      <c r="O8" s="1121"/>
      <c r="P8" s="1121"/>
      <c r="Q8" s="1122"/>
    </row>
    <row r="9" spans="1:17" ht="10.5" customHeight="1">
      <c r="A9" s="1074"/>
      <c r="B9" s="1129"/>
      <c r="C9" s="1124"/>
      <c r="D9" s="1124"/>
      <c r="E9" s="1124"/>
      <c r="F9" s="1117"/>
      <c r="G9" s="1117"/>
      <c r="H9" s="1117" t="s">
        <v>486</v>
      </c>
      <c r="I9" s="1121" t="s">
        <v>487</v>
      </c>
      <c r="J9" s="1121"/>
      <c r="K9" s="1121"/>
      <c r="L9" s="1121"/>
      <c r="M9" s="1121"/>
      <c r="N9" s="1121"/>
      <c r="O9" s="1121"/>
      <c r="P9" s="1121"/>
      <c r="Q9" s="1122"/>
    </row>
    <row r="10" spans="1:17" ht="15" customHeight="1">
      <c r="A10" s="1074"/>
      <c r="B10" s="1129"/>
      <c r="C10" s="1124"/>
      <c r="D10" s="1124"/>
      <c r="E10" s="1124"/>
      <c r="F10" s="1117"/>
      <c r="G10" s="1117"/>
      <c r="H10" s="1117"/>
      <c r="I10" s="1121" t="s">
        <v>488</v>
      </c>
      <c r="J10" s="1121"/>
      <c r="K10" s="1121"/>
      <c r="L10" s="1121"/>
      <c r="M10" s="1121" t="s">
        <v>485</v>
      </c>
      <c r="N10" s="1121"/>
      <c r="O10" s="1121"/>
      <c r="P10" s="1121"/>
      <c r="Q10" s="1122"/>
    </row>
    <row r="11" spans="1:17" ht="24" customHeight="1">
      <c r="A11" s="1074"/>
      <c r="B11" s="1129"/>
      <c r="C11" s="1124"/>
      <c r="D11" s="1124"/>
      <c r="E11" s="1124"/>
      <c r="F11" s="1117"/>
      <c r="G11" s="1117"/>
      <c r="H11" s="1117"/>
      <c r="I11" s="1117" t="s">
        <v>489</v>
      </c>
      <c r="J11" s="1121" t="s">
        <v>490</v>
      </c>
      <c r="K11" s="1121"/>
      <c r="L11" s="1121"/>
      <c r="M11" s="1117" t="s">
        <v>491</v>
      </c>
      <c r="N11" s="1117" t="s">
        <v>490</v>
      </c>
      <c r="O11" s="1117"/>
      <c r="P11" s="1117"/>
      <c r="Q11" s="1118"/>
    </row>
    <row r="12" spans="1:17" ht="24" customHeight="1">
      <c r="A12" s="1127"/>
      <c r="B12" s="1130"/>
      <c r="C12" s="1125"/>
      <c r="D12" s="1125"/>
      <c r="E12" s="1125"/>
      <c r="F12" s="1117"/>
      <c r="G12" s="1117"/>
      <c r="H12" s="1117"/>
      <c r="I12" s="1117"/>
      <c r="J12" s="41" t="s">
        <v>534</v>
      </c>
      <c r="K12" s="41" t="s">
        <v>492</v>
      </c>
      <c r="L12" s="41" t="s">
        <v>493</v>
      </c>
      <c r="M12" s="1117"/>
      <c r="N12" s="41" t="s">
        <v>494</v>
      </c>
      <c r="O12" s="41" t="s">
        <v>534</v>
      </c>
      <c r="P12" s="41" t="s">
        <v>492</v>
      </c>
      <c r="Q12" s="696" t="s">
        <v>495</v>
      </c>
    </row>
    <row r="13" spans="1:17" ht="9.75" customHeight="1" thickBot="1">
      <c r="A13" s="697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698">
        <v>17</v>
      </c>
    </row>
    <row r="14" spans="1:17" s="70" customFormat="1" ht="12.75" customHeight="1" hidden="1" thickBot="1">
      <c r="A14" s="949">
        <v>1</v>
      </c>
      <c r="B14" s="694" t="s">
        <v>496</v>
      </c>
      <c r="C14" s="1111" t="s">
        <v>439</v>
      </c>
      <c r="D14" s="1112"/>
      <c r="E14" s="695">
        <f aca="true" t="shared" si="0" ref="E14:Q14">E19+E28+E37+E46+E55+E64+E73+E82+E91+E100+E109</f>
        <v>46516000</v>
      </c>
      <c r="F14" s="695">
        <f t="shared" si="0"/>
        <v>7091000</v>
      </c>
      <c r="G14" s="695">
        <f t="shared" si="0"/>
        <v>39425000</v>
      </c>
      <c r="H14" s="695">
        <f t="shared" si="0"/>
        <v>338500</v>
      </c>
      <c r="I14" s="695">
        <f t="shared" si="0"/>
        <v>338500</v>
      </c>
      <c r="J14" s="695">
        <f t="shared" si="0"/>
        <v>0</v>
      </c>
      <c r="K14" s="695">
        <f t="shared" si="0"/>
        <v>0</v>
      </c>
      <c r="L14" s="695">
        <f t="shared" si="0"/>
        <v>338500</v>
      </c>
      <c r="M14" s="695">
        <f t="shared" si="0"/>
        <v>0</v>
      </c>
      <c r="N14" s="695">
        <f t="shared" si="0"/>
        <v>0</v>
      </c>
      <c r="O14" s="695">
        <f t="shared" si="0"/>
        <v>0</v>
      </c>
      <c r="P14" s="695">
        <f t="shared" si="0"/>
        <v>0</v>
      </c>
      <c r="Q14" s="699">
        <f t="shared" si="0"/>
        <v>0</v>
      </c>
    </row>
    <row r="15" spans="1:17" ht="11.25" customHeight="1" hidden="1">
      <c r="A15" s="1134" t="s">
        <v>497</v>
      </c>
      <c r="B15" s="659" t="s">
        <v>498</v>
      </c>
      <c r="C15" s="775" t="s">
        <v>143</v>
      </c>
      <c r="D15" s="775"/>
      <c r="E15" s="775"/>
      <c r="F15" s="775"/>
      <c r="G15" s="775"/>
      <c r="H15" s="775"/>
      <c r="I15" s="775"/>
      <c r="J15" s="775"/>
      <c r="K15" s="775"/>
      <c r="L15" s="775"/>
      <c r="M15" s="652"/>
      <c r="N15" s="652"/>
      <c r="O15" s="652"/>
      <c r="P15" s="652"/>
      <c r="Q15" s="700"/>
    </row>
    <row r="16" spans="1:17" ht="11.25" customHeight="1" hidden="1">
      <c r="A16" s="1135"/>
      <c r="B16" s="54" t="s">
        <v>499</v>
      </c>
      <c r="C16" s="651" t="s">
        <v>140</v>
      </c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52"/>
      <c r="P16" s="652"/>
      <c r="Q16" s="700"/>
    </row>
    <row r="17" spans="1:17" ht="11.25" customHeight="1" hidden="1">
      <c r="A17" s="1135"/>
      <c r="B17" s="54" t="s">
        <v>500</v>
      </c>
      <c r="C17" s="651" t="s">
        <v>141</v>
      </c>
      <c r="D17" s="652"/>
      <c r="E17" s="652"/>
      <c r="F17" s="652"/>
      <c r="G17" s="652"/>
      <c r="H17" s="652"/>
      <c r="I17" s="652"/>
      <c r="J17" s="652"/>
      <c r="K17" s="652"/>
      <c r="L17" s="652"/>
      <c r="M17" s="652"/>
      <c r="N17" s="652"/>
      <c r="O17" s="652"/>
      <c r="P17" s="652"/>
      <c r="Q17" s="700"/>
    </row>
    <row r="18" spans="1:17" ht="11.25" customHeight="1" hidden="1">
      <c r="A18" s="1135"/>
      <c r="B18" s="54" t="s">
        <v>501</v>
      </c>
      <c r="C18" s="1138" t="s">
        <v>142</v>
      </c>
      <c r="D18" s="1139"/>
      <c r="E18" s="1139"/>
      <c r="F18" s="1139"/>
      <c r="G18" s="1139"/>
      <c r="H18" s="1139"/>
      <c r="I18" s="1139"/>
      <c r="J18" s="1139"/>
      <c r="K18" s="1139"/>
      <c r="L18" s="1139"/>
      <c r="M18" s="1139"/>
      <c r="N18" s="1139"/>
      <c r="O18" s="1139"/>
      <c r="P18" s="1139"/>
      <c r="Q18" s="1140"/>
    </row>
    <row r="19" spans="1:17" ht="11.25" customHeight="1" hidden="1">
      <c r="A19" s="1135"/>
      <c r="B19" s="55" t="s">
        <v>502</v>
      </c>
      <c r="C19" s="55"/>
      <c r="D19" s="924">
        <v>60014</v>
      </c>
      <c r="E19" s="665">
        <f>F19+G19</f>
        <v>7400000</v>
      </c>
      <c r="F19" s="665">
        <v>1110000</v>
      </c>
      <c r="G19" s="665">
        <v>6290000</v>
      </c>
      <c r="H19" s="665">
        <f aca="true" t="shared" si="1" ref="H19:Q19">H20</f>
        <v>195000</v>
      </c>
      <c r="I19" s="665">
        <f t="shared" si="1"/>
        <v>195000</v>
      </c>
      <c r="J19" s="665">
        <f t="shared" si="1"/>
        <v>0</v>
      </c>
      <c r="K19" s="665">
        <f t="shared" si="1"/>
        <v>0</v>
      </c>
      <c r="L19" s="665">
        <f t="shared" si="1"/>
        <v>195000</v>
      </c>
      <c r="M19" s="665">
        <f t="shared" si="1"/>
        <v>0</v>
      </c>
      <c r="N19" s="665">
        <f t="shared" si="1"/>
        <v>0</v>
      </c>
      <c r="O19" s="665">
        <f t="shared" si="1"/>
        <v>0</v>
      </c>
      <c r="P19" s="665">
        <f t="shared" si="1"/>
        <v>0</v>
      </c>
      <c r="Q19" s="701">
        <f t="shared" si="1"/>
        <v>0</v>
      </c>
    </row>
    <row r="20" spans="1:17" ht="11.25" customHeight="1" hidden="1">
      <c r="A20" s="1135"/>
      <c r="B20" s="659" t="s">
        <v>550</v>
      </c>
      <c r="C20" s="1078">
        <v>23</v>
      </c>
      <c r="D20" s="1079"/>
      <c r="E20" s="655">
        <f>SUM(F20:G20)</f>
        <v>1300000</v>
      </c>
      <c r="F20" s="655">
        <v>195000</v>
      </c>
      <c r="G20" s="655">
        <v>1105000</v>
      </c>
      <c r="H20" s="656">
        <f>I20+M20</f>
        <v>195000</v>
      </c>
      <c r="I20" s="656">
        <f>SUM(J20:L20)</f>
        <v>195000</v>
      </c>
      <c r="J20" s="656"/>
      <c r="K20" s="656"/>
      <c r="L20" s="656">
        <v>195000</v>
      </c>
      <c r="M20" s="656">
        <f>SUM(N20:Q20)</f>
        <v>0</v>
      </c>
      <c r="N20" s="656"/>
      <c r="O20" s="656"/>
      <c r="P20" s="656"/>
      <c r="Q20" s="702"/>
    </row>
    <row r="21" spans="1:17" ht="11.25" customHeight="1" hidden="1">
      <c r="A21" s="1135"/>
      <c r="B21" s="54" t="s">
        <v>449</v>
      </c>
      <c r="C21" s="1080"/>
      <c r="D21" s="1081"/>
      <c r="E21" s="653">
        <f>SUM(F21:G21)</f>
        <v>1000000</v>
      </c>
      <c r="F21" s="653">
        <v>150000</v>
      </c>
      <c r="G21" s="653">
        <v>850000</v>
      </c>
      <c r="H21" s="654">
        <f>I21+M21</f>
        <v>0</v>
      </c>
      <c r="I21" s="654">
        <f>SUM(J21:L21)</f>
        <v>0</v>
      </c>
      <c r="J21" s="654"/>
      <c r="K21" s="654"/>
      <c r="L21" s="654"/>
      <c r="M21" s="654"/>
      <c r="N21" s="654"/>
      <c r="O21" s="654"/>
      <c r="P21" s="654"/>
      <c r="Q21" s="703"/>
    </row>
    <row r="22" spans="1:17" ht="11.25" customHeight="1" hidden="1">
      <c r="A22" s="1135"/>
      <c r="B22" s="54" t="s">
        <v>451</v>
      </c>
      <c r="C22" s="1080"/>
      <c r="D22" s="1081"/>
      <c r="E22" s="653">
        <f>SUM(F22:G22)</f>
        <v>1700000</v>
      </c>
      <c r="F22" s="653">
        <v>255000</v>
      </c>
      <c r="G22" s="653">
        <v>1445000</v>
      </c>
      <c r="H22" s="654">
        <f>I22+M22</f>
        <v>0</v>
      </c>
      <c r="I22" s="654">
        <f>SUM(J22:L22)</f>
        <v>0</v>
      </c>
      <c r="J22" s="654"/>
      <c r="K22" s="654"/>
      <c r="L22" s="654"/>
      <c r="M22" s="654"/>
      <c r="N22" s="654"/>
      <c r="O22" s="654"/>
      <c r="P22" s="654"/>
      <c r="Q22" s="703"/>
    </row>
    <row r="23" spans="1:17" ht="11.25" customHeight="1" hidden="1" thickBot="1">
      <c r="A23" s="1136"/>
      <c r="B23" s="657" t="s">
        <v>551</v>
      </c>
      <c r="C23" s="1084"/>
      <c r="D23" s="1085"/>
      <c r="E23" s="657"/>
      <c r="F23" s="658"/>
      <c r="G23" s="658"/>
      <c r="H23" s="660">
        <f>I23+M23</f>
        <v>0</v>
      </c>
      <c r="I23" s="660">
        <f>SUM(J23:L23)</f>
        <v>0</v>
      </c>
      <c r="J23" s="660"/>
      <c r="K23" s="660"/>
      <c r="L23" s="660"/>
      <c r="M23" s="660">
        <f>SUM(N23:Q23)</f>
        <v>0</v>
      </c>
      <c r="N23" s="660"/>
      <c r="O23" s="660"/>
      <c r="P23" s="660"/>
      <c r="Q23" s="704"/>
    </row>
    <row r="24" spans="1:17" ht="11.25" customHeight="1" hidden="1">
      <c r="A24" s="1134" t="s">
        <v>503</v>
      </c>
      <c r="B24" s="659" t="s">
        <v>498</v>
      </c>
      <c r="C24" s="775" t="s">
        <v>145</v>
      </c>
      <c r="D24" s="673"/>
      <c r="E24" s="673"/>
      <c r="F24" s="673"/>
      <c r="G24" s="673"/>
      <c r="H24" s="673"/>
      <c r="I24" s="673"/>
      <c r="J24" s="673"/>
      <c r="K24" s="673"/>
      <c r="L24" s="673"/>
      <c r="M24" s="673"/>
      <c r="N24" s="673"/>
      <c r="O24" s="673"/>
      <c r="P24" s="673"/>
      <c r="Q24" s="676"/>
    </row>
    <row r="25" spans="1:17" ht="11.25" customHeight="1" hidden="1">
      <c r="A25" s="1135"/>
      <c r="B25" s="54" t="s">
        <v>499</v>
      </c>
      <c r="C25" s="651" t="s">
        <v>140</v>
      </c>
      <c r="D25" s="675"/>
      <c r="E25" s="675"/>
      <c r="F25" s="675"/>
      <c r="G25" s="675"/>
      <c r="H25" s="675"/>
      <c r="I25" s="675"/>
      <c r="J25" s="675"/>
      <c r="K25" s="675"/>
      <c r="L25" s="675"/>
      <c r="M25" s="675"/>
      <c r="N25" s="675"/>
      <c r="O25" s="675"/>
      <c r="P25" s="675"/>
      <c r="Q25" s="678"/>
    </row>
    <row r="26" spans="1:17" ht="11.25" customHeight="1" hidden="1">
      <c r="A26" s="1135"/>
      <c r="B26" s="54" t="s">
        <v>500</v>
      </c>
      <c r="C26" s="651" t="s">
        <v>141</v>
      </c>
      <c r="D26" s="675"/>
      <c r="E26" s="675"/>
      <c r="F26" s="675"/>
      <c r="G26" s="675"/>
      <c r="H26" s="675"/>
      <c r="I26" s="675"/>
      <c r="J26" s="675"/>
      <c r="K26" s="675"/>
      <c r="L26" s="675"/>
      <c r="M26" s="675"/>
      <c r="N26" s="675"/>
      <c r="O26" s="675"/>
      <c r="P26" s="675"/>
      <c r="Q26" s="678"/>
    </row>
    <row r="27" spans="1:17" ht="11.25" customHeight="1" hidden="1">
      <c r="A27" s="1135"/>
      <c r="B27" s="54" t="s">
        <v>501</v>
      </c>
      <c r="C27" s="1141" t="s">
        <v>144</v>
      </c>
      <c r="D27" s="1142"/>
      <c r="E27" s="1142"/>
      <c r="F27" s="1142"/>
      <c r="G27" s="1142"/>
      <c r="H27" s="1142"/>
      <c r="I27" s="1142"/>
      <c r="J27" s="1142"/>
      <c r="K27" s="1142"/>
      <c r="L27" s="1142"/>
      <c r="M27" s="1142"/>
      <c r="N27" s="1142"/>
      <c r="O27" s="1142"/>
      <c r="P27" s="1142"/>
      <c r="Q27" s="1143"/>
    </row>
    <row r="28" spans="1:17" ht="11.25" customHeight="1" hidden="1">
      <c r="A28" s="1135"/>
      <c r="B28" s="55" t="s">
        <v>502</v>
      </c>
      <c r="C28" s="55"/>
      <c r="D28" s="924">
        <v>60014</v>
      </c>
      <c r="E28" s="664">
        <f>F28+G28</f>
        <v>3100000</v>
      </c>
      <c r="F28" s="664">
        <v>465000</v>
      </c>
      <c r="G28" s="664">
        <v>2635000</v>
      </c>
      <c r="H28" s="664">
        <f aca="true" t="shared" si="2" ref="H28:Q28">H29</f>
        <v>0</v>
      </c>
      <c r="I28" s="664">
        <f t="shared" si="2"/>
        <v>0</v>
      </c>
      <c r="J28" s="664">
        <f t="shared" si="2"/>
        <v>0</v>
      </c>
      <c r="K28" s="664">
        <f t="shared" si="2"/>
        <v>0</v>
      </c>
      <c r="L28" s="664">
        <f t="shared" si="2"/>
        <v>0</v>
      </c>
      <c r="M28" s="664">
        <f t="shared" si="2"/>
        <v>0</v>
      </c>
      <c r="N28" s="664">
        <f t="shared" si="2"/>
        <v>0</v>
      </c>
      <c r="O28" s="664">
        <f t="shared" si="2"/>
        <v>0</v>
      </c>
      <c r="P28" s="664">
        <f t="shared" si="2"/>
        <v>0</v>
      </c>
      <c r="Q28" s="705">
        <f t="shared" si="2"/>
        <v>0</v>
      </c>
    </row>
    <row r="29" spans="1:17" ht="11.25" customHeight="1" hidden="1">
      <c r="A29" s="1135"/>
      <c r="B29" s="659" t="s">
        <v>550</v>
      </c>
      <c r="C29" s="1078">
        <v>23</v>
      </c>
      <c r="D29" s="1092"/>
      <c r="E29" s="662">
        <f>F29+G29</f>
        <v>0</v>
      </c>
      <c r="F29" s="662">
        <v>0</v>
      </c>
      <c r="G29" s="662">
        <v>0</v>
      </c>
      <c r="H29" s="662">
        <v>0</v>
      </c>
      <c r="I29" s="662">
        <v>0</v>
      </c>
      <c r="J29" s="662"/>
      <c r="K29" s="662"/>
      <c r="L29" s="662"/>
      <c r="M29" s="662">
        <v>0</v>
      </c>
      <c r="N29" s="662"/>
      <c r="O29" s="662"/>
      <c r="P29" s="662"/>
      <c r="Q29" s="706"/>
    </row>
    <row r="30" spans="1:17" ht="11.25" customHeight="1" hidden="1">
      <c r="A30" s="1135"/>
      <c r="B30" s="54" t="s">
        <v>449</v>
      </c>
      <c r="C30" s="1093"/>
      <c r="D30" s="1094"/>
      <c r="E30" s="662">
        <f>F30+G30</f>
        <v>0</v>
      </c>
      <c r="F30" s="663">
        <v>0</v>
      </c>
      <c r="G30" s="663">
        <v>0</v>
      </c>
      <c r="H30" s="663"/>
      <c r="I30" s="663"/>
      <c r="J30" s="663"/>
      <c r="K30" s="663"/>
      <c r="L30" s="663"/>
      <c r="M30" s="663"/>
      <c r="N30" s="663"/>
      <c r="O30" s="663"/>
      <c r="P30" s="663"/>
      <c r="Q30" s="707"/>
    </row>
    <row r="31" spans="1:17" ht="11.25" customHeight="1" hidden="1">
      <c r="A31" s="1135"/>
      <c r="B31" s="54" t="s">
        <v>451</v>
      </c>
      <c r="C31" s="1093"/>
      <c r="D31" s="1094"/>
      <c r="E31" s="662">
        <f>F31+G31</f>
        <v>80000</v>
      </c>
      <c r="F31" s="663">
        <v>12000</v>
      </c>
      <c r="G31" s="663">
        <v>68000</v>
      </c>
      <c r="H31" s="663"/>
      <c r="I31" s="663"/>
      <c r="J31" s="663"/>
      <c r="K31" s="663"/>
      <c r="L31" s="663"/>
      <c r="M31" s="663"/>
      <c r="N31" s="663"/>
      <c r="O31" s="663"/>
      <c r="P31" s="663"/>
      <c r="Q31" s="707"/>
    </row>
    <row r="32" spans="1:17" ht="11.25" customHeight="1" hidden="1" thickBot="1">
      <c r="A32" s="1136"/>
      <c r="B32" s="657" t="s">
        <v>551</v>
      </c>
      <c r="C32" s="1095"/>
      <c r="D32" s="1096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708"/>
    </row>
    <row r="33" spans="1:17" ht="11.25" customHeight="1" hidden="1">
      <c r="A33" s="1071" t="s">
        <v>504</v>
      </c>
      <c r="B33" s="659" t="s">
        <v>498</v>
      </c>
      <c r="C33" s="775" t="s">
        <v>147</v>
      </c>
      <c r="D33" s="673"/>
      <c r="E33" s="673"/>
      <c r="F33" s="673"/>
      <c r="G33" s="673"/>
      <c r="H33" s="673"/>
      <c r="I33" s="673"/>
      <c r="J33" s="673"/>
      <c r="K33" s="673"/>
      <c r="L33" s="673"/>
      <c r="M33" s="673"/>
      <c r="N33" s="673"/>
      <c r="O33" s="673"/>
      <c r="P33" s="673"/>
      <c r="Q33" s="676"/>
    </row>
    <row r="34" spans="1:17" ht="11.25" customHeight="1" hidden="1">
      <c r="A34" s="1072"/>
      <c r="B34" s="54" t="s">
        <v>499</v>
      </c>
      <c r="C34" s="651" t="s">
        <v>140</v>
      </c>
      <c r="D34" s="675"/>
      <c r="E34" s="675"/>
      <c r="F34" s="675"/>
      <c r="G34" s="675"/>
      <c r="H34" s="675"/>
      <c r="I34" s="675"/>
      <c r="J34" s="675"/>
      <c r="K34" s="675"/>
      <c r="L34" s="675"/>
      <c r="M34" s="675"/>
      <c r="N34" s="675"/>
      <c r="O34" s="675"/>
      <c r="P34" s="675"/>
      <c r="Q34" s="678"/>
    </row>
    <row r="35" spans="1:17" ht="11.25" customHeight="1" hidden="1">
      <c r="A35" s="1072"/>
      <c r="B35" s="54" t="s">
        <v>500</v>
      </c>
      <c r="C35" s="651" t="s">
        <v>141</v>
      </c>
      <c r="D35" s="675"/>
      <c r="E35" s="675"/>
      <c r="F35" s="675"/>
      <c r="G35" s="675"/>
      <c r="H35" s="675"/>
      <c r="I35" s="675"/>
      <c r="J35" s="675"/>
      <c r="K35" s="675"/>
      <c r="L35" s="675"/>
      <c r="M35" s="675"/>
      <c r="N35" s="675"/>
      <c r="O35" s="675"/>
      <c r="P35" s="675"/>
      <c r="Q35" s="678"/>
    </row>
    <row r="36" spans="1:17" ht="11.25" customHeight="1" hidden="1">
      <c r="A36" s="1072"/>
      <c r="B36" s="682" t="s">
        <v>501</v>
      </c>
      <c r="C36" s="1103" t="s">
        <v>146</v>
      </c>
      <c r="D36" s="1104"/>
      <c r="E36" s="1104"/>
      <c r="F36" s="1104"/>
      <c r="G36" s="1104"/>
      <c r="H36" s="1104"/>
      <c r="I36" s="1104"/>
      <c r="J36" s="1104"/>
      <c r="K36" s="1104"/>
      <c r="L36" s="1104"/>
      <c r="M36" s="1104"/>
      <c r="N36" s="1104"/>
      <c r="O36" s="1104"/>
      <c r="P36" s="1104"/>
      <c r="Q36" s="1105"/>
    </row>
    <row r="37" spans="1:17" ht="11.25" customHeight="1" hidden="1">
      <c r="A37" s="1072"/>
      <c r="B37" s="55" t="s">
        <v>502</v>
      </c>
      <c r="C37" s="671"/>
      <c r="D37" s="925">
        <v>60014</v>
      </c>
      <c r="E37" s="664">
        <f>F37+G37</f>
        <v>3080000</v>
      </c>
      <c r="F37" s="664">
        <v>462000</v>
      </c>
      <c r="G37" s="664">
        <v>2618000</v>
      </c>
      <c r="H37" s="664">
        <f aca="true" t="shared" si="3" ref="H37:Q37">H38</f>
        <v>0</v>
      </c>
      <c r="I37" s="664">
        <f t="shared" si="3"/>
        <v>0</v>
      </c>
      <c r="J37" s="664">
        <f t="shared" si="3"/>
        <v>0</v>
      </c>
      <c r="K37" s="664">
        <f t="shared" si="3"/>
        <v>0</v>
      </c>
      <c r="L37" s="664">
        <f t="shared" si="3"/>
        <v>0</v>
      </c>
      <c r="M37" s="664">
        <f t="shared" si="3"/>
        <v>0</v>
      </c>
      <c r="N37" s="664">
        <f t="shared" si="3"/>
        <v>0</v>
      </c>
      <c r="O37" s="664">
        <f t="shared" si="3"/>
        <v>0</v>
      </c>
      <c r="P37" s="664">
        <f t="shared" si="3"/>
        <v>0</v>
      </c>
      <c r="Q37" s="705">
        <f t="shared" si="3"/>
        <v>0</v>
      </c>
    </row>
    <row r="38" spans="1:17" ht="11.25" customHeight="1" hidden="1">
      <c r="A38" s="1072"/>
      <c r="B38" s="659" t="s">
        <v>550</v>
      </c>
      <c r="C38" s="1086">
        <v>23</v>
      </c>
      <c r="D38" s="1092"/>
      <c r="E38" s="784">
        <f>F38+G38</f>
        <v>0</v>
      </c>
      <c r="F38" s="784">
        <v>0</v>
      </c>
      <c r="G38" s="784">
        <v>0</v>
      </c>
      <c r="H38" s="784">
        <v>0</v>
      </c>
      <c r="I38" s="784">
        <v>0</v>
      </c>
      <c r="J38" s="784"/>
      <c r="K38" s="784"/>
      <c r="L38" s="784"/>
      <c r="M38" s="784">
        <v>0</v>
      </c>
      <c r="N38" s="784"/>
      <c r="O38" s="784"/>
      <c r="P38" s="784"/>
      <c r="Q38" s="785"/>
    </row>
    <row r="39" spans="1:17" ht="11.25" customHeight="1" hidden="1">
      <c r="A39" s="1072"/>
      <c r="B39" s="54" t="s">
        <v>449</v>
      </c>
      <c r="C39" s="1093"/>
      <c r="D39" s="1094"/>
      <c r="E39" s="786">
        <f>F39+G39</f>
        <v>80000</v>
      </c>
      <c r="F39" s="786">
        <v>12000</v>
      </c>
      <c r="G39" s="786">
        <v>68000</v>
      </c>
      <c r="H39" s="786"/>
      <c r="I39" s="786"/>
      <c r="J39" s="786"/>
      <c r="K39" s="786"/>
      <c r="L39" s="786"/>
      <c r="M39" s="786"/>
      <c r="N39" s="786"/>
      <c r="O39" s="786"/>
      <c r="P39" s="786"/>
      <c r="Q39" s="787"/>
    </row>
    <row r="40" spans="1:17" ht="11.25" customHeight="1" hidden="1">
      <c r="A40" s="1072"/>
      <c r="B40" s="54" t="s">
        <v>451</v>
      </c>
      <c r="C40" s="1093"/>
      <c r="D40" s="1094"/>
      <c r="E40" s="786">
        <f>F40+G40</f>
        <v>1000000</v>
      </c>
      <c r="F40" s="786">
        <v>150000</v>
      </c>
      <c r="G40" s="786">
        <v>850000</v>
      </c>
      <c r="H40" s="786"/>
      <c r="I40" s="786"/>
      <c r="J40" s="786"/>
      <c r="K40" s="786"/>
      <c r="L40" s="786"/>
      <c r="M40" s="786"/>
      <c r="N40" s="786"/>
      <c r="O40" s="786"/>
      <c r="P40" s="786"/>
      <c r="Q40" s="787"/>
    </row>
    <row r="41" spans="1:17" ht="11.25" customHeight="1" hidden="1" thickBot="1">
      <c r="A41" s="1073"/>
      <c r="B41" s="657" t="s">
        <v>551</v>
      </c>
      <c r="C41" s="1095"/>
      <c r="D41" s="1096"/>
      <c r="E41" s="788"/>
      <c r="F41" s="788"/>
      <c r="G41" s="788"/>
      <c r="H41" s="788"/>
      <c r="I41" s="788"/>
      <c r="J41" s="788"/>
      <c r="K41" s="788"/>
      <c r="L41" s="788"/>
      <c r="M41" s="788"/>
      <c r="N41" s="788"/>
      <c r="O41" s="788"/>
      <c r="P41" s="788"/>
      <c r="Q41" s="789"/>
    </row>
    <row r="42" spans="1:17" ht="11.25" customHeight="1" hidden="1">
      <c r="A42" s="1071" t="s">
        <v>119</v>
      </c>
      <c r="B42" s="659" t="s">
        <v>498</v>
      </c>
      <c r="C42" s="775" t="s">
        <v>154</v>
      </c>
      <c r="D42" s="673"/>
      <c r="E42" s="673"/>
      <c r="F42" s="673"/>
      <c r="G42" s="673"/>
      <c r="H42" s="673"/>
      <c r="I42" s="673"/>
      <c r="J42" s="673"/>
      <c r="K42" s="673"/>
      <c r="L42" s="673"/>
      <c r="M42" s="673"/>
      <c r="N42" s="673"/>
      <c r="O42" s="673"/>
      <c r="P42" s="673"/>
      <c r="Q42" s="676"/>
    </row>
    <row r="43" spans="1:17" ht="11.25" customHeight="1" hidden="1">
      <c r="A43" s="1072"/>
      <c r="B43" s="54" t="s">
        <v>499</v>
      </c>
      <c r="C43" s="651" t="s">
        <v>140</v>
      </c>
      <c r="D43" s="675"/>
      <c r="E43" s="675"/>
      <c r="F43" s="675"/>
      <c r="G43" s="675"/>
      <c r="H43" s="675"/>
      <c r="I43" s="675"/>
      <c r="J43" s="675"/>
      <c r="K43" s="675"/>
      <c r="L43" s="675"/>
      <c r="M43" s="675"/>
      <c r="N43" s="675"/>
      <c r="O43" s="675"/>
      <c r="P43" s="675"/>
      <c r="Q43" s="678"/>
    </row>
    <row r="44" spans="1:17" ht="11.25" customHeight="1" hidden="1">
      <c r="A44" s="1072"/>
      <c r="B44" s="54" t="s">
        <v>500</v>
      </c>
      <c r="C44" s="651" t="s">
        <v>141</v>
      </c>
      <c r="D44" s="675"/>
      <c r="E44" s="675"/>
      <c r="F44" s="675"/>
      <c r="G44" s="675"/>
      <c r="H44" s="675"/>
      <c r="I44" s="675"/>
      <c r="J44" s="675"/>
      <c r="K44" s="675"/>
      <c r="L44" s="675"/>
      <c r="M44" s="675"/>
      <c r="N44" s="675"/>
      <c r="O44" s="675"/>
      <c r="P44" s="675"/>
      <c r="Q44" s="678"/>
    </row>
    <row r="45" spans="1:17" ht="11.25" customHeight="1" hidden="1">
      <c r="A45" s="1072"/>
      <c r="B45" s="54" t="s">
        <v>501</v>
      </c>
      <c r="C45" s="1106" t="s">
        <v>123</v>
      </c>
      <c r="D45" s="1107"/>
      <c r="E45" s="1107"/>
      <c r="F45" s="1107"/>
      <c r="G45" s="1107"/>
      <c r="H45" s="1107"/>
      <c r="I45" s="1107"/>
      <c r="J45" s="1107"/>
      <c r="K45" s="1107"/>
      <c r="L45" s="1107"/>
      <c r="M45" s="1107"/>
      <c r="N45" s="1107"/>
      <c r="O45" s="1107"/>
      <c r="P45" s="1107"/>
      <c r="Q45" s="1108"/>
    </row>
    <row r="46" spans="1:17" ht="11.25" customHeight="1" hidden="1">
      <c r="A46" s="1072"/>
      <c r="B46" s="55" t="s">
        <v>502</v>
      </c>
      <c r="C46" s="671"/>
      <c r="D46" s="926">
        <v>60014</v>
      </c>
      <c r="E46" s="664">
        <f>F46+G46</f>
        <v>3470000</v>
      </c>
      <c r="F46" s="664">
        <v>580000</v>
      </c>
      <c r="G46" s="664">
        <v>2890000</v>
      </c>
      <c r="H46" s="664">
        <f aca="true" t="shared" si="4" ref="H46:Q46">H47</f>
        <v>70000</v>
      </c>
      <c r="I46" s="664">
        <f t="shared" si="4"/>
        <v>70000</v>
      </c>
      <c r="J46" s="664">
        <f t="shared" si="4"/>
        <v>0</v>
      </c>
      <c r="K46" s="664">
        <f t="shared" si="4"/>
        <v>0</v>
      </c>
      <c r="L46" s="664">
        <f t="shared" si="4"/>
        <v>70000</v>
      </c>
      <c r="M46" s="664">
        <f t="shared" si="4"/>
        <v>0</v>
      </c>
      <c r="N46" s="664">
        <f t="shared" si="4"/>
        <v>0</v>
      </c>
      <c r="O46" s="664">
        <f t="shared" si="4"/>
        <v>0</v>
      </c>
      <c r="P46" s="664">
        <f t="shared" si="4"/>
        <v>0</v>
      </c>
      <c r="Q46" s="705">
        <f t="shared" si="4"/>
        <v>0</v>
      </c>
    </row>
    <row r="47" spans="1:17" ht="11.25" customHeight="1" hidden="1">
      <c r="A47" s="1072"/>
      <c r="B47" s="659" t="s">
        <v>550</v>
      </c>
      <c r="C47" s="1086">
        <v>23</v>
      </c>
      <c r="D47" s="1087"/>
      <c r="E47" s="780">
        <f>F47+G47</f>
        <v>70000</v>
      </c>
      <c r="F47" s="780">
        <v>70000</v>
      </c>
      <c r="G47" s="780">
        <v>0</v>
      </c>
      <c r="H47" s="780">
        <f>I47+M47</f>
        <v>70000</v>
      </c>
      <c r="I47" s="780">
        <f>SUM(J47:L47)</f>
        <v>70000</v>
      </c>
      <c r="J47" s="780"/>
      <c r="K47" s="780"/>
      <c r="L47" s="780">
        <v>70000</v>
      </c>
      <c r="M47" s="780">
        <f>SUM(N47:Q47)</f>
        <v>0</v>
      </c>
      <c r="N47" s="780">
        <v>0</v>
      </c>
      <c r="O47" s="780">
        <v>0</v>
      </c>
      <c r="P47" s="780">
        <v>0</v>
      </c>
      <c r="Q47" s="781">
        <v>0</v>
      </c>
    </row>
    <row r="48" spans="1:17" ht="11.25" customHeight="1" hidden="1">
      <c r="A48" s="1072"/>
      <c r="B48" s="54" t="s">
        <v>449</v>
      </c>
      <c r="C48" s="1088"/>
      <c r="D48" s="1089"/>
      <c r="E48" s="786">
        <f>F48+G48</f>
        <v>0</v>
      </c>
      <c r="F48" s="786">
        <v>0</v>
      </c>
      <c r="G48" s="786">
        <v>0</v>
      </c>
      <c r="H48" s="786">
        <f>I48+M48</f>
        <v>0</v>
      </c>
      <c r="I48" s="786">
        <f>SUM(J48:L48)</f>
        <v>0</v>
      </c>
      <c r="J48" s="786"/>
      <c r="K48" s="786"/>
      <c r="L48" s="786"/>
      <c r="M48" s="786">
        <f>SUM(N48:Q48)</f>
        <v>0</v>
      </c>
      <c r="N48" s="786"/>
      <c r="O48" s="786"/>
      <c r="P48" s="786"/>
      <c r="Q48" s="787"/>
    </row>
    <row r="49" spans="1:17" ht="11.25" customHeight="1" hidden="1">
      <c r="A49" s="1072"/>
      <c r="B49" s="54" t="s">
        <v>451</v>
      </c>
      <c r="C49" s="1088"/>
      <c r="D49" s="1089"/>
      <c r="E49" s="786">
        <f>F49+G49</f>
        <v>1000000</v>
      </c>
      <c r="F49" s="786">
        <v>150000</v>
      </c>
      <c r="G49" s="786">
        <v>850000</v>
      </c>
      <c r="H49" s="786">
        <f>I49+M49</f>
        <v>0</v>
      </c>
      <c r="I49" s="786">
        <f>SUM(J49:L49)</f>
        <v>0</v>
      </c>
      <c r="J49" s="786"/>
      <c r="K49" s="786"/>
      <c r="L49" s="786"/>
      <c r="M49" s="786">
        <f>SUM(N49:Q49)</f>
        <v>0</v>
      </c>
      <c r="N49" s="786"/>
      <c r="O49" s="786"/>
      <c r="P49" s="786"/>
      <c r="Q49" s="787"/>
    </row>
    <row r="50" spans="1:17" ht="11.25" customHeight="1" hidden="1" thickBot="1">
      <c r="A50" s="1073"/>
      <c r="B50" s="657" t="s">
        <v>551</v>
      </c>
      <c r="C50" s="1090"/>
      <c r="D50" s="1091"/>
      <c r="E50" s="788"/>
      <c r="F50" s="788"/>
      <c r="G50" s="788"/>
      <c r="H50" s="788"/>
      <c r="I50" s="788"/>
      <c r="J50" s="788"/>
      <c r="K50" s="788"/>
      <c r="L50" s="788"/>
      <c r="M50" s="788"/>
      <c r="N50" s="788"/>
      <c r="O50" s="788"/>
      <c r="P50" s="788"/>
      <c r="Q50" s="789"/>
    </row>
    <row r="51" spans="1:17" ht="11.25" customHeight="1" hidden="1">
      <c r="A51" s="1071" t="s">
        <v>120</v>
      </c>
      <c r="B51" s="659" t="s">
        <v>498</v>
      </c>
      <c r="C51" s="775" t="s">
        <v>4</v>
      </c>
      <c r="D51" s="673"/>
      <c r="E51" s="673"/>
      <c r="F51" s="673"/>
      <c r="G51" s="673"/>
      <c r="H51" s="673"/>
      <c r="I51" s="673"/>
      <c r="J51" s="673"/>
      <c r="K51" s="673"/>
      <c r="L51" s="673"/>
      <c r="M51" s="673"/>
      <c r="N51" s="673"/>
      <c r="O51" s="673"/>
      <c r="P51" s="673"/>
      <c r="Q51" s="676"/>
    </row>
    <row r="52" spans="1:17" ht="11.25" customHeight="1" hidden="1">
      <c r="A52" s="1072"/>
      <c r="B52" s="54" t="s">
        <v>499</v>
      </c>
      <c r="C52" s="651" t="s">
        <v>140</v>
      </c>
      <c r="D52" s="675"/>
      <c r="E52" s="675"/>
      <c r="F52" s="675"/>
      <c r="G52" s="675"/>
      <c r="H52" s="675"/>
      <c r="I52" s="675"/>
      <c r="J52" s="675"/>
      <c r="K52" s="675"/>
      <c r="L52" s="675"/>
      <c r="M52" s="675"/>
      <c r="N52" s="675"/>
      <c r="O52" s="675"/>
      <c r="P52" s="675"/>
      <c r="Q52" s="678"/>
    </row>
    <row r="53" spans="1:17" ht="11.25" customHeight="1" hidden="1">
      <c r="A53" s="1072"/>
      <c r="B53" s="54" t="s">
        <v>500</v>
      </c>
      <c r="C53" s="651" t="s">
        <v>141</v>
      </c>
      <c r="D53" s="675"/>
      <c r="E53" s="675"/>
      <c r="F53" s="675"/>
      <c r="G53" s="675"/>
      <c r="H53" s="675"/>
      <c r="I53" s="675"/>
      <c r="J53" s="675"/>
      <c r="K53" s="675"/>
      <c r="L53" s="675"/>
      <c r="M53" s="675"/>
      <c r="N53" s="675"/>
      <c r="O53" s="675"/>
      <c r="P53" s="675"/>
      <c r="Q53" s="678"/>
    </row>
    <row r="54" spans="1:17" ht="11.25" customHeight="1" hidden="1">
      <c r="A54" s="1072"/>
      <c r="B54" s="54" t="s">
        <v>501</v>
      </c>
      <c r="C54" s="1103" t="s">
        <v>149</v>
      </c>
      <c r="D54" s="1104"/>
      <c r="E54" s="1104"/>
      <c r="F54" s="1104"/>
      <c r="G54" s="1104"/>
      <c r="H54" s="1104"/>
      <c r="I54" s="1104"/>
      <c r="J54" s="1104"/>
      <c r="K54" s="1104"/>
      <c r="L54" s="1104"/>
      <c r="M54" s="1104"/>
      <c r="N54" s="1104"/>
      <c r="O54" s="1104"/>
      <c r="P54" s="1104"/>
      <c r="Q54" s="1105"/>
    </row>
    <row r="55" spans="1:17" ht="11.25" customHeight="1" hidden="1">
      <c r="A55" s="1072"/>
      <c r="B55" s="55" t="s">
        <v>502</v>
      </c>
      <c r="C55" s="671"/>
      <c r="D55" s="925">
        <v>60014</v>
      </c>
      <c r="E55" s="664">
        <f>F55+G55</f>
        <v>3700000</v>
      </c>
      <c r="F55" s="664">
        <v>609000</v>
      </c>
      <c r="G55" s="664">
        <v>3091000</v>
      </c>
      <c r="H55" s="664">
        <f aca="true" t="shared" si="5" ref="H55:Q55">H56</f>
        <v>0</v>
      </c>
      <c r="I55" s="664">
        <f t="shared" si="5"/>
        <v>0</v>
      </c>
      <c r="J55" s="664">
        <f t="shared" si="5"/>
        <v>0</v>
      </c>
      <c r="K55" s="664">
        <f t="shared" si="5"/>
        <v>0</v>
      </c>
      <c r="L55" s="664">
        <f t="shared" si="5"/>
        <v>0</v>
      </c>
      <c r="M55" s="664">
        <f t="shared" si="5"/>
        <v>0</v>
      </c>
      <c r="N55" s="664">
        <f t="shared" si="5"/>
        <v>0</v>
      </c>
      <c r="O55" s="664">
        <f t="shared" si="5"/>
        <v>0</v>
      </c>
      <c r="P55" s="664">
        <f t="shared" si="5"/>
        <v>0</v>
      </c>
      <c r="Q55" s="705">
        <f t="shared" si="5"/>
        <v>0</v>
      </c>
    </row>
    <row r="56" spans="1:17" ht="11.25" customHeight="1" hidden="1">
      <c r="A56" s="1072"/>
      <c r="B56" s="659" t="s">
        <v>550</v>
      </c>
      <c r="C56" s="1086">
        <v>23</v>
      </c>
      <c r="D56" s="1092"/>
      <c r="E56" s="790">
        <f>F56+G56</f>
        <v>0</v>
      </c>
      <c r="F56" s="784">
        <v>0</v>
      </c>
      <c r="G56" s="784">
        <v>0</v>
      </c>
      <c r="H56" s="784">
        <f>I56+M56</f>
        <v>0</v>
      </c>
      <c r="I56" s="784">
        <v>0</v>
      </c>
      <c r="J56" s="784"/>
      <c r="K56" s="784"/>
      <c r="L56" s="784"/>
      <c r="M56" s="784">
        <v>0</v>
      </c>
      <c r="N56" s="784"/>
      <c r="O56" s="784"/>
      <c r="P56" s="784"/>
      <c r="Q56" s="785"/>
    </row>
    <row r="57" spans="1:17" ht="11.25" customHeight="1" hidden="1">
      <c r="A57" s="1072"/>
      <c r="B57" s="54" t="s">
        <v>449</v>
      </c>
      <c r="C57" s="1093"/>
      <c r="D57" s="1094"/>
      <c r="E57" s="791">
        <f>F57+G57</f>
        <v>0</v>
      </c>
      <c r="F57" s="786">
        <v>0</v>
      </c>
      <c r="G57" s="786">
        <v>0</v>
      </c>
      <c r="H57" s="786"/>
      <c r="I57" s="786"/>
      <c r="J57" s="786"/>
      <c r="K57" s="786"/>
      <c r="L57" s="786"/>
      <c r="M57" s="786"/>
      <c r="N57" s="786"/>
      <c r="O57" s="786"/>
      <c r="P57" s="786"/>
      <c r="Q57" s="787"/>
    </row>
    <row r="58" spans="1:17" ht="11.25" customHeight="1" hidden="1">
      <c r="A58" s="1072"/>
      <c r="B58" s="54" t="s">
        <v>451</v>
      </c>
      <c r="C58" s="1093"/>
      <c r="D58" s="1094"/>
      <c r="E58" s="791">
        <f>F58+G58</f>
        <v>64000</v>
      </c>
      <c r="F58" s="786">
        <v>64000</v>
      </c>
      <c r="G58" s="786">
        <v>0</v>
      </c>
      <c r="H58" s="786"/>
      <c r="I58" s="786"/>
      <c r="J58" s="786"/>
      <c r="K58" s="786"/>
      <c r="L58" s="786"/>
      <c r="M58" s="786"/>
      <c r="N58" s="786"/>
      <c r="O58" s="786"/>
      <c r="P58" s="786"/>
      <c r="Q58" s="787"/>
    </row>
    <row r="59" spans="1:17" ht="11.25" customHeight="1" hidden="1" thickBot="1">
      <c r="A59" s="1073"/>
      <c r="B59" s="657" t="s">
        <v>551</v>
      </c>
      <c r="C59" s="1095"/>
      <c r="D59" s="1096"/>
      <c r="E59" s="792"/>
      <c r="F59" s="788"/>
      <c r="G59" s="788"/>
      <c r="H59" s="788"/>
      <c r="I59" s="788"/>
      <c r="J59" s="788"/>
      <c r="K59" s="788"/>
      <c r="L59" s="788"/>
      <c r="M59" s="788"/>
      <c r="N59" s="788"/>
      <c r="O59" s="788"/>
      <c r="P59" s="788"/>
      <c r="Q59" s="789"/>
    </row>
    <row r="60" spans="1:17" ht="11.25" customHeight="1" hidden="1">
      <c r="A60" s="1071" t="s">
        <v>121</v>
      </c>
      <c r="B60" s="659" t="s">
        <v>498</v>
      </c>
      <c r="C60" s="775" t="s">
        <v>150</v>
      </c>
      <c r="D60" s="673"/>
      <c r="E60" s="673"/>
      <c r="F60" s="673"/>
      <c r="G60" s="673"/>
      <c r="H60" s="673"/>
      <c r="I60" s="673"/>
      <c r="J60" s="673"/>
      <c r="K60" s="673"/>
      <c r="L60" s="673"/>
      <c r="M60" s="673"/>
      <c r="N60" s="673"/>
      <c r="O60" s="673"/>
      <c r="P60" s="673"/>
      <c r="Q60" s="676"/>
    </row>
    <row r="61" spans="1:17" ht="11.25" customHeight="1" hidden="1">
      <c r="A61" s="1072"/>
      <c r="B61" s="54" t="s">
        <v>499</v>
      </c>
      <c r="C61" s="651" t="s">
        <v>151</v>
      </c>
      <c r="D61" s="675"/>
      <c r="E61" s="675"/>
      <c r="F61" s="675"/>
      <c r="G61" s="675"/>
      <c r="H61" s="675"/>
      <c r="I61" s="675"/>
      <c r="J61" s="675"/>
      <c r="K61" s="675"/>
      <c r="L61" s="675"/>
      <c r="M61" s="675"/>
      <c r="N61" s="675"/>
      <c r="O61" s="675"/>
      <c r="P61" s="675"/>
      <c r="Q61" s="678"/>
    </row>
    <row r="62" spans="1:17" ht="11.25" customHeight="1" hidden="1">
      <c r="A62" s="1072"/>
      <c r="B62" s="54" t="s">
        <v>500</v>
      </c>
      <c r="C62" s="651" t="s">
        <v>152</v>
      </c>
      <c r="D62" s="675"/>
      <c r="E62" s="675"/>
      <c r="F62" s="675"/>
      <c r="G62" s="675"/>
      <c r="H62" s="675"/>
      <c r="I62" s="675"/>
      <c r="J62" s="675"/>
      <c r="K62" s="675"/>
      <c r="L62" s="675"/>
      <c r="M62" s="675"/>
      <c r="N62" s="675"/>
      <c r="O62" s="675"/>
      <c r="P62" s="675"/>
      <c r="Q62" s="678"/>
    </row>
    <row r="63" spans="1:17" ht="11.25" customHeight="1" hidden="1">
      <c r="A63" s="1072"/>
      <c r="B63" s="54" t="s">
        <v>501</v>
      </c>
      <c r="C63" s="679" t="s">
        <v>124</v>
      </c>
      <c r="D63" s="680"/>
      <c r="E63" s="680"/>
      <c r="F63" s="680"/>
      <c r="G63" s="680"/>
      <c r="H63" s="680"/>
      <c r="I63" s="680"/>
      <c r="J63" s="680"/>
      <c r="K63" s="680"/>
      <c r="L63" s="680"/>
      <c r="M63" s="680"/>
      <c r="N63" s="680"/>
      <c r="O63" s="680"/>
      <c r="P63" s="680"/>
      <c r="Q63" s="681"/>
    </row>
    <row r="64" spans="1:17" ht="11.25" customHeight="1" hidden="1">
      <c r="A64" s="1072"/>
      <c r="B64" s="55" t="s">
        <v>502</v>
      </c>
      <c r="C64" s="672"/>
      <c r="D64" s="927">
        <v>60014</v>
      </c>
      <c r="E64" s="782">
        <f>F64+G64</f>
        <v>1200000</v>
      </c>
      <c r="F64" s="782">
        <v>180000</v>
      </c>
      <c r="G64" s="782">
        <v>1020000</v>
      </c>
      <c r="H64" s="782">
        <f aca="true" t="shared" si="6" ref="H64:Q64">H65</f>
        <v>0</v>
      </c>
      <c r="I64" s="782">
        <f t="shared" si="6"/>
        <v>0</v>
      </c>
      <c r="J64" s="782">
        <f t="shared" si="6"/>
        <v>0</v>
      </c>
      <c r="K64" s="782">
        <f t="shared" si="6"/>
        <v>0</v>
      </c>
      <c r="L64" s="782">
        <f t="shared" si="6"/>
        <v>0</v>
      </c>
      <c r="M64" s="782">
        <f t="shared" si="6"/>
        <v>0</v>
      </c>
      <c r="N64" s="782">
        <f t="shared" si="6"/>
        <v>0</v>
      </c>
      <c r="O64" s="782">
        <f t="shared" si="6"/>
        <v>0</v>
      </c>
      <c r="P64" s="782">
        <f t="shared" si="6"/>
        <v>0</v>
      </c>
      <c r="Q64" s="783">
        <f t="shared" si="6"/>
        <v>0</v>
      </c>
    </row>
    <row r="65" spans="1:17" ht="11.25" customHeight="1" hidden="1">
      <c r="A65" s="1072"/>
      <c r="B65" s="659" t="s">
        <v>550</v>
      </c>
      <c r="C65" s="1086">
        <v>58</v>
      </c>
      <c r="D65" s="1087"/>
      <c r="E65" s="790">
        <f>F65+G65</f>
        <v>0</v>
      </c>
      <c r="F65" s="784">
        <v>0</v>
      </c>
      <c r="G65" s="784">
        <v>0</v>
      </c>
      <c r="H65" s="784">
        <f>I65+M65</f>
        <v>0</v>
      </c>
      <c r="I65" s="784">
        <v>0</v>
      </c>
      <c r="J65" s="784"/>
      <c r="K65" s="784"/>
      <c r="L65" s="784"/>
      <c r="M65" s="784">
        <v>0</v>
      </c>
      <c r="N65" s="784"/>
      <c r="O65" s="784"/>
      <c r="P65" s="784"/>
      <c r="Q65" s="785"/>
    </row>
    <row r="66" spans="1:17" ht="11.25" customHeight="1" hidden="1">
      <c r="A66" s="1072"/>
      <c r="B66" s="54" t="s">
        <v>449</v>
      </c>
      <c r="C66" s="1088"/>
      <c r="D66" s="1089"/>
      <c r="E66" s="791">
        <f>F66+G66</f>
        <v>0</v>
      </c>
      <c r="F66" s="786">
        <v>0</v>
      </c>
      <c r="G66" s="786">
        <v>0</v>
      </c>
      <c r="H66" s="786"/>
      <c r="I66" s="786"/>
      <c r="J66" s="786"/>
      <c r="K66" s="786"/>
      <c r="L66" s="786"/>
      <c r="M66" s="786"/>
      <c r="N66" s="786"/>
      <c r="O66" s="786"/>
      <c r="P66" s="786"/>
      <c r="Q66" s="787"/>
    </row>
    <row r="67" spans="1:17" ht="11.25" customHeight="1" hidden="1">
      <c r="A67" s="1072"/>
      <c r="B67" s="54" t="s">
        <v>451</v>
      </c>
      <c r="C67" s="1088"/>
      <c r="D67" s="1089"/>
      <c r="E67" s="791">
        <f>F67+G67</f>
        <v>300000</v>
      </c>
      <c r="F67" s="786">
        <v>45000</v>
      </c>
      <c r="G67" s="786">
        <v>255000</v>
      </c>
      <c r="H67" s="786"/>
      <c r="I67" s="786"/>
      <c r="J67" s="786"/>
      <c r="K67" s="786"/>
      <c r="L67" s="786"/>
      <c r="M67" s="786"/>
      <c r="N67" s="786"/>
      <c r="O67" s="786"/>
      <c r="P67" s="786"/>
      <c r="Q67" s="787"/>
    </row>
    <row r="68" spans="1:17" ht="11.25" customHeight="1" hidden="1" thickBot="1">
      <c r="A68" s="1073"/>
      <c r="B68" s="657" t="s">
        <v>551</v>
      </c>
      <c r="C68" s="1090"/>
      <c r="D68" s="1091"/>
      <c r="E68" s="792"/>
      <c r="F68" s="788"/>
      <c r="G68" s="788"/>
      <c r="H68" s="788"/>
      <c r="I68" s="788"/>
      <c r="J68" s="788"/>
      <c r="K68" s="788"/>
      <c r="L68" s="788"/>
      <c r="M68" s="788"/>
      <c r="N68" s="788"/>
      <c r="O68" s="788"/>
      <c r="P68" s="788"/>
      <c r="Q68" s="789"/>
    </row>
    <row r="69" spans="1:17" ht="11.25" customHeight="1" hidden="1">
      <c r="A69" s="1072" t="s">
        <v>122</v>
      </c>
      <c r="B69" s="659" t="s">
        <v>498</v>
      </c>
      <c r="C69" s="775" t="s">
        <v>139</v>
      </c>
      <c r="D69" s="673"/>
      <c r="E69" s="673"/>
      <c r="F69" s="673"/>
      <c r="G69" s="673"/>
      <c r="H69" s="673"/>
      <c r="I69" s="673"/>
      <c r="J69" s="673"/>
      <c r="K69" s="673"/>
      <c r="L69" s="673"/>
      <c r="M69" s="673"/>
      <c r="N69" s="673"/>
      <c r="O69" s="673"/>
      <c r="P69" s="673"/>
      <c r="Q69" s="676"/>
    </row>
    <row r="70" spans="1:17" ht="11.25" customHeight="1" hidden="1">
      <c r="A70" s="1072"/>
      <c r="B70" s="54" t="s">
        <v>499</v>
      </c>
      <c r="C70" s="651" t="s">
        <v>140</v>
      </c>
      <c r="D70" s="675"/>
      <c r="E70" s="675"/>
      <c r="F70" s="675"/>
      <c r="G70" s="675"/>
      <c r="H70" s="675"/>
      <c r="I70" s="675"/>
      <c r="J70" s="675"/>
      <c r="K70" s="675"/>
      <c r="L70" s="675"/>
      <c r="M70" s="675"/>
      <c r="N70" s="675"/>
      <c r="O70" s="675"/>
      <c r="P70" s="675"/>
      <c r="Q70" s="678"/>
    </row>
    <row r="71" spans="1:17" ht="11.25" customHeight="1" hidden="1">
      <c r="A71" s="1072"/>
      <c r="B71" s="54" t="s">
        <v>500</v>
      </c>
      <c r="C71" s="651" t="s">
        <v>141</v>
      </c>
      <c r="D71" s="675"/>
      <c r="E71" s="675"/>
      <c r="F71" s="675"/>
      <c r="G71" s="675"/>
      <c r="H71" s="675"/>
      <c r="I71" s="675"/>
      <c r="J71" s="675"/>
      <c r="K71" s="675"/>
      <c r="L71" s="675"/>
      <c r="M71" s="675"/>
      <c r="N71" s="675"/>
      <c r="O71" s="675"/>
      <c r="P71" s="675"/>
      <c r="Q71" s="678"/>
    </row>
    <row r="72" spans="1:17" ht="11.25" customHeight="1" hidden="1">
      <c r="A72" s="1072"/>
      <c r="B72" s="54" t="s">
        <v>501</v>
      </c>
      <c r="C72" s="1109" t="s">
        <v>153</v>
      </c>
      <c r="D72" s="1101"/>
      <c r="E72" s="1101"/>
      <c r="F72" s="1101"/>
      <c r="G72" s="1101"/>
      <c r="H72" s="1101"/>
      <c r="I72" s="1101"/>
      <c r="J72" s="1101"/>
      <c r="K72" s="1101"/>
      <c r="L72" s="1101"/>
      <c r="M72" s="1101"/>
      <c r="N72" s="1101"/>
      <c r="O72" s="1101"/>
      <c r="P72" s="1101"/>
      <c r="Q72" s="1102"/>
    </row>
    <row r="73" spans="1:17" ht="11.25" customHeight="1" hidden="1">
      <c r="A73" s="1072"/>
      <c r="B73" s="55" t="s">
        <v>502</v>
      </c>
      <c r="C73" s="672"/>
      <c r="D73" s="928">
        <v>60014</v>
      </c>
      <c r="E73" s="782">
        <f>F73+G73</f>
        <v>14000000</v>
      </c>
      <c r="F73" s="782">
        <v>2100000</v>
      </c>
      <c r="G73" s="782">
        <v>11900000</v>
      </c>
      <c r="H73" s="782">
        <f aca="true" t="shared" si="7" ref="H73:Q73">H74</f>
        <v>45000</v>
      </c>
      <c r="I73" s="782">
        <f t="shared" si="7"/>
        <v>45000</v>
      </c>
      <c r="J73" s="782">
        <f t="shared" si="7"/>
        <v>0</v>
      </c>
      <c r="K73" s="782">
        <f t="shared" si="7"/>
        <v>0</v>
      </c>
      <c r="L73" s="782">
        <f t="shared" si="7"/>
        <v>45000</v>
      </c>
      <c r="M73" s="782">
        <f t="shared" si="7"/>
        <v>0</v>
      </c>
      <c r="N73" s="782">
        <f t="shared" si="7"/>
        <v>0</v>
      </c>
      <c r="O73" s="782">
        <f t="shared" si="7"/>
        <v>0</v>
      </c>
      <c r="P73" s="782">
        <f t="shared" si="7"/>
        <v>0</v>
      </c>
      <c r="Q73" s="783">
        <f t="shared" si="7"/>
        <v>0</v>
      </c>
    </row>
    <row r="74" spans="1:17" ht="11.25" customHeight="1" hidden="1">
      <c r="A74" s="1072"/>
      <c r="B74" s="659" t="s">
        <v>550</v>
      </c>
      <c r="C74" s="1086">
        <v>23</v>
      </c>
      <c r="D74" s="1087"/>
      <c r="E74" s="784">
        <f>F74+G74</f>
        <v>300000</v>
      </c>
      <c r="F74" s="784">
        <v>45000</v>
      </c>
      <c r="G74" s="784">
        <v>255000</v>
      </c>
      <c r="H74" s="784">
        <f>I74+M74</f>
        <v>45000</v>
      </c>
      <c r="I74" s="784">
        <f>SUM(J74:L74)</f>
        <v>45000</v>
      </c>
      <c r="J74" s="784"/>
      <c r="K74" s="784"/>
      <c r="L74" s="784">
        <v>45000</v>
      </c>
      <c r="M74" s="784">
        <f>SUM(N74:Q74)</f>
        <v>0</v>
      </c>
      <c r="N74" s="784"/>
      <c r="O74" s="784"/>
      <c r="P74" s="784"/>
      <c r="Q74" s="785"/>
    </row>
    <row r="75" spans="1:17" ht="11.25" customHeight="1" hidden="1">
      <c r="A75" s="1072"/>
      <c r="B75" s="54" t="s">
        <v>449</v>
      </c>
      <c r="C75" s="1088"/>
      <c r="D75" s="1089"/>
      <c r="E75" s="786">
        <f>F75+G75</f>
        <v>1000000</v>
      </c>
      <c r="F75" s="786">
        <v>150000</v>
      </c>
      <c r="G75" s="786">
        <v>850000</v>
      </c>
      <c r="H75" s="786"/>
      <c r="I75" s="786"/>
      <c r="J75" s="786"/>
      <c r="K75" s="786"/>
      <c r="L75" s="786"/>
      <c r="M75" s="786"/>
      <c r="N75" s="786"/>
      <c r="O75" s="786"/>
      <c r="P75" s="786"/>
      <c r="Q75" s="787"/>
    </row>
    <row r="76" spans="1:17" ht="11.25" customHeight="1" hidden="1">
      <c r="A76" s="1072"/>
      <c r="B76" s="54" t="s">
        <v>451</v>
      </c>
      <c r="C76" s="1088"/>
      <c r="D76" s="1089"/>
      <c r="E76" s="786">
        <f>F76+G76</f>
        <v>6350000</v>
      </c>
      <c r="F76" s="786">
        <v>952500</v>
      </c>
      <c r="G76" s="786">
        <v>5397500</v>
      </c>
      <c r="H76" s="786"/>
      <c r="I76" s="786"/>
      <c r="J76" s="786"/>
      <c r="K76" s="786"/>
      <c r="L76" s="786"/>
      <c r="M76" s="786"/>
      <c r="N76" s="786"/>
      <c r="O76" s="786"/>
      <c r="P76" s="786"/>
      <c r="Q76" s="787"/>
    </row>
    <row r="77" spans="1:17" ht="11.25" customHeight="1" hidden="1" thickBot="1">
      <c r="A77" s="1073"/>
      <c r="B77" s="657" t="s">
        <v>551</v>
      </c>
      <c r="C77" s="1090"/>
      <c r="D77" s="1091"/>
      <c r="E77" s="788"/>
      <c r="F77" s="788"/>
      <c r="G77" s="788"/>
      <c r="H77" s="788"/>
      <c r="I77" s="788"/>
      <c r="J77" s="788"/>
      <c r="K77" s="788"/>
      <c r="L77" s="788"/>
      <c r="M77" s="788"/>
      <c r="N77" s="788"/>
      <c r="O77" s="788"/>
      <c r="P77" s="788"/>
      <c r="Q77" s="789"/>
    </row>
    <row r="78" spans="1:17" ht="11.25" customHeight="1" hidden="1">
      <c r="A78" s="1071" t="s">
        <v>5</v>
      </c>
      <c r="B78" s="659" t="s">
        <v>498</v>
      </c>
      <c r="C78" s="775" t="s">
        <v>148</v>
      </c>
      <c r="D78" s="666"/>
      <c r="E78" s="666"/>
      <c r="F78" s="666"/>
      <c r="G78" s="666"/>
      <c r="H78" s="666"/>
      <c r="I78" s="666"/>
      <c r="J78" s="666"/>
      <c r="K78" s="666"/>
      <c r="L78" s="666"/>
      <c r="M78" s="666"/>
      <c r="N78" s="666"/>
      <c r="O78" s="666"/>
      <c r="P78" s="666"/>
      <c r="Q78" s="685"/>
    </row>
    <row r="79" spans="1:17" ht="11.25" customHeight="1" hidden="1">
      <c r="A79" s="1072"/>
      <c r="B79" s="54" t="s">
        <v>499</v>
      </c>
      <c r="C79" s="651" t="s">
        <v>140</v>
      </c>
      <c r="D79" s="666"/>
      <c r="E79" s="666"/>
      <c r="F79" s="666"/>
      <c r="G79" s="666"/>
      <c r="H79" s="666"/>
      <c r="I79" s="666"/>
      <c r="J79" s="666"/>
      <c r="K79" s="666"/>
      <c r="L79" s="666"/>
      <c r="M79" s="666"/>
      <c r="N79" s="666"/>
      <c r="O79" s="666"/>
      <c r="P79" s="666"/>
      <c r="Q79" s="685"/>
    </row>
    <row r="80" spans="1:17" ht="11.25" customHeight="1" hidden="1">
      <c r="A80" s="1072"/>
      <c r="B80" s="54" t="s">
        <v>500</v>
      </c>
      <c r="C80" s="651" t="s">
        <v>141</v>
      </c>
      <c r="D80" s="666"/>
      <c r="E80" s="666"/>
      <c r="F80" s="666"/>
      <c r="G80" s="666"/>
      <c r="H80" s="666"/>
      <c r="I80" s="666"/>
      <c r="J80" s="666"/>
      <c r="K80" s="666"/>
      <c r="L80" s="666"/>
      <c r="M80" s="666"/>
      <c r="N80" s="666"/>
      <c r="O80" s="666"/>
      <c r="P80" s="666"/>
      <c r="Q80" s="685"/>
    </row>
    <row r="81" spans="1:17" ht="11.25" customHeight="1" hidden="1">
      <c r="A81" s="1072"/>
      <c r="B81" s="54" t="s">
        <v>501</v>
      </c>
      <c r="C81" s="1097" t="s">
        <v>125</v>
      </c>
      <c r="D81" s="1098"/>
      <c r="E81" s="1098"/>
      <c r="F81" s="1098"/>
      <c r="G81" s="1098"/>
      <c r="H81" s="1098"/>
      <c r="I81" s="1098"/>
      <c r="J81" s="1098"/>
      <c r="K81" s="1098"/>
      <c r="L81" s="1098"/>
      <c r="M81" s="1098"/>
      <c r="N81" s="1098"/>
      <c r="O81" s="1098"/>
      <c r="P81" s="1098"/>
      <c r="Q81" s="1099"/>
    </row>
    <row r="82" spans="1:17" ht="11.25" customHeight="1" hidden="1">
      <c r="A82" s="1072"/>
      <c r="B82" s="55" t="s">
        <v>502</v>
      </c>
      <c r="C82" s="672"/>
      <c r="D82" s="928">
        <v>60014</v>
      </c>
      <c r="E82" s="782">
        <f>F82+G82</f>
        <v>1100000</v>
      </c>
      <c r="F82" s="782">
        <v>165000</v>
      </c>
      <c r="G82" s="782">
        <v>935000</v>
      </c>
      <c r="H82" s="782">
        <f aca="true" t="shared" si="8" ref="H82:Q82">H83</f>
        <v>15000</v>
      </c>
      <c r="I82" s="782">
        <f t="shared" si="8"/>
        <v>15000</v>
      </c>
      <c r="J82" s="782">
        <f t="shared" si="8"/>
        <v>0</v>
      </c>
      <c r="K82" s="782">
        <f t="shared" si="8"/>
        <v>0</v>
      </c>
      <c r="L82" s="782">
        <f t="shared" si="8"/>
        <v>15000</v>
      </c>
      <c r="M82" s="782">
        <f t="shared" si="8"/>
        <v>0</v>
      </c>
      <c r="N82" s="782">
        <f t="shared" si="8"/>
        <v>0</v>
      </c>
      <c r="O82" s="782">
        <f t="shared" si="8"/>
        <v>0</v>
      </c>
      <c r="P82" s="782">
        <f t="shared" si="8"/>
        <v>0</v>
      </c>
      <c r="Q82" s="783">
        <f t="shared" si="8"/>
        <v>0</v>
      </c>
    </row>
    <row r="83" spans="1:17" ht="11.25" customHeight="1" hidden="1">
      <c r="A83" s="1072"/>
      <c r="B83" s="659" t="s">
        <v>550</v>
      </c>
      <c r="C83" s="1086">
        <v>23</v>
      </c>
      <c r="D83" s="1087"/>
      <c r="E83" s="784">
        <f>F83+G83</f>
        <v>100000</v>
      </c>
      <c r="F83" s="784">
        <v>15000</v>
      </c>
      <c r="G83" s="784">
        <v>85000</v>
      </c>
      <c r="H83" s="784">
        <f>I83+M83</f>
        <v>15000</v>
      </c>
      <c r="I83" s="784">
        <f>SUM(J83:L83)</f>
        <v>15000</v>
      </c>
      <c r="J83" s="784"/>
      <c r="K83" s="784"/>
      <c r="L83" s="784">
        <v>15000</v>
      </c>
      <c r="M83" s="784">
        <f>SUM(N83:Q83)</f>
        <v>0</v>
      </c>
      <c r="N83" s="784"/>
      <c r="O83" s="784"/>
      <c r="P83" s="784"/>
      <c r="Q83" s="785"/>
    </row>
    <row r="84" spans="1:17" ht="11.25" customHeight="1" hidden="1">
      <c r="A84" s="1072"/>
      <c r="B84" s="54" t="s">
        <v>449</v>
      </c>
      <c r="C84" s="1088"/>
      <c r="D84" s="1089"/>
      <c r="E84" s="786">
        <f>F84+G84</f>
        <v>1000000</v>
      </c>
      <c r="F84" s="786">
        <v>150000</v>
      </c>
      <c r="G84" s="786">
        <v>850000</v>
      </c>
      <c r="H84" s="786"/>
      <c r="I84" s="786"/>
      <c r="J84" s="786"/>
      <c r="K84" s="786"/>
      <c r="L84" s="786"/>
      <c r="M84" s="786"/>
      <c r="N84" s="786"/>
      <c r="O84" s="786"/>
      <c r="P84" s="786"/>
      <c r="Q84" s="787"/>
    </row>
    <row r="85" spans="1:17" ht="11.25" customHeight="1" hidden="1">
      <c r="A85" s="1072"/>
      <c r="B85" s="54" t="s">
        <v>451</v>
      </c>
      <c r="C85" s="1088"/>
      <c r="D85" s="1089"/>
      <c r="E85" s="786">
        <f>F85+G85</f>
        <v>0</v>
      </c>
      <c r="F85" s="786">
        <v>0</v>
      </c>
      <c r="G85" s="786">
        <v>0</v>
      </c>
      <c r="H85" s="786"/>
      <c r="I85" s="786"/>
      <c r="J85" s="786"/>
      <c r="K85" s="786"/>
      <c r="L85" s="786"/>
      <c r="M85" s="786"/>
      <c r="N85" s="786"/>
      <c r="O85" s="786"/>
      <c r="P85" s="786"/>
      <c r="Q85" s="787"/>
    </row>
    <row r="86" spans="1:17" ht="11.25" customHeight="1" hidden="1" thickBot="1">
      <c r="A86" s="1073"/>
      <c r="B86" s="657" t="s">
        <v>551</v>
      </c>
      <c r="C86" s="1090"/>
      <c r="D86" s="1091"/>
      <c r="E86" s="788"/>
      <c r="F86" s="788"/>
      <c r="G86" s="788"/>
      <c r="H86" s="788"/>
      <c r="I86" s="788"/>
      <c r="J86" s="788"/>
      <c r="K86" s="788"/>
      <c r="L86" s="788"/>
      <c r="M86" s="788"/>
      <c r="N86" s="788"/>
      <c r="O86" s="788"/>
      <c r="P86" s="788"/>
      <c r="Q86" s="789"/>
    </row>
    <row r="87" spans="1:17" ht="11.25" customHeight="1" hidden="1">
      <c r="A87" s="1071" t="s">
        <v>6</v>
      </c>
      <c r="B87" s="659" t="s">
        <v>498</v>
      </c>
      <c r="C87" s="775" t="s">
        <v>155</v>
      </c>
      <c r="D87" s="683"/>
      <c r="E87" s="683"/>
      <c r="F87" s="683"/>
      <c r="G87" s="683"/>
      <c r="H87" s="683"/>
      <c r="I87" s="683"/>
      <c r="J87" s="683"/>
      <c r="K87" s="683"/>
      <c r="L87" s="683"/>
      <c r="M87" s="683"/>
      <c r="N87" s="683"/>
      <c r="O87" s="683"/>
      <c r="P87" s="683"/>
      <c r="Q87" s="684"/>
    </row>
    <row r="88" spans="1:17" ht="11.25" customHeight="1" hidden="1">
      <c r="A88" s="1072"/>
      <c r="B88" s="54" t="s">
        <v>499</v>
      </c>
      <c r="C88" s="651" t="s">
        <v>151</v>
      </c>
      <c r="D88" s="666"/>
      <c r="E88" s="666"/>
      <c r="F88" s="666"/>
      <c r="G88" s="666"/>
      <c r="H88" s="666"/>
      <c r="I88" s="666"/>
      <c r="J88" s="666"/>
      <c r="K88" s="666"/>
      <c r="L88" s="666"/>
      <c r="M88" s="666"/>
      <c r="N88" s="666"/>
      <c r="O88" s="666"/>
      <c r="P88" s="666"/>
      <c r="Q88" s="685"/>
    </row>
    <row r="89" spans="1:17" ht="11.25" customHeight="1" hidden="1">
      <c r="A89" s="1072"/>
      <c r="B89" s="54" t="s">
        <v>500</v>
      </c>
      <c r="C89" s="651" t="s">
        <v>152</v>
      </c>
      <c r="D89" s="666"/>
      <c r="E89" s="666"/>
      <c r="F89" s="666"/>
      <c r="G89" s="666"/>
      <c r="H89" s="666"/>
      <c r="I89" s="666"/>
      <c r="J89" s="666"/>
      <c r="K89" s="666"/>
      <c r="L89" s="666"/>
      <c r="M89" s="666"/>
      <c r="N89" s="666"/>
      <c r="O89" s="666"/>
      <c r="P89" s="666"/>
      <c r="Q89" s="685"/>
    </row>
    <row r="90" spans="1:17" ht="11.25" customHeight="1" hidden="1">
      <c r="A90" s="1072"/>
      <c r="B90" s="54" t="s">
        <v>501</v>
      </c>
      <c r="C90" s="1100" t="s">
        <v>128</v>
      </c>
      <c r="D90" s="1101"/>
      <c r="E90" s="1101"/>
      <c r="F90" s="1101"/>
      <c r="G90" s="1101"/>
      <c r="H90" s="1101"/>
      <c r="I90" s="1101"/>
      <c r="J90" s="1101"/>
      <c r="K90" s="1101"/>
      <c r="L90" s="1101"/>
      <c r="M90" s="1101"/>
      <c r="N90" s="1101"/>
      <c r="O90" s="1101"/>
      <c r="P90" s="1101"/>
      <c r="Q90" s="1102"/>
    </row>
    <row r="91" spans="1:17" ht="11.25" customHeight="1" hidden="1">
      <c r="A91" s="1072"/>
      <c r="B91" s="55" t="s">
        <v>502</v>
      </c>
      <c r="C91" s="672"/>
      <c r="D91" s="928">
        <v>80130</v>
      </c>
      <c r="E91" s="782">
        <f>F91+G91</f>
        <v>7700000</v>
      </c>
      <c r="F91" s="782">
        <v>1155000</v>
      </c>
      <c r="G91" s="782">
        <v>6545000</v>
      </c>
      <c r="H91" s="782">
        <f aca="true" t="shared" si="9" ref="H91:Q91">H92</f>
        <v>13500</v>
      </c>
      <c r="I91" s="782">
        <f t="shared" si="9"/>
        <v>13500</v>
      </c>
      <c r="J91" s="782">
        <f t="shared" si="9"/>
        <v>0</v>
      </c>
      <c r="K91" s="782">
        <f t="shared" si="9"/>
        <v>0</v>
      </c>
      <c r="L91" s="782">
        <f t="shared" si="9"/>
        <v>13500</v>
      </c>
      <c r="M91" s="782">
        <f t="shared" si="9"/>
        <v>0</v>
      </c>
      <c r="N91" s="782">
        <f t="shared" si="9"/>
        <v>0</v>
      </c>
      <c r="O91" s="782">
        <f t="shared" si="9"/>
        <v>0</v>
      </c>
      <c r="P91" s="782">
        <f t="shared" si="9"/>
        <v>0</v>
      </c>
      <c r="Q91" s="783">
        <f t="shared" si="9"/>
        <v>0</v>
      </c>
    </row>
    <row r="92" spans="1:17" ht="11.25" customHeight="1" hidden="1">
      <c r="A92" s="1072"/>
      <c r="B92" s="659" t="s">
        <v>550</v>
      </c>
      <c r="C92" s="1086">
        <v>58</v>
      </c>
      <c r="D92" s="1087"/>
      <c r="E92" s="784">
        <f>F92+G92</f>
        <v>90000</v>
      </c>
      <c r="F92" s="784">
        <v>13500</v>
      </c>
      <c r="G92" s="784">
        <v>76500</v>
      </c>
      <c r="H92" s="784">
        <f>I92+M92</f>
        <v>13500</v>
      </c>
      <c r="I92" s="784">
        <f>SUM(J92:L92)</f>
        <v>13500</v>
      </c>
      <c r="J92" s="784"/>
      <c r="K92" s="784"/>
      <c r="L92" s="784">
        <v>13500</v>
      </c>
      <c r="M92" s="784">
        <f>SUM(N92:Q92)</f>
        <v>0</v>
      </c>
      <c r="N92" s="784"/>
      <c r="O92" s="784"/>
      <c r="P92" s="784"/>
      <c r="Q92" s="785"/>
    </row>
    <row r="93" spans="1:17" ht="11.25" customHeight="1" hidden="1">
      <c r="A93" s="1072"/>
      <c r="B93" s="54" t="s">
        <v>449</v>
      </c>
      <c r="C93" s="1088"/>
      <c r="D93" s="1089"/>
      <c r="E93" s="786">
        <f>F93+G93</f>
        <v>0</v>
      </c>
      <c r="F93" s="786">
        <v>0</v>
      </c>
      <c r="G93" s="786">
        <v>0</v>
      </c>
      <c r="H93" s="786"/>
      <c r="I93" s="786"/>
      <c r="J93" s="786"/>
      <c r="K93" s="786"/>
      <c r="L93" s="786"/>
      <c r="M93" s="786"/>
      <c r="N93" s="786"/>
      <c r="O93" s="786"/>
      <c r="P93" s="786"/>
      <c r="Q93" s="787"/>
    </row>
    <row r="94" spans="1:17" ht="11.25" customHeight="1" hidden="1">
      <c r="A94" s="1072"/>
      <c r="B94" s="54" t="s">
        <v>451</v>
      </c>
      <c r="C94" s="1088"/>
      <c r="D94" s="1089"/>
      <c r="E94" s="786">
        <f>F94+G94</f>
        <v>0</v>
      </c>
      <c r="F94" s="786">
        <v>0</v>
      </c>
      <c r="G94" s="786">
        <v>0</v>
      </c>
      <c r="H94" s="786"/>
      <c r="I94" s="786"/>
      <c r="J94" s="786"/>
      <c r="K94" s="786"/>
      <c r="L94" s="786"/>
      <c r="M94" s="786"/>
      <c r="N94" s="786"/>
      <c r="O94" s="786"/>
      <c r="P94" s="786"/>
      <c r="Q94" s="787"/>
    </row>
    <row r="95" spans="1:17" ht="11.25" customHeight="1" hidden="1" thickBot="1">
      <c r="A95" s="1073"/>
      <c r="B95" s="657" t="s">
        <v>551</v>
      </c>
      <c r="C95" s="1090"/>
      <c r="D95" s="1091"/>
      <c r="E95" s="788"/>
      <c r="F95" s="788"/>
      <c r="G95" s="788"/>
      <c r="H95" s="788"/>
      <c r="I95" s="788"/>
      <c r="J95" s="788"/>
      <c r="K95" s="788"/>
      <c r="L95" s="788"/>
      <c r="M95" s="788"/>
      <c r="N95" s="788"/>
      <c r="O95" s="788"/>
      <c r="P95" s="788"/>
      <c r="Q95" s="789"/>
    </row>
    <row r="96" spans="1:17" ht="11.25" customHeight="1" hidden="1">
      <c r="A96" s="1071" t="s">
        <v>7</v>
      </c>
      <c r="B96" s="659" t="s">
        <v>498</v>
      </c>
      <c r="C96" s="775" t="s">
        <v>8</v>
      </c>
      <c r="D96" s="683"/>
      <c r="E96" s="683"/>
      <c r="F96" s="683"/>
      <c r="G96" s="683"/>
      <c r="H96" s="683"/>
      <c r="I96" s="683"/>
      <c r="J96" s="683"/>
      <c r="K96" s="683"/>
      <c r="L96" s="683"/>
      <c r="M96" s="683"/>
      <c r="N96" s="683"/>
      <c r="O96" s="683"/>
      <c r="P96" s="683"/>
      <c r="Q96" s="684"/>
    </row>
    <row r="97" spans="1:17" ht="11.25" customHeight="1" hidden="1">
      <c r="A97" s="1072"/>
      <c r="B97" s="54" t="s">
        <v>499</v>
      </c>
      <c r="C97" s="651" t="s">
        <v>151</v>
      </c>
      <c r="D97" s="666"/>
      <c r="E97" s="666"/>
      <c r="F97" s="666"/>
      <c r="G97" s="666"/>
      <c r="H97" s="666"/>
      <c r="I97" s="666"/>
      <c r="J97" s="666"/>
      <c r="K97" s="666"/>
      <c r="L97" s="666"/>
      <c r="M97" s="666"/>
      <c r="N97" s="666"/>
      <c r="O97" s="666"/>
      <c r="P97" s="666"/>
      <c r="Q97" s="685"/>
    </row>
    <row r="98" spans="1:17" ht="11.25" customHeight="1" hidden="1">
      <c r="A98" s="1072"/>
      <c r="B98" s="54" t="s">
        <v>500</v>
      </c>
      <c r="C98" s="651" t="s">
        <v>152</v>
      </c>
      <c r="D98" s="666"/>
      <c r="E98" s="666"/>
      <c r="F98" s="666"/>
      <c r="G98" s="666"/>
      <c r="H98" s="666"/>
      <c r="I98" s="666"/>
      <c r="J98" s="666"/>
      <c r="K98" s="666"/>
      <c r="L98" s="666"/>
      <c r="M98" s="666"/>
      <c r="N98" s="666"/>
      <c r="O98" s="666"/>
      <c r="P98" s="666"/>
      <c r="Q98" s="685"/>
    </row>
    <row r="99" spans="1:17" ht="11.25" customHeight="1" hidden="1">
      <c r="A99" s="1072"/>
      <c r="B99" s="692" t="s">
        <v>501</v>
      </c>
      <c r="C99" s="1097" t="s">
        <v>129</v>
      </c>
      <c r="D99" s="1098"/>
      <c r="E99" s="1098"/>
      <c r="F99" s="1098"/>
      <c r="G99" s="1098"/>
      <c r="H99" s="1098"/>
      <c r="I99" s="1098"/>
      <c r="J99" s="1098"/>
      <c r="K99" s="1098"/>
      <c r="L99" s="1098"/>
      <c r="M99" s="1098"/>
      <c r="N99" s="1098"/>
      <c r="O99" s="1098"/>
      <c r="P99" s="1098"/>
      <c r="Q99" s="1099"/>
    </row>
    <row r="100" spans="1:17" ht="11.25" customHeight="1" hidden="1">
      <c r="A100" s="1072"/>
      <c r="B100" s="693" t="s">
        <v>502</v>
      </c>
      <c r="C100" s="672"/>
      <c r="D100" s="928">
        <v>85202</v>
      </c>
      <c r="E100" s="782">
        <f>F100+G100</f>
        <v>200000</v>
      </c>
      <c r="F100" s="782">
        <v>30000</v>
      </c>
      <c r="G100" s="782">
        <v>170000</v>
      </c>
      <c r="H100" s="782"/>
      <c r="I100" s="782"/>
      <c r="J100" s="782"/>
      <c r="K100" s="782"/>
      <c r="L100" s="782"/>
      <c r="M100" s="782"/>
      <c r="N100" s="782"/>
      <c r="O100" s="782"/>
      <c r="P100" s="782"/>
      <c r="Q100" s="783"/>
    </row>
    <row r="101" spans="1:17" ht="11.25" customHeight="1" hidden="1">
      <c r="A101" s="1072"/>
      <c r="B101" s="659" t="s">
        <v>550</v>
      </c>
      <c r="C101" s="1086">
        <v>58</v>
      </c>
      <c r="D101" s="1087"/>
      <c r="E101" s="784">
        <f>F101+G101</f>
        <v>0</v>
      </c>
      <c r="F101" s="784">
        <v>0</v>
      </c>
      <c r="G101" s="784">
        <v>0</v>
      </c>
      <c r="H101" s="784"/>
      <c r="I101" s="784"/>
      <c r="J101" s="784"/>
      <c r="K101" s="784"/>
      <c r="L101" s="784"/>
      <c r="M101" s="784"/>
      <c r="N101" s="784"/>
      <c r="O101" s="784"/>
      <c r="P101" s="784"/>
      <c r="Q101" s="785"/>
    </row>
    <row r="102" spans="1:17" ht="11.25" customHeight="1" hidden="1">
      <c r="A102" s="1072"/>
      <c r="B102" s="54" t="s">
        <v>449</v>
      </c>
      <c r="C102" s="1088"/>
      <c r="D102" s="1089"/>
      <c r="E102" s="786">
        <f>F102+G102</f>
        <v>0</v>
      </c>
      <c r="F102" s="786">
        <v>0</v>
      </c>
      <c r="G102" s="786">
        <v>0</v>
      </c>
      <c r="H102" s="786"/>
      <c r="I102" s="786"/>
      <c r="J102" s="786"/>
      <c r="K102" s="786"/>
      <c r="L102" s="786"/>
      <c r="M102" s="786"/>
      <c r="N102" s="786"/>
      <c r="O102" s="786"/>
      <c r="P102" s="786"/>
      <c r="Q102" s="787"/>
    </row>
    <row r="103" spans="1:17" ht="11.25" customHeight="1" hidden="1">
      <c r="A103" s="1072"/>
      <c r="B103" s="54" t="s">
        <v>451</v>
      </c>
      <c r="C103" s="1088"/>
      <c r="D103" s="1089"/>
      <c r="E103" s="786">
        <f>F103+G103</f>
        <v>0</v>
      </c>
      <c r="F103" s="786">
        <v>0</v>
      </c>
      <c r="G103" s="786">
        <v>0</v>
      </c>
      <c r="H103" s="786"/>
      <c r="I103" s="786"/>
      <c r="J103" s="786"/>
      <c r="K103" s="786"/>
      <c r="L103" s="786"/>
      <c r="M103" s="786"/>
      <c r="N103" s="786"/>
      <c r="O103" s="786"/>
      <c r="P103" s="786"/>
      <c r="Q103" s="787"/>
    </row>
    <row r="104" spans="1:17" ht="11.25" customHeight="1" hidden="1" thickBot="1">
      <c r="A104" s="1073"/>
      <c r="B104" s="657" t="s">
        <v>551</v>
      </c>
      <c r="C104" s="1090"/>
      <c r="D104" s="1091"/>
      <c r="E104" s="788"/>
      <c r="F104" s="788"/>
      <c r="G104" s="788"/>
      <c r="H104" s="788"/>
      <c r="I104" s="788"/>
      <c r="J104" s="788"/>
      <c r="K104" s="788"/>
      <c r="L104" s="788"/>
      <c r="M104" s="788"/>
      <c r="N104" s="788"/>
      <c r="O104" s="788"/>
      <c r="P104" s="788"/>
      <c r="Q104" s="789"/>
    </row>
    <row r="105" spans="1:17" ht="11.25" customHeight="1" hidden="1">
      <c r="A105" s="1071" t="s">
        <v>9</v>
      </c>
      <c r="B105" s="659" t="s">
        <v>498</v>
      </c>
      <c r="C105" s="775" t="s">
        <v>213</v>
      </c>
      <c r="D105" s="683"/>
      <c r="E105" s="683"/>
      <c r="F105" s="683"/>
      <c r="G105" s="683"/>
      <c r="H105" s="683"/>
      <c r="I105" s="683"/>
      <c r="J105" s="683"/>
      <c r="K105" s="683"/>
      <c r="L105" s="683"/>
      <c r="M105" s="683"/>
      <c r="N105" s="683"/>
      <c r="O105" s="683"/>
      <c r="P105" s="683"/>
      <c r="Q105" s="684"/>
    </row>
    <row r="106" spans="1:17" ht="11.25" customHeight="1" hidden="1">
      <c r="A106" s="1072"/>
      <c r="B106" s="54" t="s">
        <v>499</v>
      </c>
      <c r="C106" s="651" t="s">
        <v>151</v>
      </c>
      <c r="D106" s="666"/>
      <c r="E106" s="666"/>
      <c r="F106" s="666"/>
      <c r="G106" s="666"/>
      <c r="H106" s="666"/>
      <c r="I106" s="666"/>
      <c r="J106" s="666"/>
      <c r="K106" s="666"/>
      <c r="L106" s="666"/>
      <c r="M106" s="666"/>
      <c r="N106" s="666"/>
      <c r="O106" s="666"/>
      <c r="P106" s="666"/>
      <c r="Q106" s="685"/>
    </row>
    <row r="107" spans="1:17" ht="11.25" customHeight="1" hidden="1">
      <c r="A107" s="1072"/>
      <c r="B107" s="54" t="s">
        <v>500</v>
      </c>
      <c r="C107" s="651" t="s">
        <v>152</v>
      </c>
      <c r="D107" s="666"/>
      <c r="E107" s="666"/>
      <c r="F107" s="666"/>
      <c r="G107" s="666"/>
      <c r="H107" s="666"/>
      <c r="I107" s="666"/>
      <c r="J107" s="666"/>
      <c r="K107" s="666"/>
      <c r="L107" s="666"/>
      <c r="M107" s="666"/>
      <c r="N107" s="666"/>
      <c r="O107" s="666"/>
      <c r="P107" s="666"/>
      <c r="Q107" s="685"/>
    </row>
    <row r="108" spans="1:17" ht="11.25" customHeight="1" hidden="1">
      <c r="A108" s="1072"/>
      <c r="B108" s="54" t="s">
        <v>501</v>
      </c>
      <c r="C108" s="686" t="s">
        <v>130</v>
      </c>
      <c r="D108" s="687"/>
      <c r="E108" s="687"/>
      <c r="F108" s="687"/>
      <c r="G108" s="687"/>
      <c r="H108" s="687"/>
      <c r="I108" s="687"/>
      <c r="J108" s="687"/>
      <c r="K108" s="687"/>
      <c r="L108" s="687"/>
      <c r="M108" s="687"/>
      <c r="N108" s="687"/>
      <c r="O108" s="687"/>
      <c r="P108" s="687"/>
      <c r="Q108" s="688"/>
    </row>
    <row r="109" spans="1:17" ht="11.25" customHeight="1" hidden="1">
      <c r="A109" s="1072"/>
      <c r="B109" s="55" t="s">
        <v>502</v>
      </c>
      <c r="C109" s="672"/>
      <c r="D109" s="928">
        <v>75020</v>
      </c>
      <c r="E109" s="672">
        <f>F109+G109</f>
        <v>1566000</v>
      </c>
      <c r="F109" s="672">
        <v>235000</v>
      </c>
      <c r="G109" s="672">
        <v>1331000</v>
      </c>
      <c r="H109" s="672"/>
      <c r="I109" s="672"/>
      <c r="J109" s="672"/>
      <c r="K109" s="672"/>
      <c r="L109" s="672"/>
      <c r="M109" s="672"/>
      <c r="N109" s="672"/>
      <c r="O109" s="672"/>
      <c r="P109" s="672"/>
      <c r="Q109" s="691"/>
    </row>
    <row r="110" spans="1:17" ht="11.25" customHeight="1" hidden="1">
      <c r="A110" s="1072"/>
      <c r="B110" s="659" t="s">
        <v>550</v>
      </c>
      <c r="C110" s="1086">
        <v>58</v>
      </c>
      <c r="D110" s="1087"/>
      <c r="E110" s="689">
        <f>F110+G110</f>
        <v>0</v>
      </c>
      <c r="F110" s="689">
        <v>0</v>
      </c>
      <c r="G110" s="689">
        <v>0</v>
      </c>
      <c r="H110" s="689"/>
      <c r="I110" s="689"/>
      <c r="J110" s="689"/>
      <c r="K110" s="689"/>
      <c r="L110" s="689"/>
      <c r="M110" s="689"/>
      <c r="N110" s="689"/>
      <c r="O110" s="689"/>
      <c r="P110" s="689"/>
      <c r="Q110" s="690"/>
    </row>
    <row r="111" spans="1:17" ht="11.25" customHeight="1" hidden="1">
      <c r="A111" s="1072"/>
      <c r="B111" s="54" t="s">
        <v>449</v>
      </c>
      <c r="C111" s="1088"/>
      <c r="D111" s="1089"/>
      <c r="E111" s="667">
        <f>F111+G111</f>
        <v>700000</v>
      </c>
      <c r="F111" s="667">
        <v>105000</v>
      </c>
      <c r="G111" s="667">
        <v>595000</v>
      </c>
      <c r="H111" s="667"/>
      <c r="I111" s="667"/>
      <c r="J111" s="667"/>
      <c r="K111" s="667"/>
      <c r="L111" s="667"/>
      <c r="M111" s="667"/>
      <c r="N111" s="667"/>
      <c r="O111" s="667"/>
      <c r="P111" s="667"/>
      <c r="Q111" s="668"/>
    </row>
    <row r="112" spans="1:17" ht="11.25" customHeight="1" hidden="1">
      <c r="A112" s="1072"/>
      <c r="B112" s="54" t="s">
        <v>451</v>
      </c>
      <c r="C112" s="1088"/>
      <c r="D112" s="1089"/>
      <c r="E112" s="667">
        <f>F112+G112</f>
        <v>866000</v>
      </c>
      <c r="F112" s="667">
        <v>130000</v>
      </c>
      <c r="G112" s="667">
        <v>736000</v>
      </c>
      <c r="H112" s="667"/>
      <c r="I112" s="667"/>
      <c r="J112" s="667"/>
      <c r="K112" s="667"/>
      <c r="L112" s="667"/>
      <c r="M112" s="667"/>
      <c r="N112" s="667"/>
      <c r="O112" s="667"/>
      <c r="P112" s="667"/>
      <c r="Q112" s="668"/>
    </row>
    <row r="113" spans="1:17" ht="11.25" customHeight="1" hidden="1" thickBot="1">
      <c r="A113" s="1073"/>
      <c r="B113" s="657" t="s">
        <v>551</v>
      </c>
      <c r="C113" s="1090"/>
      <c r="D113" s="1091"/>
      <c r="E113" s="669"/>
      <c r="F113" s="669"/>
      <c r="G113" s="669"/>
      <c r="H113" s="669"/>
      <c r="I113" s="669"/>
      <c r="J113" s="669"/>
      <c r="K113" s="669"/>
      <c r="L113" s="669"/>
      <c r="M113" s="669"/>
      <c r="N113" s="669"/>
      <c r="O113" s="669"/>
      <c r="P113" s="669"/>
      <c r="Q113" s="670"/>
    </row>
    <row r="114" spans="1:18" s="70" customFormat="1" ht="12.75" customHeight="1" thickBot="1">
      <c r="A114" s="950">
        <v>1</v>
      </c>
      <c r="B114" s="761" t="s">
        <v>505</v>
      </c>
      <c r="C114" s="1113" t="s">
        <v>439</v>
      </c>
      <c r="D114" s="1113"/>
      <c r="E114" s="762">
        <f aca="true" t="shared" si="10" ref="E114:Q114">E119+E128+E137</f>
        <v>2005239</v>
      </c>
      <c r="F114" s="762">
        <f t="shared" si="10"/>
        <v>377822</v>
      </c>
      <c r="G114" s="762">
        <f t="shared" si="10"/>
        <v>1627417</v>
      </c>
      <c r="H114" s="762">
        <f t="shared" si="10"/>
        <v>974541</v>
      </c>
      <c r="I114" s="762">
        <f t="shared" si="10"/>
        <v>275498</v>
      </c>
      <c r="J114" s="762">
        <f t="shared" si="10"/>
        <v>0</v>
      </c>
      <c r="K114" s="762">
        <f t="shared" si="10"/>
        <v>0</v>
      </c>
      <c r="L114" s="762">
        <f t="shared" si="10"/>
        <v>275498</v>
      </c>
      <c r="M114" s="762">
        <f t="shared" si="10"/>
        <v>699043</v>
      </c>
      <c r="N114" s="762">
        <f t="shared" si="10"/>
        <v>0</v>
      </c>
      <c r="O114" s="762">
        <f t="shared" si="10"/>
        <v>0</v>
      </c>
      <c r="P114" s="762">
        <f t="shared" si="10"/>
        <v>0</v>
      </c>
      <c r="Q114" s="776">
        <f t="shared" si="10"/>
        <v>699043</v>
      </c>
      <c r="R114"/>
    </row>
    <row r="115" spans="1:17" ht="11.25" customHeight="1">
      <c r="A115" s="1137" t="s">
        <v>497</v>
      </c>
      <c r="B115" s="659" t="s">
        <v>498</v>
      </c>
      <c r="C115" s="713" t="s">
        <v>215</v>
      </c>
      <c r="D115" s="714"/>
      <c r="E115" s="714"/>
      <c r="F115" s="714"/>
      <c r="G115" s="714"/>
      <c r="H115" s="714"/>
      <c r="I115" s="714"/>
      <c r="J115" s="714"/>
      <c r="K115" s="714"/>
      <c r="L115" s="714"/>
      <c r="M115" s="714"/>
      <c r="N115" s="714"/>
      <c r="O115" s="714"/>
      <c r="P115" s="714"/>
      <c r="Q115" s="715"/>
    </row>
    <row r="116" spans="1:17" ht="11.25" customHeight="1">
      <c r="A116" s="1135"/>
      <c r="B116" s="54" t="s">
        <v>499</v>
      </c>
      <c r="C116" s="713" t="s">
        <v>214</v>
      </c>
      <c r="D116" s="714"/>
      <c r="E116" s="714"/>
      <c r="F116" s="714"/>
      <c r="G116" s="714"/>
      <c r="H116" s="714"/>
      <c r="I116" s="714"/>
      <c r="J116" s="714"/>
      <c r="K116" s="714"/>
      <c r="L116" s="714"/>
      <c r="M116" s="714"/>
      <c r="N116" s="714"/>
      <c r="O116" s="714"/>
      <c r="P116" s="714"/>
      <c r="Q116" s="715"/>
    </row>
    <row r="117" spans="1:17" ht="11.25" customHeight="1">
      <c r="A117" s="1135"/>
      <c r="B117" s="54" t="s">
        <v>500</v>
      </c>
      <c r="C117" s="713" t="s">
        <v>216</v>
      </c>
      <c r="D117" s="714"/>
      <c r="E117" s="714"/>
      <c r="F117" s="714"/>
      <c r="G117" s="714"/>
      <c r="H117" s="714"/>
      <c r="I117" s="714"/>
      <c r="J117" s="714"/>
      <c r="K117" s="714"/>
      <c r="L117" s="714"/>
      <c r="M117" s="714"/>
      <c r="N117" s="714"/>
      <c r="O117" s="714"/>
      <c r="P117" s="714"/>
      <c r="Q117" s="715"/>
    </row>
    <row r="118" spans="1:17" ht="11.25" customHeight="1">
      <c r="A118" s="1135"/>
      <c r="B118" s="692" t="s">
        <v>501</v>
      </c>
      <c r="C118" s="713" t="s">
        <v>217</v>
      </c>
      <c r="D118" s="714"/>
      <c r="E118" s="714"/>
      <c r="F118" s="714"/>
      <c r="G118" s="714"/>
      <c r="H118" s="714"/>
      <c r="I118" s="714"/>
      <c r="J118" s="714"/>
      <c r="K118" s="714"/>
      <c r="L118" s="714"/>
      <c r="M118" s="714"/>
      <c r="N118" s="714"/>
      <c r="O118" s="714"/>
      <c r="P118" s="714"/>
      <c r="Q118" s="715"/>
    </row>
    <row r="119" spans="1:17" ht="11.25" customHeight="1">
      <c r="A119" s="1135"/>
      <c r="B119" s="757" t="s">
        <v>502</v>
      </c>
      <c r="C119" s="758"/>
      <c r="D119" s="760">
        <v>80309</v>
      </c>
      <c r="E119" s="759">
        <f>F119+G119</f>
        <v>890500</v>
      </c>
      <c r="F119" s="759">
        <v>62335</v>
      </c>
      <c r="G119" s="759">
        <v>828165</v>
      </c>
      <c r="H119" s="759">
        <f aca="true" t="shared" si="11" ref="H119:Q119">H120</f>
        <v>614084</v>
      </c>
      <c r="I119" s="759">
        <f t="shared" si="11"/>
        <v>185760</v>
      </c>
      <c r="J119" s="759">
        <f t="shared" si="11"/>
        <v>0</v>
      </c>
      <c r="K119" s="759">
        <f t="shared" si="11"/>
        <v>0</v>
      </c>
      <c r="L119" s="759">
        <f t="shared" si="11"/>
        <v>185760</v>
      </c>
      <c r="M119" s="759">
        <f t="shared" si="11"/>
        <v>428324</v>
      </c>
      <c r="N119" s="759">
        <f t="shared" si="11"/>
        <v>0</v>
      </c>
      <c r="O119" s="759">
        <f t="shared" si="11"/>
        <v>0</v>
      </c>
      <c r="P119" s="759">
        <f t="shared" si="11"/>
        <v>0</v>
      </c>
      <c r="Q119" s="777">
        <f t="shared" si="11"/>
        <v>428324</v>
      </c>
    </row>
    <row r="120" spans="1:17" ht="11.25" customHeight="1">
      <c r="A120" s="1135"/>
      <c r="B120" s="659" t="s">
        <v>550</v>
      </c>
      <c r="C120" s="1078"/>
      <c r="D120" s="1079"/>
      <c r="E120" s="655">
        <f>F120+G120</f>
        <v>614084</v>
      </c>
      <c r="F120" s="655">
        <v>185760</v>
      </c>
      <c r="G120" s="655">
        <v>428324</v>
      </c>
      <c r="H120" s="656">
        <f>I120+M120</f>
        <v>614084</v>
      </c>
      <c r="I120" s="656">
        <f>SUM(J120:L120)</f>
        <v>185760</v>
      </c>
      <c r="J120" s="656"/>
      <c r="K120" s="656"/>
      <c r="L120" s="656">
        <v>185760</v>
      </c>
      <c r="M120" s="656">
        <f>SUM(N120:Q120)</f>
        <v>428324</v>
      </c>
      <c r="N120" s="656"/>
      <c r="O120" s="656"/>
      <c r="P120" s="656"/>
      <c r="Q120" s="702">
        <v>428324</v>
      </c>
    </row>
    <row r="121" spans="1:17" ht="11.25" customHeight="1">
      <c r="A121" s="1135"/>
      <c r="B121" s="54" t="s">
        <v>449</v>
      </c>
      <c r="C121" s="1080"/>
      <c r="D121" s="1081"/>
      <c r="E121" s="653"/>
      <c r="F121" s="653"/>
      <c r="G121" s="653"/>
      <c r="H121" s="654"/>
      <c r="I121" s="654"/>
      <c r="J121" s="654"/>
      <c r="K121" s="654"/>
      <c r="L121" s="654"/>
      <c r="M121" s="654"/>
      <c r="N121" s="654"/>
      <c r="O121" s="654"/>
      <c r="P121" s="654"/>
      <c r="Q121" s="703"/>
    </row>
    <row r="122" spans="1:17" ht="11.25" customHeight="1">
      <c r="A122" s="1135"/>
      <c r="B122" s="54" t="s">
        <v>451</v>
      </c>
      <c r="C122" s="1080"/>
      <c r="D122" s="1081"/>
      <c r="E122" s="653"/>
      <c r="F122" s="653"/>
      <c r="G122" s="653"/>
      <c r="H122" s="654"/>
      <c r="I122" s="654"/>
      <c r="J122" s="654"/>
      <c r="K122" s="654"/>
      <c r="L122" s="654"/>
      <c r="M122" s="654"/>
      <c r="N122" s="654"/>
      <c r="O122" s="654"/>
      <c r="P122" s="654"/>
      <c r="Q122" s="703"/>
    </row>
    <row r="123" spans="1:17" ht="11.25" customHeight="1" thickBot="1">
      <c r="A123" s="1136"/>
      <c r="B123" s="657" t="s">
        <v>551</v>
      </c>
      <c r="C123" s="1084"/>
      <c r="D123" s="1085"/>
      <c r="E123" s="658"/>
      <c r="F123" s="658"/>
      <c r="G123" s="658"/>
      <c r="H123" s="660"/>
      <c r="I123" s="660"/>
      <c r="J123" s="660"/>
      <c r="K123" s="660"/>
      <c r="L123" s="660"/>
      <c r="M123" s="660"/>
      <c r="N123" s="660"/>
      <c r="O123" s="660"/>
      <c r="P123" s="660"/>
      <c r="Q123" s="704"/>
    </row>
    <row r="124" spans="1:17" ht="11.25" customHeight="1">
      <c r="A124" s="1071" t="s">
        <v>503</v>
      </c>
      <c r="B124" s="793" t="s">
        <v>498</v>
      </c>
      <c r="C124" s="1114" t="s">
        <v>215</v>
      </c>
      <c r="D124" s="1115"/>
      <c r="E124" s="1115"/>
      <c r="F124" s="1115"/>
      <c r="G124" s="1115"/>
      <c r="H124" s="1115"/>
      <c r="I124" s="1115"/>
      <c r="J124" s="1115"/>
      <c r="K124" s="1115"/>
      <c r="L124" s="1115"/>
      <c r="M124" s="1115"/>
      <c r="N124" s="1115"/>
      <c r="O124" s="1115"/>
      <c r="P124" s="1115"/>
      <c r="Q124" s="1116"/>
    </row>
    <row r="125" spans="1:17" ht="11.25" customHeight="1">
      <c r="A125" s="1074"/>
      <c r="B125" s="54" t="s">
        <v>499</v>
      </c>
      <c r="C125" s="713" t="s">
        <v>214</v>
      </c>
      <c r="D125" s="675"/>
      <c r="E125" s="675"/>
      <c r="F125" s="675"/>
      <c r="G125" s="675"/>
      <c r="H125" s="675"/>
      <c r="I125" s="675"/>
      <c r="J125" s="675"/>
      <c r="K125" s="675"/>
      <c r="L125" s="675"/>
      <c r="M125" s="675"/>
      <c r="N125" s="675"/>
      <c r="O125" s="675"/>
      <c r="P125" s="675"/>
      <c r="Q125" s="678"/>
    </row>
    <row r="126" spans="1:17" ht="11.25" customHeight="1">
      <c r="A126" s="1074"/>
      <c r="B126" s="54" t="s">
        <v>500</v>
      </c>
      <c r="C126" s="713" t="s">
        <v>216</v>
      </c>
      <c r="D126" s="675"/>
      <c r="E126" s="675"/>
      <c r="F126" s="675"/>
      <c r="G126" s="675"/>
      <c r="H126" s="675"/>
      <c r="I126" s="675"/>
      <c r="J126" s="675"/>
      <c r="K126" s="675"/>
      <c r="L126" s="675"/>
      <c r="M126" s="675"/>
      <c r="N126" s="675"/>
      <c r="O126" s="675"/>
      <c r="P126" s="675"/>
      <c r="Q126" s="678"/>
    </row>
    <row r="127" spans="1:17" ht="11.25" customHeight="1">
      <c r="A127" s="1074"/>
      <c r="B127" s="692" t="s">
        <v>501</v>
      </c>
      <c r="C127" s="677" t="s">
        <v>218</v>
      </c>
      <c r="D127" s="675"/>
      <c r="E127" s="675"/>
      <c r="F127" s="675"/>
      <c r="G127" s="675"/>
      <c r="H127" s="675"/>
      <c r="I127" s="675"/>
      <c r="J127" s="675"/>
      <c r="K127" s="675"/>
      <c r="L127" s="675"/>
      <c r="M127" s="675"/>
      <c r="N127" s="675"/>
      <c r="O127" s="675"/>
      <c r="P127" s="675"/>
      <c r="Q127" s="678"/>
    </row>
    <row r="128" spans="1:17" ht="11.25" customHeight="1">
      <c r="A128" s="1074"/>
      <c r="B128" s="757" t="s">
        <v>502</v>
      </c>
      <c r="C128" s="760"/>
      <c r="D128" s="760">
        <v>85415</v>
      </c>
      <c r="E128" s="778">
        <f>F128+G128</f>
        <v>254550</v>
      </c>
      <c r="F128" s="778">
        <v>81456</v>
      </c>
      <c r="G128" s="778">
        <v>173094</v>
      </c>
      <c r="H128" s="778">
        <f>H129</f>
        <v>153880</v>
      </c>
      <c r="I128" s="778">
        <f aca="true" t="shared" si="12" ref="I128:Q128">I129</f>
        <v>49242</v>
      </c>
      <c r="J128" s="778">
        <f t="shared" si="12"/>
        <v>0</v>
      </c>
      <c r="K128" s="778">
        <f t="shared" si="12"/>
        <v>0</v>
      </c>
      <c r="L128" s="778">
        <f t="shared" si="12"/>
        <v>49242</v>
      </c>
      <c r="M128" s="778">
        <f t="shared" si="12"/>
        <v>104638</v>
      </c>
      <c r="N128" s="778">
        <f t="shared" si="12"/>
        <v>0</v>
      </c>
      <c r="O128" s="778">
        <f t="shared" si="12"/>
        <v>0</v>
      </c>
      <c r="P128" s="778">
        <f t="shared" si="12"/>
        <v>0</v>
      </c>
      <c r="Q128" s="779">
        <f t="shared" si="12"/>
        <v>104638</v>
      </c>
    </row>
    <row r="129" spans="1:17" ht="11.25" customHeight="1">
      <c r="A129" s="1074"/>
      <c r="B129" s="659" t="s">
        <v>550</v>
      </c>
      <c r="C129" s="1078"/>
      <c r="D129" s="1079"/>
      <c r="E129" s="780">
        <f>F129+G129</f>
        <v>153880</v>
      </c>
      <c r="F129" s="780">
        <v>49242</v>
      </c>
      <c r="G129" s="780">
        <v>104638</v>
      </c>
      <c r="H129" s="780">
        <f>I129+M129</f>
        <v>153880</v>
      </c>
      <c r="I129" s="780">
        <f>SUM(J129:L129)</f>
        <v>49242</v>
      </c>
      <c r="J129" s="780"/>
      <c r="K129" s="780"/>
      <c r="L129" s="780">
        <v>49242</v>
      </c>
      <c r="M129" s="780">
        <f>SUM(N129:Q129)</f>
        <v>104638</v>
      </c>
      <c r="N129" s="780"/>
      <c r="O129" s="780"/>
      <c r="P129" s="780"/>
      <c r="Q129" s="781">
        <v>104638</v>
      </c>
    </row>
    <row r="130" spans="1:17" ht="11.25" customHeight="1">
      <c r="A130" s="1074"/>
      <c r="B130" s="54" t="s">
        <v>449</v>
      </c>
      <c r="C130" s="1080"/>
      <c r="D130" s="1081"/>
      <c r="E130" s="667"/>
      <c r="F130" s="667"/>
      <c r="G130" s="667"/>
      <c r="H130" s="667"/>
      <c r="I130" s="667"/>
      <c r="J130" s="667"/>
      <c r="K130" s="667"/>
      <c r="L130" s="667"/>
      <c r="M130" s="667"/>
      <c r="N130" s="667"/>
      <c r="O130" s="667"/>
      <c r="P130" s="667"/>
      <c r="Q130" s="668"/>
    </row>
    <row r="131" spans="1:17" ht="11.25" customHeight="1">
      <c r="A131" s="1074"/>
      <c r="B131" s="54" t="s">
        <v>451</v>
      </c>
      <c r="C131" s="1080"/>
      <c r="D131" s="1081"/>
      <c r="E131" s="667"/>
      <c r="F131" s="667"/>
      <c r="G131" s="667"/>
      <c r="H131" s="667"/>
      <c r="I131" s="667"/>
      <c r="J131" s="667"/>
      <c r="K131" s="667"/>
      <c r="L131" s="667"/>
      <c r="M131" s="667"/>
      <c r="N131" s="667"/>
      <c r="O131" s="667"/>
      <c r="P131" s="667"/>
      <c r="Q131" s="668"/>
    </row>
    <row r="132" spans="1:17" ht="11.25" customHeight="1" thickBot="1">
      <c r="A132" s="1075"/>
      <c r="B132" s="657" t="s">
        <v>551</v>
      </c>
      <c r="C132" s="1084"/>
      <c r="D132" s="1085"/>
      <c r="E132" s="669"/>
      <c r="F132" s="669"/>
      <c r="G132" s="669"/>
      <c r="H132" s="669"/>
      <c r="I132" s="669"/>
      <c r="J132" s="669"/>
      <c r="K132" s="669"/>
      <c r="L132" s="669"/>
      <c r="M132" s="669"/>
      <c r="N132" s="669"/>
      <c r="O132" s="669"/>
      <c r="P132" s="669"/>
      <c r="Q132" s="670"/>
    </row>
    <row r="133" spans="1:17" ht="11.25" customHeight="1">
      <c r="A133" s="1076" t="s">
        <v>504</v>
      </c>
      <c r="B133" s="659" t="s">
        <v>498</v>
      </c>
      <c r="C133" s="677" t="s">
        <v>219</v>
      </c>
      <c r="D133" s="675"/>
      <c r="E133" s="666"/>
      <c r="F133" s="666"/>
      <c r="G133" s="666"/>
      <c r="H133" s="666"/>
      <c r="I133" s="666"/>
      <c r="J133" s="666"/>
      <c r="K133" s="666"/>
      <c r="L133" s="666"/>
      <c r="M133" s="666"/>
      <c r="N133" s="666"/>
      <c r="O133" s="666"/>
      <c r="P133" s="666"/>
      <c r="Q133" s="685"/>
    </row>
    <row r="134" spans="1:17" ht="11.25" customHeight="1">
      <c r="A134" s="1076"/>
      <c r="B134" s="54" t="s">
        <v>499</v>
      </c>
      <c r="C134" s="677" t="s">
        <v>220</v>
      </c>
      <c r="D134" s="675"/>
      <c r="E134" s="666"/>
      <c r="F134" s="666"/>
      <c r="G134" s="666"/>
      <c r="H134" s="666"/>
      <c r="I134" s="666"/>
      <c r="J134" s="666"/>
      <c r="K134" s="666"/>
      <c r="L134" s="666"/>
      <c r="M134" s="666"/>
      <c r="N134" s="666"/>
      <c r="O134" s="666"/>
      <c r="P134" s="666"/>
      <c r="Q134" s="685"/>
    </row>
    <row r="135" spans="1:17" ht="11.25" customHeight="1">
      <c r="A135" s="1076"/>
      <c r="B135" s="54" t="s">
        <v>500</v>
      </c>
      <c r="C135" s="677" t="s">
        <v>224</v>
      </c>
      <c r="D135" s="675"/>
      <c r="E135" s="666"/>
      <c r="F135" s="666"/>
      <c r="G135" s="666"/>
      <c r="H135" s="666"/>
      <c r="I135" s="666"/>
      <c r="J135" s="666"/>
      <c r="K135" s="666"/>
      <c r="L135" s="666"/>
      <c r="M135" s="666"/>
      <c r="N135" s="666"/>
      <c r="O135" s="666"/>
      <c r="P135" s="666"/>
      <c r="Q135" s="685"/>
    </row>
    <row r="136" spans="1:17" ht="11.25" customHeight="1">
      <c r="A136" s="1076"/>
      <c r="B136" s="692" t="s">
        <v>501</v>
      </c>
      <c r="C136" s="674" t="s">
        <v>221</v>
      </c>
      <c r="D136" s="675"/>
      <c r="E136" s="666"/>
      <c r="F136" s="666"/>
      <c r="G136" s="666"/>
      <c r="H136" s="666"/>
      <c r="I136" s="666"/>
      <c r="J136" s="666"/>
      <c r="K136" s="666"/>
      <c r="L136" s="666"/>
      <c r="M136" s="666"/>
      <c r="N136" s="666"/>
      <c r="O136" s="666"/>
      <c r="P136" s="666"/>
      <c r="Q136" s="685"/>
    </row>
    <row r="137" spans="1:17" ht="11.25" customHeight="1">
      <c r="A137" s="1076"/>
      <c r="B137" s="757" t="s">
        <v>502</v>
      </c>
      <c r="C137" s="760"/>
      <c r="D137" s="760">
        <v>85395</v>
      </c>
      <c r="E137" s="778">
        <f>F137+G137</f>
        <v>860189</v>
      </c>
      <c r="F137" s="778">
        <v>234031</v>
      </c>
      <c r="G137" s="778">
        <v>626158</v>
      </c>
      <c r="H137" s="778">
        <f>H138</f>
        <v>206577</v>
      </c>
      <c r="I137" s="778">
        <f aca="true" t="shared" si="13" ref="I137:Q137">I138</f>
        <v>40496</v>
      </c>
      <c r="J137" s="778">
        <f t="shared" si="13"/>
        <v>0</v>
      </c>
      <c r="K137" s="778">
        <f t="shared" si="13"/>
        <v>0</v>
      </c>
      <c r="L137" s="778">
        <f t="shared" si="13"/>
        <v>40496</v>
      </c>
      <c r="M137" s="778">
        <f t="shared" si="13"/>
        <v>166081</v>
      </c>
      <c r="N137" s="778">
        <f t="shared" si="13"/>
        <v>0</v>
      </c>
      <c r="O137" s="778">
        <f t="shared" si="13"/>
        <v>0</v>
      </c>
      <c r="P137" s="778">
        <f t="shared" si="13"/>
        <v>0</v>
      </c>
      <c r="Q137" s="779">
        <f t="shared" si="13"/>
        <v>166081</v>
      </c>
    </row>
    <row r="138" spans="1:17" ht="11.25" customHeight="1">
      <c r="A138" s="1076"/>
      <c r="B138" s="763" t="s">
        <v>550</v>
      </c>
      <c r="C138" s="1078">
        <v>21</v>
      </c>
      <c r="D138" s="1079"/>
      <c r="E138" s="780">
        <f>F138+G138</f>
        <v>206577</v>
      </c>
      <c r="F138" s="780">
        <v>40496</v>
      </c>
      <c r="G138" s="780">
        <v>166081</v>
      </c>
      <c r="H138" s="780">
        <f>I138+M138</f>
        <v>206577</v>
      </c>
      <c r="I138" s="780">
        <f>SUM(J138:L138)</f>
        <v>40496</v>
      </c>
      <c r="J138" s="780"/>
      <c r="K138" s="780"/>
      <c r="L138" s="780">
        <v>40496</v>
      </c>
      <c r="M138" s="780">
        <f>SUM(N138:Q138)</f>
        <v>166081</v>
      </c>
      <c r="N138" s="780"/>
      <c r="O138" s="780"/>
      <c r="P138" s="780"/>
      <c r="Q138" s="781">
        <v>166081</v>
      </c>
    </row>
    <row r="139" spans="1:17" ht="11.25" customHeight="1">
      <c r="A139" s="1076"/>
      <c r="B139" s="716" t="s">
        <v>449</v>
      </c>
      <c r="C139" s="1080"/>
      <c r="D139" s="1081"/>
      <c r="E139" s="667"/>
      <c r="F139" s="667"/>
      <c r="G139" s="667"/>
      <c r="H139" s="667"/>
      <c r="I139" s="667"/>
      <c r="J139" s="667"/>
      <c r="K139" s="667"/>
      <c r="L139" s="667"/>
      <c r="M139" s="667"/>
      <c r="N139" s="667"/>
      <c r="O139" s="667"/>
      <c r="P139" s="667"/>
      <c r="Q139" s="668"/>
    </row>
    <row r="140" spans="1:17" ht="11.25" customHeight="1">
      <c r="A140" s="1076"/>
      <c r="B140" s="716" t="s">
        <v>451</v>
      </c>
      <c r="C140" s="1080"/>
      <c r="D140" s="1081"/>
      <c r="E140" s="667"/>
      <c r="F140" s="667"/>
      <c r="G140" s="667"/>
      <c r="H140" s="667"/>
      <c r="I140" s="667"/>
      <c r="J140" s="667"/>
      <c r="K140" s="667"/>
      <c r="L140" s="667"/>
      <c r="M140" s="667"/>
      <c r="N140" s="667"/>
      <c r="O140" s="667"/>
      <c r="P140" s="667"/>
      <c r="Q140" s="668"/>
    </row>
    <row r="141" spans="1:17" ht="11.25" customHeight="1">
      <c r="A141" s="1077"/>
      <c r="B141" s="716" t="s">
        <v>551</v>
      </c>
      <c r="C141" s="1082"/>
      <c r="D141" s="1083"/>
      <c r="E141" s="672"/>
      <c r="F141" s="672"/>
      <c r="G141" s="672"/>
      <c r="H141" s="672"/>
      <c r="I141" s="672"/>
      <c r="J141" s="672"/>
      <c r="K141" s="672"/>
      <c r="L141" s="672"/>
      <c r="M141" s="672"/>
      <c r="N141" s="672"/>
      <c r="O141" s="672"/>
      <c r="P141" s="672"/>
      <c r="Q141" s="691"/>
    </row>
    <row r="142" spans="1:17" s="70" customFormat="1" ht="12.75" customHeight="1" thickBot="1">
      <c r="A142" s="1131" t="s">
        <v>378</v>
      </c>
      <c r="B142" s="1132"/>
      <c r="C142" s="1111" t="s">
        <v>439</v>
      </c>
      <c r="D142" s="1112"/>
      <c r="E142" s="695">
        <f>E114</f>
        <v>2005239</v>
      </c>
      <c r="F142" s="695">
        <f aca="true" t="shared" si="14" ref="F142:Q142">F114</f>
        <v>377822</v>
      </c>
      <c r="G142" s="695">
        <f t="shared" si="14"/>
        <v>1627417</v>
      </c>
      <c r="H142" s="695">
        <f t="shared" si="14"/>
        <v>974541</v>
      </c>
      <c r="I142" s="695">
        <f t="shared" si="14"/>
        <v>275498</v>
      </c>
      <c r="J142" s="695">
        <f t="shared" si="14"/>
        <v>0</v>
      </c>
      <c r="K142" s="695">
        <f t="shared" si="14"/>
        <v>0</v>
      </c>
      <c r="L142" s="695">
        <f>L114</f>
        <v>275498</v>
      </c>
      <c r="M142" s="695">
        <f t="shared" si="14"/>
        <v>699043</v>
      </c>
      <c r="N142" s="695">
        <f t="shared" si="14"/>
        <v>0</v>
      </c>
      <c r="O142" s="695">
        <f t="shared" si="14"/>
        <v>0</v>
      </c>
      <c r="P142" s="695">
        <f>P114</f>
        <v>0</v>
      </c>
      <c r="Q142" s="695">
        <f t="shared" si="14"/>
        <v>699043</v>
      </c>
    </row>
    <row r="144" spans="1:10" ht="24" customHeight="1">
      <c r="A144" s="1133" t="s">
        <v>508</v>
      </c>
      <c r="B144" s="1133"/>
      <c r="C144" s="1133"/>
      <c r="D144" s="1133"/>
      <c r="E144" s="1133"/>
      <c r="F144" s="1133"/>
      <c r="G144" s="1133"/>
      <c r="H144" s="1133"/>
      <c r="I144" s="1133"/>
      <c r="J144" s="1133"/>
    </row>
    <row r="145" spans="1:10" ht="24" customHeight="1">
      <c r="A145" s="76" t="s">
        <v>531</v>
      </c>
      <c r="B145" s="76"/>
      <c r="C145" s="76"/>
      <c r="D145" s="76"/>
      <c r="E145" s="76"/>
      <c r="F145" s="76"/>
      <c r="G145" s="76"/>
      <c r="H145" s="76"/>
      <c r="I145" s="76"/>
      <c r="J145" s="76"/>
    </row>
    <row r="146" spans="1:10" ht="24" customHeight="1">
      <c r="A146" s="76" t="s">
        <v>552</v>
      </c>
      <c r="B146" s="76"/>
      <c r="C146" s="76"/>
      <c r="D146" s="76"/>
      <c r="E146" s="76"/>
      <c r="F146" s="76"/>
      <c r="G146" s="76"/>
      <c r="H146" s="76"/>
      <c r="I146" s="76"/>
      <c r="J146" s="76"/>
    </row>
  </sheetData>
  <mergeCells count="62">
    <mergeCell ref="A142:B142"/>
    <mergeCell ref="A144:J144"/>
    <mergeCell ref="A15:A23"/>
    <mergeCell ref="A24:A32"/>
    <mergeCell ref="A115:A123"/>
    <mergeCell ref="C18:Q18"/>
    <mergeCell ref="C27:Q27"/>
    <mergeCell ref="A33:A41"/>
    <mergeCell ref="A42:A50"/>
    <mergeCell ref="A51:A59"/>
    <mergeCell ref="A7:A12"/>
    <mergeCell ref="B7:B12"/>
    <mergeCell ref="C7:C12"/>
    <mergeCell ref="D7:D12"/>
    <mergeCell ref="C29:D32"/>
    <mergeCell ref="E7:E12"/>
    <mergeCell ref="M10:Q10"/>
    <mergeCell ref="H9:H12"/>
    <mergeCell ref="I10:L10"/>
    <mergeCell ref="I11:I12"/>
    <mergeCell ref="J11:L11"/>
    <mergeCell ref="F8:F12"/>
    <mergeCell ref="G8:G12"/>
    <mergeCell ref="F7:G7"/>
    <mergeCell ref="A5:Q5"/>
    <mergeCell ref="C142:D142"/>
    <mergeCell ref="C114:D114"/>
    <mergeCell ref="C124:Q124"/>
    <mergeCell ref="N11:Q11"/>
    <mergeCell ref="C14:D14"/>
    <mergeCell ref="M11:M12"/>
    <mergeCell ref="H7:Q7"/>
    <mergeCell ref="H8:Q8"/>
    <mergeCell ref="I9:Q9"/>
    <mergeCell ref="C92:D95"/>
    <mergeCell ref="A60:A68"/>
    <mergeCell ref="A69:A77"/>
    <mergeCell ref="C36:Q36"/>
    <mergeCell ref="C45:Q45"/>
    <mergeCell ref="C54:Q54"/>
    <mergeCell ref="C72:Q72"/>
    <mergeCell ref="C38:D41"/>
    <mergeCell ref="C74:D77"/>
    <mergeCell ref="C83:D86"/>
    <mergeCell ref="C101:D104"/>
    <mergeCell ref="C110:D113"/>
    <mergeCell ref="C120:D123"/>
    <mergeCell ref="C20:D23"/>
    <mergeCell ref="C56:D59"/>
    <mergeCell ref="C65:D68"/>
    <mergeCell ref="C47:D50"/>
    <mergeCell ref="C81:Q81"/>
    <mergeCell ref="C90:Q90"/>
    <mergeCell ref="C99:Q99"/>
    <mergeCell ref="A124:A132"/>
    <mergeCell ref="A133:A141"/>
    <mergeCell ref="C138:D141"/>
    <mergeCell ref="C129:D132"/>
    <mergeCell ref="A78:A86"/>
    <mergeCell ref="A87:A95"/>
    <mergeCell ref="A96:A104"/>
    <mergeCell ref="A105:A113"/>
  </mergeCells>
  <printOptions/>
  <pageMargins left="0.1968503937007874" right="0.3937007874015748" top="0.5905511811023623" bottom="0.1968503937007874" header="0.15748031496062992" footer="0.1968503937007874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H10" sqref="H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8.75390625" style="1" customWidth="1"/>
    <col min="4" max="4" width="11.75390625" style="1" hidden="1" customWidth="1"/>
    <col min="5" max="5" width="13.375" style="1" customWidth="1"/>
    <col min="6" max="6" width="8.125" style="1" hidden="1" customWidth="1"/>
    <col min="7" max="16384" width="9.125" style="1" customWidth="1"/>
  </cols>
  <sheetData>
    <row r="1" ht="12.75">
      <c r="E1" s="7" t="s">
        <v>10</v>
      </c>
    </row>
    <row r="2" ht="12.75">
      <c r="E2" s="1" t="s">
        <v>11</v>
      </c>
    </row>
    <row r="3" ht="12.75">
      <c r="E3" s="1" t="s">
        <v>826</v>
      </c>
    </row>
    <row r="4" ht="12.75">
      <c r="E4" s="1" t="s">
        <v>12</v>
      </c>
    </row>
    <row r="6" spans="1:5" ht="15" customHeight="1">
      <c r="A6" s="1144" t="s">
        <v>478</v>
      </c>
      <c r="B6" s="1144"/>
      <c r="C6" s="1144"/>
      <c r="D6" s="1144"/>
      <c r="E6" s="1144"/>
    </row>
    <row r="7" ht="6.75" customHeight="1">
      <c r="A7" s="18"/>
    </row>
    <row r="8" ht="13.5" thickBot="1">
      <c r="E8" s="11" t="s">
        <v>434</v>
      </c>
    </row>
    <row r="9" spans="1:6" ht="15" customHeight="1">
      <c r="A9" s="1065" t="s">
        <v>453</v>
      </c>
      <c r="B9" s="1067" t="s">
        <v>398</v>
      </c>
      <c r="C9" s="1068" t="s">
        <v>455</v>
      </c>
      <c r="D9" s="1145" t="s">
        <v>821</v>
      </c>
      <c r="E9" s="1068" t="s">
        <v>456</v>
      </c>
      <c r="F9" s="1069" t="s">
        <v>822</v>
      </c>
    </row>
    <row r="10" spans="1:6" ht="15" customHeight="1">
      <c r="A10" s="1066"/>
      <c r="B10" s="1058"/>
      <c r="C10" s="1058"/>
      <c r="D10" s="1146"/>
      <c r="E10" s="1059"/>
      <c r="F10" s="1070"/>
    </row>
    <row r="11" spans="1:6" ht="15.75" customHeight="1">
      <c r="A11" s="1066"/>
      <c r="B11" s="1058"/>
      <c r="C11" s="1058"/>
      <c r="D11" s="1147"/>
      <c r="E11" s="1059"/>
      <c r="F11" s="1070"/>
    </row>
    <row r="12" spans="1:6" s="72" customFormat="1" ht="6.75" customHeight="1">
      <c r="A12" s="954">
        <v>1</v>
      </c>
      <c r="B12" s="71">
        <v>2</v>
      </c>
      <c r="C12" s="71">
        <v>3</v>
      </c>
      <c r="D12" s="71">
        <v>4</v>
      </c>
      <c r="E12" s="71">
        <v>5</v>
      </c>
      <c r="F12" s="955">
        <v>6</v>
      </c>
    </row>
    <row r="13" spans="1:6" s="72" customFormat="1" ht="13.5" customHeight="1">
      <c r="A13" s="249" t="s">
        <v>403</v>
      </c>
      <c r="B13" s="250" t="s">
        <v>823</v>
      </c>
      <c r="C13" s="71"/>
      <c r="D13" s="709">
        <f>'Dochody-ukł.wykon.'!E283</f>
        <v>37525799</v>
      </c>
      <c r="E13" s="709">
        <f>'Dochody-ukł.wykon.'!F283</f>
        <v>35454860</v>
      </c>
      <c r="F13" s="956">
        <f aca="true" t="shared" si="0" ref="F13:F18">E13/D13*100</f>
        <v>94.48129272344075</v>
      </c>
    </row>
    <row r="14" spans="1:6" s="72" customFormat="1" ht="13.5" customHeight="1">
      <c r="A14" s="251" t="s">
        <v>408</v>
      </c>
      <c r="B14" s="252" t="s">
        <v>481</v>
      </c>
      <c r="C14" s="71"/>
      <c r="D14" s="709">
        <f>'WYDATKI ukł.wyk.'!E677</f>
        <v>38926114</v>
      </c>
      <c r="E14" s="709">
        <f>'WYDATKI ukł.wyk.'!F677</f>
        <v>34892013</v>
      </c>
      <c r="F14" s="956">
        <f t="shared" si="0"/>
        <v>89.63651753164983</v>
      </c>
    </row>
    <row r="15" spans="1:6" s="72" customFormat="1" ht="13.5" customHeight="1">
      <c r="A15" s="251"/>
      <c r="B15" s="252" t="s">
        <v>824</v>
      </c>
      <c r="C15" s="71"/>
      <c r="D15" s="709">
        <f>D13-D14</f>
        <v>-1400315</v>
      </c>
      <c r="E15" s="709">
        <f>E13-E14</f>
        <v>562847</v>
      </c>
      <c r="F15" s="956">
        <f t="shared" si="0"/>
        <v>-40.19431342233712</v>
      </c>
    </row>
    <row r="16" spans="1:6" s="72" customFormat="1" ht="13.5" customHeight="1">
      <c r="A16" s="253"/>
      <c r="B16" s="254" t="s">
        <v>825</v>
      </c>
      <c r="C16" s="71"/>
      <c r="D16" s="709">
        <f>D17-D26</f>
        <v>2748976</v>
      </c>
      <c r="E16" s="709">
        <f>E17-E26</f>
        <v>-562847</v>
      </c>
      <c r="F16" s="956">
        <f t="shared" si="0"/>
        <v>-20.474787702766413</v>
      </c>
    </row>
    <row r="17" spans="1:6" ht="18.75" customHeight="1">
      <c r="A17" s="972" t="s">
        <v>409</v>
      </c>
      <c r="B17" s="973" t="s">
        <v>418</v>
      </c>
      <c r="C17" s="24"/>
      <c r="D17" s="952">
        <f>SUM(D18:D25)</f>
        <v>3423049</v>
      </c>
      <c r="E17" s="953">
        <f>SUM(E18:E25)</f>
        <v>0</v>
      </c>
      <c r="F17" s="957">
        <f t="shared" si="0"/>
        <v>0</v>
      </c>
    </row>
    <row r="18" spans="1:6" ht="18.75" customHeight="1">
      <c r="A18" s="958" t="s">
        <v>404</v>
      </c>
      <c r="B18" s="26" t="s">
        <v>412</v>
      </c>
      <c r="C18" s="25" t="s">
        <v>419</v>
      </c>
      <c r="D18" s="308">
        <v>927418</v>
      </c>
      <c r="E18" s="26"/>
      <c r="F18" s="959">
        <f t="shared" si="0"/>
        <v>0</v>
      </c>
    </row>
    <row r="19" spans="1:6" ht="18.75" customHeight="1">
      <c r="A19" s="960" t="s">
        <v>405</v>
      </c>
      <c r="B19" s="28" t="s">
        <v>413</v>
      </c>
      <c r="C19" s="27" t="s">
        <v>419</v>
      </c>
      <c r="D19" s="306"/>
      <c r="E19" s="28"/>
      <c r="F19" s="961"/>
    </row>
    <row r="20" spans="1:6" ht="51">
      <c r="A20" s="960" t="s">
        <v>406</v>
      </c>
      <c r="B20" s="29" t="s">
        <v>536</v>
      </c>
      <c r="C20" s="27" t="s">
        <v>441</v>
      </c>
      <c r="D20" s="306"/>
      <c r="E20" s="28"/>
      <c r="F20" s="961"/>
    </row>
    <row r="21" spans="1:6" ht="18.75" customHeight="1">
      <c r="A21" s="960" t="s">
        <v>394</v>
      </c>
      <c r="B21" s="28" t="s">
        <v>421</v>
      </c>
      <c r="C21" s="27" t="s">
        <v>442</v>
      </c>
      <c r="D21" s="306"/>
      <c r="E21" s="28"/>
      <c r="F21" s="961"/>
    </row>
    <row r="22" spans="1:6" ht="18.75" customHeight="1">
      <c r="A22" s="960" t="s">
        <v>411</v>
      </c>
      <c r="B22" s="28" t="s">
        <v>537</v>
      </c>
      <c r="C22" s="27" t="s">
        <v>553</v>
      </c>
      <c r="D22" s="306"/>
      <c r="E22" s="28"/>
      <c r="F22" s="961"/>
    </row>
    <row r="23" spans="1:6" ht="18.75" customHeight="1">
      <c r="A23" s="960" t="s">
        <v>414</v>
      </c>
      <c r="B23" s="28" t="s">
        <v>415</v>
      </c>
      <c r="C23" s="27" t="s">
        <v>420</v>
      </c>
      <c r="D23" s="306">
        <v>2495631</v>
      </c>
      <c r="E23" s="28"/>
      <c r="F23" s="961">
        <f>E23/D23*100</f>
        <v>0</v>
      </c>
    </row>
    <row r="24" spans="1:6" ht="18.75" customHeight="1">
      <c r="A24" s="960" t="s">
        <v>416</v>
      </c>
      <c r="B24" s="28" t="s">
        <v>566</v>
      </c>
      <c r="C24" s="27" t="s">
        <v>472</v>
      </c>
      <c r="D24" s="306"/>
      <c r="E24" s="28"/>
      <c r="F24" s="961"/>
    </row>
    <row r="25" spans="1:6" ht="18.75" customHeight="1">
      <c r="A25" s="960" t="s">
        <v>423</v>
      </c>
      <c r="B25" s="31" t="s">
        <v>440</v>
      </c>
      <c r="C25" s="30" t="s">
        <v>422</v>
      </c>
      <c r="D25" s="712"/>
      <c r="E25" s="31"/>
      <c r="F25" s="962"/>
    </row>
    <row r="26" spans="1:6" ht="18.75" customHeight="1">
      <c r="A26" s="972" t="s">
        <v>431</v>
      </c>
      <c r="B26" s="973" t="s">
        <v>538</v>
      </c>
      <c r="C26" s="24"/>
      <c r="D26" s="307">
        <f>SUM(D27:D33)</f>
        <v>674073</v>
      </c>
      <c r="E26" s="952">
        <f>SUM(E27:E33)</f>
        <v>562847</v>
      </c>
      <c r="F26" s="963">
        <f>E26/D26*100</f>
        <v>83.49941326829587</v>
      </c>
    </row>
    <row r="27" spans="1:6" ht="18.75" customHeight="1">
      <c r="A27" s="958" t="s">
        <v>404</v>
      </c>
      <c r="B27" s="26" t="s">
        <v>443</v>
      </c>
      <c r="C27" s="25" t="s">
        <v>425</v>
      </c>
      <c r="D27" s="308">
        <v>522825</v>
      </c>
      <c r="E27" s="710">
        <v>537847</v>
      </c>
      <c r="F27" s="964">
        <f>E27/D27*100</f>
        <v>102.87323674269592</v>
      </c>
    </row>
    <row r="28" spans="1:6" ht="18.75" customHeight="1">
      <c r="A28" s="960" t="s">
        <v>405</v>
      </c>
      <c r="B28" s="28" t="s">
        <v>424</v>
      </c>
      <c r="C28" s="27" t="s">
        <v>425</v>
      </c>
      <c r="D28" s="306">
        <v>151248</v>
      </c>
      <c r="E28" s="711">
        <v>10000</v>
      </c>
      <c r="F28" s="965">
        <f>E28/D28*100</f>
        <v>6.611657674812228</v>
      </c>
    </row>
    <row r="29" spans="1:6" ht="38.25">
      <c r="A29" s="960" t="s">
        <v>406</v>
      </c>
      <c r="B29" s="29" t="s">
        <v>446</v>
      </c>
      <c r="C29" s="27" t="s">
        <v>447</v>
      </c>
      <c r="D29" s="306"/>
      <c r="E29" s="711"/>
      <c r="F29" s="961"/>
    </row>
    <row r="30" spans="1:6" ht="18.75" customHeight="1">
      <c r="A30" s="960" t="s">
        <v>394</v>
      </c>
      <c r="B30" s="28" t="s">
        <v>444</v>
      </c>
      <c r="C30" s="27" t="s">
        <v>438</v>
      </c>
      <c r="D30" s="306"/>
      <c r="E30" s="711">
        <v>15000</v>
      </c>
      <c r="F30" s="961">
        <v>0</v>
      </c>
    </row>
    <row r="31" spans="1:6" ht="18.75" customHeight="1">
      <c r="A31" s="960" t="s">
        <v>411</v>
      </c>
      <c r="B31" s="28" t="s">
        <v>445</v>
      </c>
      <c r="C31" s="27" t="s">
        <v>427</v>
      </c>
      <c r="D31" s="306"/>
      <c r="E31" s="711"/>
      <c r="F31" s="961"/>
    </row>
    <row r="32" spans="1:6" ht="18.75" customHeight="1">
      <c r="A32" s="960" t="s">
        <v>414</v>
      </c>
      <c r="B32" s="28" t="s">
        <v>567</v>
      </c>
      <c r="C32" s="27" t="s">
        <v>428</v>
      </c>
      <c r="D32" s="306"/>
      <c r="E32" s="711"/>
      <c r="F32" s="961"/>
    </row>
    <row r="33" spans="1:6" ht="18.75" customHeight="1" thickBot="1">
      <c r="A33" s="966" t="s">
        <v>416</v>
      </c>
      <c r="B33" s="967" t="s">
        <v>429</v>
      </c>
      <c r="C33" s="968" t="s">
        <v>426</v>
      </c>
      <c r="D33" s="969"/>
      <c r="E33" s="970"/>
      <c r="F33" s="971"/>
    </row>
    <row r="34" spans="1:5" ht="7.5" customHeight="1">
      <c r="A34" s="4"/>
      <c r="B34" s="5"/>
      <c r="C34" s="5"/>
      <c r="D34" s="5"/>
      <c r="E34" s="5"/>
    </row>
    <row r="35" spans="1:7" ht="12.75">
      <c r="A35" s="44"/>
      <c r="B35" s="43"/>
      <c r="C35" s="43"/>
      <c r="D35" s="43"/>
      <c r="E35" s="43"/>
      <c r="F35" s="39"/>
      <c r="G35" s="39"/>
    </row>
  </sheetData>
  <mergeCells count="7">
    <mergeCell ref="F9:F11"/>
    <mergeCell ref="A6:E6"/>
    <mergeCell ref="A9:A11"/>
    <mergeCell ref="C9:C11"/>
    <mergeCell ref="B9:B11"/>
    <mergeCell ref="E9:E11"/>
    <mergeCell ref="D9:D11"/>
  </mergeCells>
  <printOptions horizontalCentered="1"/>
  <pageMargins left="0.3937007874015748" right="0.3937007874015748" top="0.56" bottom="0.5905511811023623" header="0.5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workbookViewId="0" topLeftCell="A1">
      <selection activeCell="F28" sqref="F28"/>
    </sheetView>
  </sheetViews>
  <sheetFormatPr defaultColWidth="9.00390625" defaultRowHeight="12.75"/>
  <cols>
    <col min="1" max="1" width="4.625" style="120" customWidth="1"/>
    <col min="2" max="2" width="6.125" style="120" customWidth="1"/>
    <col min="3" max="3" width="5.00390625" style="120" customWidth="1"/>
    <col min="4" max="4" width="46.875" style="120" customWidth="1"/>
    <col min="5" max="5" width="13.00390625" style="120" customWidth="1"/>
    <col min="6" max="6" width="11.00390625" style="120" customWidth="1"/>
    <col min="7" max="16384" width="9.125" style="120" customWidth="1"/>
  </cols>
  <sheetData>
    <row r="1" spans="5:6" ht="12">
      <c r="E1" s="137"/>
      <c r="F1" s="121" t="s">
        <v>32</v>
      </c>
    </row>
    <row r="2" spans="5:6" ht="12">
      <c r="E2" s="137"/>
      <c r="F2" s="121" t="s">
        <v>33</v>
      </c>
    </row>
    <row r="3" spans="5:6" ht="12">
      <c r="E3" s="137"/>
      <c r="F3" s="121" t="s">
        <v>826</v>
      </c>
    </row>
    <row r="4" spans="5:6" ht="12">
      <c r="E4" s="137"/>
      <c r="F4" s="121" t="s">
        <v>34</v>
      </c>
    </row>
    <row r="9" spans="1:6" ht="16.5" customHeight="1">
      <c r="A9" s="1148" t="s">
        <v>35</v>
      </c>
      <c r="B9" s="1148"/>
      <c r="C9" s="1148"/>
      <c r="D9" s="1148"/>
      <c r="E9" s="1148"/>
      <c r="F9" s="1148"/>
    </row>
    <row r="10" spans="1:6" ht="18">
      <c r="A10" s="1149" t="s">
        <v>229</v>
      </c>
      <c r="B10" s="1149"/>
      <c r="C10" s="1149"/>
      <c r="D10" s="1149"/>
      <c r="E10" s="1149"/>
      <c r="F10" s="1149"/>
    </row>
    <row r="11" spans="1:6" ht="20.25" customHeight="1">
      <c r="A11" s="1149" t="s">
        <v>228</v>
      </c>
      <c r="B11" s="1149"/>
      <c r="C11" s="1149"/>
      <c r="D11" s="1149"/>
      <c r="E11" s="1149"/>
      <c r="F11" s="1149"/>
    </row>
    <row r="12" spans="2:6" ht="9.75">
      <c r="B12" s="124"/>
      <c r="C12" s="124"/>
      <c r="D12" s="124"/>
      <c r="E12" s="124"/>
      <c r="F12" s="124"/>
    </row>
    <row r="13" spans="5:6" ht="10.5" thickBot="1">
      <c r="E13" s="460"/>
      <c r="F13" s="460"/>
    </row>
    <row r="14" spans="1:6" ht="12" thickBot="1">
      <c r="A14" s="461"/>
      <c r="B14" s="462"/>
      <c r="C14" s="462"/>
      <c r="D14" s="463"/>
      <c r="E14" s="464" t="s">
        <v>36</v>
      </c>
      <c r="F14" s="465"/>
    </row>
    <row r="15" spans="1:6" ht="11.25">
      <c r="A15" s="466" t="s">
        <v>635</v>
      </c>
      <c r="B15" s="467" t="s">
        <v>433</v>
      </c>
      <c r="C15" s="467" t="s">
        <v>397</v>
      </c>
      <c r="D15" s="467" t="s">
        <v>37</v>
      </c>
      <c r="E15" s="464" t="s">
        <v>38</v>
      </c>
      <c r="F15" s="465" t="s">
        <v>401</v>
      </c>
    </row>
    <row r="16" spans="1:6" ht="11.25">
      <c r="A16" s="468"/>
      <c r="B16" s="469"/>
      <c r="C16" s="469"/>
      <c r="D16" s="470"/>
      <c r="E16" s="471" t="s">
        <v>39</v>
      </c>
      <c r="F16" s="472"/>
    </row>
    <row r="17" spans="1:6" ht="12" thickBot="1">
      <c r="A17" s="473"/>
      <c r="B17" s="474"/>
      <c r="C17" s="475"/>
      <c r="D17" s="476"/>
      <c r="E17" s="476" t="s">
        <v>40</v>
      </c>
      <c r="F17" s="477"/>
    </row>
    <row r="18" spans="1:6" s="132" customFormat="1" ht="10.5" customHeight="1" thickBot="1">
      <c r="A18" s="126">
        <v>1</v>
      </c>
      <c r="B18" s="128">
        <v>2</v>
      </c>
      <c r="C18" s="128">
        <v>3</v>
      </c>
      <c r="D18" s="128">
        <v>4</v>
      </c>
      <c r="E18" s="127">
        <v>5</v>
      </c>
      <c r="F18" s="130">
        <v>6</v>
      </c>
    </row>
    <row r="19" spans="1:6" ht="13.5" thickBot="1">
      <c r="A19" s="83" t="s">
        <v>616</v>
      </c>
      <c r="B19" s="140"/>
      <c r="C19" s="140"/>
      <c r="D19" s="478" t="s">
        <v>617</v>
      </c>
      <c r="E19" s="479">
        <f>E20</f>
        <v>25000</v>
      </c>
      <c r="F19" s="480">
        <f>F20</f>
        <v>25000</v>
      </c>
    </row>
    <row r="20" spans="1:6" ht="12.75">
      <c r="A20" s="144"/>
      <c r="B20" s="87" t="s">
        <v>619</v>
      </c>
      <c r="C20" s="145"/>
      <c r="D20" s="481" t="s">
        <v>41</v>
      </c>
      <c r="E20" s="482">
        <f>E21</f>
        <v>25000</v>
      </c>
      <c r="F20" s="483">
        <f>SUM(F21:F22)</f>
        <v>25000</v>
      </c>
    </row>
    <row r="21" spans="1:6" ht="12.75">
      <c r="A21" s="144"/>
      <c r="B21" s="150"/>
      <c r="C21" s="151" t="s">
        <v>876</v>
      </c>
      <c r="D21" s="186" t="s">
        <v>42</v>
      </c>
      <c r="E21" s="189">
        <f>'[1]Dochody-ukł.wykon.'!F14</f>
        <v>25000</v>
      </c>
      <c r="F21" s="484"/>
    </row>
    <row r="22" spans="1:6" ht="12.75">
      <c r="A22" s="144"/>
      <c r="B22" s="150"/>
      <c r="C22" s="151" t="s">
        <v>640</v>
      </c>
      <c r="D22" s="186" t="s">
        <v>641</v>
      </c>
      <c r="E22" s="189"/>
      <c r="F22" s="484">
        <f>'[1]WYDATKI ukł.wyk.'!F17</f>
        <v>25000</v>
      </c>
    </row>
    <row r="23" spans="1:6" ht="12.75">
      <c r="A23" s="167"/>
      <c r="B23" s="150"/>
      <c r="C23" s="150"/>
      <c r="D23" s="186"/>
      <c r="E23" s="189"/>
      <c r="F23" s="484"/>
    </row>
    <row r="24" spans="1:6" ht="13.5" thickBot="1">
      <c r="A24" s="107">
        <v>700</v>
      </c>
      <c r="B24" s="140"/>
      <c r="C24" s="140"/>
      <c r="D24" s="210" t="s">
        <v>677</v>
      </c>
      <c r="E24" s="479">
        <f>E25</f>
        <v>26000</v>
      </c>
      <c r="F24" s="480">
        <f>F25</f>
        <v>26000</v>
      </c>
    </row>
    <row r="25" spans="1:6" ht="12.75">
      <c r="A25" s="167"/>
      <c r="B25" s="109">
        <v>70005</v>
      </c>
      <c r="C25" s="145"/>
      <c r="D25" s="485" t="s">
        <v>678</v>
      </c>
      <c r="E25" s="482">
        <f>E26</f>
        <v>26000</v>
      </c>
      <c r="F25" s="483">
        <f>SUM(F27:F31)</f>
        <v>26000</v>
      </c>
    </row>
    <row r="26" spans="1:6" ht="12.75">
      <c r="A26" s="167"/>
      <c r="B26" s="150"/>
      <c r="C26" s="151" t="s">
        <v>876</v>
      </c>
      <c r="D26" s="186" t="s">
        <v>42</v>
      </c>
      <c r="E26" s="189">
        <f>'[1]Dochody-ukł.wykon.'!F53</f>
        <v>26000</v>
      </c>
      <c r="F26" s="484"/>
    </row>
    <row r="27" spans="1:6" ht="12.75">
      <c r="A27" s="167"/>
      <c r="B27" s="150"/>
      <c r="C27" s="151" t="s">
        <v>769</v>
      </c>
      <c r="D27" s="186" t="s">
        <v>654</v>
      </c>
      <c r="E27" s="189"/>
      <c r="F27" s="486">
        <v>10000</v>
      </c>
    </row>
    <row r="28" spans="1:6" ht="12.75">
      <c r="A28" s="167"/>
      <c r="B28" s="150"/>
      <c r="C28" s="151" t="s">
        <v>640</v>
      </c>
      <c r="D28" s="186" t="s">
        <v>641</v>
      </c>
      <c r="E28" s="189"/>
      <c r="F28" s="486">
        <v>10000</v>
      </c>
    </row>
    <row r="29" spans="1:6" ht="12.75">
      <c r="A29" s="167"/>
      <c r="B29" s="150"/>
      <c r="C29" s="151" t="s">
        <v>45</v>
      </c>
      <c r="D29" s="186" t="s">
        <v>660</v>
      </c>
      <c r="E29" s="189"/>
      <c r="F29" s="486">
        <v>600</v>
      </c>
    </row>
    <row r="30" spans="1:6" ht="12.75">
      <c r="A30" s="167"/>
      <c r="B30" s="150"/>
      <c r="C30" s="151" t="s">
        <v>679</v>
      </c>
      <c r="D30" s="186" t="s">
        <v>662</v>
      </c>
      <c r="E30" s="189"/>
      <c r="F30" s="486">
        <v>4900</v>
      </c>
    </row>
    <row r="31" spans="1:6" ht="12.75">
      <c r="A31" s="167"/>
      <c r="B31" s="150"/>
      <c r="C31" s="151" t="s">
        <v>680</v>
      </c>
      <c r="D31" s="188" t="s">
        <v>63</v>
      </c>
      <c r="E31" s="189"/>
      <c r="F31" s="486">
        <v>500</v>
      </c>
    </row>
    <row r="32" spans="1:6" ht="12.75">
      <c r="A32" s="167"/>
      <c r="B32" s="150"/>
      <c r="C32" s="151"/>
      <c r="D32" s="186"/>
      <c r="E32" s="189"/>
      <c r="F32" s="484"/>
    </row>
    <row r="33" spans="1:6" ht="13.5" thickBot="1">
      <c r="A33" s="107">
        <v>710</v>
      </c>
      <c r="B33" s="140"/>
      <c r="C33" s="171"/>
      <c r="D33" s="210" t="s">
        <v>682</v>
      </c>
      <c r="E33" s="479">
        <f>E34+E38+E41</f>
        <v>262864</v>
      </c>
      <c r="F33" s="480">
        <f>F34+F38+F41</f>
        <v>262864</v>
      </c>
    </row>
    <row r="34" spans="1:6" ht="12.75">
      <c r="A34" s="167"/>
      <c r="B34" s="109">
        <v>71013</v>
      </c>
      <c r="C34" s="157"/>
      <c r="D34" s="485" t="s">
        <v>914</v>
      </c>
      <c r="E34" s="482">
        <f>E35</f>
        <v>40000</v>
      </c>
      <c r="F34" s="483">
        <f>SUM(F36:F37)</f>
        <v>40000</v>
      </c>
    </row>
    <row r="35" spans="1:6" ht="12.75">
      <c r="A35" s="167"/>
      <c r="B35" s="150"/>
      <c r="C35" s="151" t="s">
        <v>876</v>
      </c>
      <c r="D35" s="186" t="s">
        <v>42</v>
      </c>
      <c r="E35" s="189">
        <f>'[1]Dochody-ukł.wykon.'!F65</f>
        <v>40000</v>
      </c>
      <c r="F35" s="484"/>
    </row>
    <row r="36" spans="1:6" ht="12.75">
      <c r="A36" s="167"/>
      <c r="B36" s="150"/>
      <c r="C36" s="151" t="s">
        <v>640</v>
      </c>
      <c r="D36" s="186" t="s">
        <v>641</v>
      </c>
      <c r="E36" s="189"/>
      <c r="F36" s="484">
        <f>'[1]WYDATKI ukł.wyk.'!F80</f>
        <v>39500</v>
      </c>
    </row>
    <row r="37" spans="1:6" ht="12.75">
      <c r="A37" s="167"/>
      <c r="B37" s="150"/>
      <c r="C37" s="151" t="s">
        <v>680</v>
      </c>
      <c r="D37" s="188" t="s">
        <v>681</v>
      </c>
      <c r="E37" s="189"/>
      <c r="F37" s="484">
        <f>'[1]WYDATKI ukł.wyk.'!F81</f>
        <v>500</v>
      </c>
    </row>
    <row r="38" spans="1:6" ht="12.75">
      <c r="A38" s="167"/>
      <c r="B38" s="109">
        <v>71014</v>
      </c>
      <c r="C38" s="157"/>
      <c r="D38" s="485" t="s">
        <v>684</v>
      </c>
      <c r="E38" s="482">
        <f>E39</f>
        <v>14000</v>
      </c>
      <c r="F38" s="483">
        <f>SUM(F40)</f>
        <v>14000</v>
      </c>
    </row>
    <row r="39" spans="1:6" ht="12.75">
      <c r="A39" s="167"/>
      <c r="B39" s="150"/>
      <c r="C39" s="151" t="s">
        <v>876</v>
      </c>
      <c r="D39" s="186" t="s">
        <v>42</v>
      </c>
      <c r="E39" s="189">
        <f>'[1]Dochody-ukł.wykon.'!F69</f>
        <v>14000</v>
      </c>
      <c r="F39" s="484"/>
    </row>
    <row r="40" spans="1:6" ht="12.75">
      <c r="A40" s="167"/>
      <c r="B40" s="150"/>
      <c r="C40" s="151" t="s">
        <v>640</v>
      </c>
      <c r="D40" s="186" t="s">
        <v>641</v>
      </c>
      <c r="E40" s="189"/>
      <c r="F40" s="484">
        <f>'[1]WYDATKI ukł.wyk.'!F84</f>
        <v>14000</v>
      </c>
    </row>
    <row r="41" spans="1:6" ht="12.75">
      <c r="A41" s="167"/>
      <c r="B41" s="109">
        <v>71015</v>
      </c>
      <c r="C41" s="145"/>
      <c r="D41" s="485" t="s">
        <v>685</v>
      </c>
      <c r="E41" s="482">
        <f>SUM(E42:E42)</f>
        <v>208864</v>
      </c>
      <c r="F41" s="483">
        <f>SUM(F43:F57)</f>
        <v>208864</v>
      </c>
    </row>
    <row r="42" spans="1:6" ht="12.75">
      <c r="A42" s="167"/>
      <c r="B42" s="150"/>
      <c r="C42" s="426">
        <v>2110</v>
      </c>
      <c r="D42" s="186" t="s">
        <v>42</v>
      </c>
      <c r="E42" s="189">
        <f>'[1]Dochody-ukł.wykon.'!F73</f>
        <v>208864</v>
      </c>
      <c r="F42" s="484"/>
    </row>
    <row r="43" spans="1:6" ht="12.75">
      <c r="A43" s="167"/>
      <c r="B43" s="150"/>
      <c r="C43" s="198">
        <v>4010</v>
      </c>
      <c r="D43" s="188" t="s">
        <v>647</v>
      </c>
      <c r="E43" s="189"/>
      <c r="F43" s="484">
        <f>'[1]WYDATKI ukł.wyk.'!F87</f>
        <v>121407</v>
      </c>
    </row>
    <row r="44" spans="1:6" ht="12.75">
      <c r="A44" s="167"/>
      <c r="B44" s="150"/>
      <c r="C44" s="198">
        <v>4040</v>
      </c>
      <c r="D44" s="188" t="s">
        <v>648</v>
      </c>
      <c r="E44" s="189"/>
      <c r="F44" s="484">
        <f>'[1]WYDATKI ukł.wyk.'!F88</f>
        <v>9723</v>
      </c>
    </row>
    <row r="45" spans="1:6" ht="12.75">
      <c r="A45" s="167"/>
      <c r="B45" s="150"/>
      <c r="C45" s="198">
        <v>4110</v>
      </c>
      <c r="D45" s="188" t="s">
        <v>649</v>
      </c>
      <c r="E45" s="189"/>
      <c r="F45" s="484">
        <f>'[1]WYDATKI ukł.wyk.'!F89</f>
        <v>23335</v>
      </c>
    </row>
    <row r="46" spans="1:6" ht="12.75">
      <c r="A46" s="167"/>
      <c r="B46" s="150"/>
      <c r="C46" s="198">
        <v>4120</v>
      </c>
      <c r="D46" s="188" t="s">
        <v>43</v>
      </c>
      <c r="E46" s="189"/>
      <c r="F46" s="484">
        <f>'[1]WYDATKI ukł.wyk.'!F90</f>
        <v>3166</v>
      </c>
    </row>
    <row r="47" spans="1:6" ht="12.75">
      <c r="A47" s="167"/>
      <c r="B47" s="150"/>
      <c r="C47" s="198">
        <v>4170</v>
      </c>
      <c r="D47" s="188" t="s">
        <v>651</v>
      </c>
      <c r="E47" s="189"/>
      <c r="F47" s="484">
        <f>'[1]WYDATKI ukł.wyk.'!F91</f>
        <v>2200</v>
      </c>
    </row>
    <row r="48" spans="1:6" ht="12.75">
      <c r="A48" s="167"/>
      <c r="B48" s="150"/>
      <c r="C48" s="198">
        <v>4210</v>
      </c>
      <c r="D48" s="188" t="s">
        <v>652</v>
      </c>
      <c r="E48" s="189"/>
      <c r="F48" s="484">
        <f>'[1]WYDATKI ukł.wyk.'!F92</f>
        <v>11422</v>
      </c>
    </row>
    <row r="49" spans="1:6" ht="12.75">
      <c r="A49" s="167"/>
      <c r="B49" s="150"/>
      <c r="C49" s="150">
        <v>4270</v>
      </c>
      <c r="D49" s="188" t="s">
        <v>654</v>
      </c>
      <c r="E49" s="189"/>
      <c r="F49" s="484">
        <f>'[1]WYDATKI ukł.wyk.'!F93</f>
        <v>2200</v>
      </c>
    </row>
    <row r="50" spans="1:6" ht="12.75">
      <c r="A50" s="167"/>
      <c r="B50" s="150"/>
      <c r="C50" s="198">
        <v>4280</v>
      </c>
      <c r="D50" s="188" t="s">
        <v>655</v>
      </c>
      <c r="E50" s="189"/>
      <c r="F50" s="484">
        <f>'[1]WYDATKI ukł.wyk.'!F94</f>
        <v>100</v>
      </c>
    </row>
    <row r="51" spans="1:6" ht="12.75">
      <c r="A51" s="167"/>
      <c r="B51" s="150"/>
      <c r="C51" s="487" t="s">
        <v>640</v>
      </c>
      <c r="D51" s="188" t="s">
        <v>641</v>
      </c>
      <c r="E51" s="189"/>
      <c r="F51" s="484">
        <f>'[1]WYDATKI ukł.wyk.'!F95</f>
        <v>14811</v>
      </c>
    </row>
    <row r="52" spans="1:6" ht="12.75">
      <c r="A52" s="167"/>
      <c r="B52" s="150"/>
      <c r="C52" s="150">
        <v>4350</v>
      </c>
      <c r="D52" s="188" t="s">
        <v>656</v>
      </c>
      <c r="E52" s="189"/>
      <c r="F52" s="484">
        <f>'[1]WYDATKI ukł.wyk.'!F96</f>
        <v>1200</v>
      </c>
    </row>
    <row r="53" spans="1:6" ht="12.75">
      <c r="A53" s="167"/>
      <c r="B53" s="150"/>
      <c r="C53" s="150">
        <v>4370</v>
      </c>
      <c r="D53" s="188" t="s">
        <v>44</v>
      </c>
      <c r="E53" s="189"/>
      <c r="F53" s="484">
        <f>'[1]WYDATKI ukł.wyk.'!F97</f>
        <v>5400</v>
      </c>
    </row>
    <row r="54" spans="1:6" ht="12.75">
      <c r="A54" s="167"/>
      <c r="B54" s="150"/>
      <c r="C54" s="150">
        <v>4400</v>
      </c>
      <c r="D54" s="188" t="s">
        <v>686</v>
      </c>
      <c r="E54" s="189"/>
      <c r="F54" s="484">
        <f>'[1]WYDATKI ukł.wyk.'!F98</f>
        <v>6000</v>
      </c>
    </row>
    <row r="55" spans="1:6" ht="12.75">
      <c r="A55" s="167"/>
      <c r="B55" s="150"/>
      <c r="C55" s="150">
        <v>4410</v>
      </c>
      <c r="D55" s="188" t="s">
        <v>659</v>
      </c>
      <c r="E55" s="189"/>
      <c r="F55" s="484">
        <f>'[1]WYDATKI ukł.wyk.'!F99</f>
        <v>2500</v>
      </c>
    </row>
    <row r="56" spans="1:6" ht="12.75">
      <c r="A56" s="167"/>
      <c r="B56" s="150"/>
      <c r="C56" s="487" t="s">
        <v>45</v>
      </c>
      <c r="D56" s="188" t="s">
        <v>660</v>
      </c>
      <c r="E56" s="189"/>
      <c r="F56" s="484">
        <f>'[1]WYDATKI ukł.wyk.'!F100</f>
        <v>1900</v>
      </c>
    </row>
    <row r="57" spans="1:6" ht="12.75">
      <c r="A57" s="167"/>
      <c r="B57" s="150"/>
      <c r="C57" s="487" t="s">
        <v>46</v>
      </c>
      <c r="D57" s="188" t="s">
        <v>47</v>
      </c>
      <c r="E57" s="189"/>
      <c r="F57" s="484">
        <f>'[1]WYDATKI ukł.wyk.'!F101</f>
        <v>3500</v>
      </c>
    </row>
    <row r="58" spans="1:6" ht="12.75">
      <c r="A58" s="144"/>
      <c r="B58" s="169"/>
      <c r="C58" s="150"/>
      <c r="D58" s="186"/>
      <c r="E58" s="189"/>
      <c r="F58" s="484"/>
    </row>
    <row r="59" spans="1:6" ht="13.5" thickBot="1">
      <c r="A59" s="107">
        <v>750</v>
      </c>
      <c r="B59" s="140"/>
      <c r="C59" s="140"/>
      <c r="D59" s="210" t="s">
        <v>688</v>
      </c>
      <c r="E59" s="479">
        <f>E60+E80</f>
        <v>171421</v>
      </c>
      <c r="F59" s="480">
        <f>F60+F80</f>
        <v>171421</v>
      </c>
    </row>
    <row r="60" spans="1:6" ht="12.75">
      <c r="A60" s="167"/>
      <c r="B60" s="109">
        <v>75011</v>
      </c>
      <c r="C60" s="145"/>
      <c r="D60" s="485" t="s">
        <v>689</v>
      </c>
      <c r="E60" s="482">
        <f>E61</f>
        <v>154421</v>
      </c>
      <c r="F60" s="483">
        <f>SUM(F62:F79)</f>
        <v>154421</v>
      </c>
    </row>
    <row r="61" spans="1:6" ht="12.75">
      <c r="A61" s="167"/>
      <c r="B61" s="150"/>
      <c r="C61" s="150">
        <v>2110</v>
      </c>
      <c r="D61" s="186" t="s">
        <v>42</v>
      </c>
      <c r="E61" s="189">
        <f>'[1]Dochody-ukł.wykon.'!F79</f>
        <v>154421</v>
      </c>
      <c r="F61" s="484"/>
    </row>
    <row r="62" spans="1:6" ht="12.75">
      <c r="A62" s="167"/>
      <c r="B62" s="150"/>
      <c r="C62" s="198">
        <v>3020</v>
      </c>
      <c r="D62" s="166" t="s">
        <v>798</v>
      </c>
      <c r="E62" s="185"/>
      <c r="F62" s="486">
        <f>178+292</f>
        <v>470</v>
      </c>
    </row>
    <row r="63" spans="1:6" ht="12.75">
      <c r="A63" s="167"/>
      <c r="B63" s="150"/>
      <c r="C63" s="198">
        <v>4010</v>
      </c>
      <c r="D63" s="188" t="s">
        <v>647</v>
      </c>
      <c r="E63" s="189"/>
      <c r="F63" s="486">
        <f>32406+27000+15000</f>
        <v>74406</v>
      </c>
    </row>
    <row r="64" spans="1:6" ht="12.75">
      <c r="A64" s="167"/>
      <c r="B64" s="150"/>
      <c r="C64" s="198">
        <v>4040</v>
      </c>
      <c r="D64" s="188" t="s">
        <v>648</v>
      </c>
      <c r="E64" s="189"/>
      <c r="F64" s="486">
        <f>2067+9714</f>
        <v>11781</v>
      </c>
    </row>
    <row r="65" spans="1:6" ht="12.75">
      <c r="A65" s="167"/>
      <c r="B65" s="150"/>
      <c r="C65" s="198">
        <v>4110</v>
      </c>
      <c r="D65" s="188" t="s">
        <v>649</v>
      </c>
      <c r="E65" s="189"/>
      <c r="F65" s="486">
        <f>5852+4841+3000</f>
        <v>13693</v>
      </c>
    </row>
    <row r="66" spans="1:6" ht="12.75">
      <c r="A66" s="167"/>
      <c r="B66" s="150"/>
      <c r="C66" s="198">
        <v>4120</v>
      </c>
      <c r="D66" s="188" t="s">
        <v>650</v>
      </c>
      <c r="E66" s="189"/>
      <c r="F66" s="486">
        <f>746+709+746</f>
        <v>2201</v>
      </c>
    </row>
    <row r="67" spans="1:6" ht="12.75">
      <c r="A67" s="167"/>
      <c r="B67" s="150"/>
      <c r="C67" s="198">
        <v>4170</v>
      </c>
      <c r="D67" s="188" t="s">
        <v>651</v>
      </c>
      <c r="E67" s="189"/>
      <c r="F67" s="486">
        <v>5640</v>
      </c>
    </row>
    <row r="68" spans="1:6" ht="12.75">
      <c r="A68" s="167"/>
      <c r="B68" s="150"/>
      <c r="C68" s="198">
        <v>4210</v>
      </c>
      <c r="D68" s="188" t="s">
        <v>652</v>
      </c>
      <c r="E68" s="189"/>
      <c r="F68" s="486">
        <f>3000+3000</f>
        <v>6000</v>
      </c>
    </row>
    <row r="69" spans="1:6" ht="12.75">
      <c r="A69" s="167"/>
      <c r="B69" s="150"/>
      <c r="C69" s="198">
        <v>4260</v>
      </c>
      <c r="D69" s="188" t="s">
        <v>653</v>
      </c>
      <c r="E69" s="189"/>
      <c r="F69" s="486">
        <f>6425+1000</f>
        <v>7425</v>
      </c>
    </row>
    <row r="70" spans="1:6" ht="12.75">
      <c r="A70" s="167"/>
      <c r="B70" s="150"/>
      <c r="C70" s="198">
        <v>4270</v>
      </c>
      <c r="D70" s="188" t="s">
        <v>654</v>
      </c>
      <c r="E70" s="189"/>
      <c r="F70" s="486">
        <v>600</v>
      </c>
    </row>
    <row r="71" spans="1:6" ht="12.75">
      <c r="A71" s="167"/>
      <c r="B71" s="150"/>
      <c r="C71" s="198">
        <v>4280</v>
      </c>
      <c r="D71" s="188" t="s">
        <v>655</v>
      </c>
      <c r="E71" s="189"/>
      <c r="F71" s="486">
        <v>245</v>
      </c>
    </row>
    <row r="72" spans="1:6" ht="12.75">
      <c r="A72" s="167"/>
      <c r="B72" s="150"/>
      <c r="C72" s="487" t="s">
        <v>640</v>
      </c>
      <c r="D72" s="188" t="s">
        <v>641</v>
      </c>
      <c r="E72" s="189"/>
      <c r="F72" s="486">
        <f>10679+5300</f>
        <v>15979</v>
      </c>
    </row>
    <row r="73" spans="1:6" ht="12.75">
      <c r="A73" s="167"/>
      <c r="B73" s="150"/>
      <c r="C73" s="487" t="s">
        <v>48</v>
      </c>
      <c r="D73" s="188" t="s">
        <v>656</v>
      </c>
      <c r="E73" s="189"/>
      <c r="F73" s="486">
        <v>2828</v>
      </c>
    </row>
    <row r="74" spans="1:6" ht="12.75">
      <c r="A74" s="167"/>
      <c r="B74" s="150"/>
      <c r="C74" s="487" t="s">
        <v>49</v>
      </c>
      <c r="D74" s="188" t="s">
        <v>50</v>
      </c>
      <c r="E74" s="189"/>
      <c r="F74" s="486">
        <f>1675+1792</f>
        <v>3467</v>
      </c>
    </row>
    <row r="75" spans="1:6" ht="12.75">
      <c r="A75" s="167"/>
      <c r="B75" s="150"/>
      <c r="C75" s="487" t="s">
        <v>51</v>
      </c>
      <c r="D75" s="188" t="s">
        <v>659</v>
      </c>
      <c r="E75" s="189"/>
      <c r="F75" s="486">
        <f>1000+1500</f>
        <v>2500</v>
      </c>
    </row>
    <row r="76" spans="1:6" ht="12.75">
      <c r="A76" s="167"/>
      <c r="B76" s="150"/>
      <c r="C76" s="487" t="s">
        <v>46</v>
      </c>
      <c r="D76" s="188" t="s">
        <v>47</v>
      </c>
      <c r="E76" s="189"/>
      <c r="F76" s="486">
        <v>4586</v>
      </c>
    </row>
    <row r="77" spans="1:6" ht="12.75">
      <c r="A77" s="167"/>
      <c r="B77" s="150"/>
      <c r="C77" s="220" t="s">
        <v>680</v>
      </c>
      <c r="D77" s="186" t="s">
        <v>52</v>
      </c>
      <c r="E77" s="189"/>
      <c r="F77" s="486">
        <v>500</v>
      </c>
    </row>
    <row r="78" spans="1:6" ht="12.75">
      <c r="A78" s="167"/>
      <c r="B78" s="150"/>
      <c r="C78" s="220" t="s">
        <v>53</v>
      </c>
      <c r="D78" s="186" t="s">
        <v>54</v>
      </c>
      <c r="E78" s="189"/>
      <c r="F78" s="486">
        <v>1100</v>
      </c>
    </row>
    <row r="79" spans="1:6" ht="12.75">
      <c r="A79" s="167"/>
      <c r="B79" s="150"/>
      <c r="C79" s="220" t="s">
        <v>55</v>
      </c>
      <c r="D79" s="186" t="s">
        <v>56</v>
      </c>
      <c r="E79" s="189"/>
      <c r="F79" s="486">
        <v>1000</v>
      </c>
    </row>
    <row r="80" spans="1:6" ht="12.75">
      <c r="A80" s="167"/>
      <c r="B80" s="109">
        <v>75045</v>
      </c>
      <c r="C80" s="145"/>
      <c r="D80" s="485" t="s">
        <v>699</v>
      </c>
      <c r="E80" s="482">
        <f>E81</f>
        <v>17000</v>
      </c>
      <c r="F80" s="483">
        <f>SUM(F82:F91)</f>
        <v>17000</v>
      </c>
    </row>
    <row r="81" spans="1:6" ht="12.75">
      <c r="A81" s="167"/>
      <c r="B81" s="150"/>
      <c r="C81" s="150">
        <v>2110</v>
      </c>
      <c r="D81" s="186" t="s">
        <v>42</v>
      </c>
      <c r="E81" s="189">
        <f>'[1]Dochody-ukł.wykon.'!F92</f>
        <v>17000</v>
      </c>
      <c r="F81" s="484"/>
    </row>
    <row r="82" spans="1:6" ht="12.75">
      <c r="A82" s="167"/>
      <c r="B82" s="150"/>
      <c r="C82" s="487" t="s">
        <v>57</v>
      </c>
      <c r="D82" s="188" t="s">
        <v>693</v>
      </c>
      <c r="E82" s="189"/>
      <c r="F82" s="484">
        <f>'[1]WYDATKI ukł.wyk.'!F162</f>
        <v>1350</v>
      </c>
    </row>
    <row r="83" spans="1:6" ht="12.75">
      <c r="A83" s="167"/>
      <c r="B83" s="150"/>
      <c r="C83" s="198">
        <v>4110</v>
      </c>
      <c r="D83" s="188" t="s">
        <v>649</v>
      </c>
      <c r="E83" s="189"/>
      <c r="F83" s="484">
        <f>'[1]WYDATKI ukł.wyk.'!F163</f>
        <v>910</v>
      </c>
    </row>
    <row r="84" spans="1:6" ht="12.75">
      <c r="A84" s="167"/>
      <c r="B84" s="150"/>
      <c r="C84" s="198">
        <v>4120</v>
      </c>
      <c r="D84" s="188" t="s">
        <v>43</v>
      </c>
      <c r="E84" s="189"/>
      <c r="F84" s="484">
        <f>'[1]WYDATKI ukł.wyk.'!F164</f>
        <v>140</v>
      </c>
    </row>
    <row r="85" spans="1:6" ht="12.75">
      <c r="A85" s="167"/>
      <c r="B85" s="150"/>
      <c r="C85" s="198">
        <v>4170</v>
      </c>
      <c r="D85" s="188" t="s">
        <v>651</v>
      </c>
      <c r="E85" s="189"/>
      <c r="F85" s="484">
        <f>'[1]WYDATKI ukł.wyk.'!F165</f>
        <v>7000</v>
      </c>
    </row>
    <row r="86" spans="1:6" ht="12.75">
      <c r="A86" s="167"/>
      <c r="B86" s="150"/>
      <c r="C86" s="198">
        <v>4210</v>
      </c>
      <c r="D86" s="188" t="s">
        <v>652</v>
      </c>
      <c r="E86" s="189"/>
      <c r="F86" s="484">
        <f>'[1]WYDATKI ukł.wyk.'!F166</f>
        <v>4350</v>
      </c>
    </row>
    <row r="87" spans="1:6" ht="12.75">
      <c r="A87" s="167"/>
      <c r="B87" s="150"/>
      <c r="C87" s="220" t="s">
        <v>640</v>
      </c>
      <c r="D87" s="188" t="s">
        <v>641</v>
      </c>
      <c r="E87" s="189"/>
      <c r="F87" s="484">
        <f>'[1]WYDATKI ukł.wyk.'!F167</f>
        <v>2300</v>
      </c>
    </row>
    <row r="88" spans="1:6" ht="12.75">
      <c r="A88" s="167"/>
      <c r="B88" s="150"/>
      <c r="C88" s="150">
        <v>4370</v>
      </c>
      <c r="D88" s="188" t="s">
        <v>58</v>
      </c>
      <c r="E88" s="189"/>
      <c r="F88" s="484">
        <f>'[1]WYDATKI ukł.wyk.'!F168</f>
        <v>400</v>
      </c>
    </row>
    <row r="89" spans="1:6" ht="12.75">
      <c r="A89" s="167"/>
      <c r="B89" s="150"/>
      <c r="C89" s="220" t="s">
        <v>51</v>
      </c>
      <c r="D89" s="188" t="s">
        <v>659</v>
      </c>
      <c r="E89" s="189"/>
      <c r="F89" s="484">
        <f>'[1]WYDATKI ukł.wyk.'!F169</f>
        <v>200</v>
      </c>
    </row>
    <row r="90" spans="1:6" ht="12.75">
      <c r="A90" s="167"/>
      <c r="B90" s="150"/>
      <c r="C90" s="150">
        <v>4740</v>
      </c>
      <c r="D90" s="188" t="s">
        <v>59</v>
      </c>
      <c r="E90" s="189"/>
      <c r="F90" s="484">
        <f>'[1]WYDATKI ukł.wyk.'!F170</f>
        <v>200</v>
      </c>
    </row>
    <row r="91" spans="1:6" ht="12.75">
      <c r="A91" s="167"/>
      <c r="B91" s="150"/>
      <c r="C91" s="150">
        <v>4750</v>
      </c>
      <c r="D91" s="188" t="s">
        <v>56</v>
      </c>
      <c r="E91" s="189"/>
      <c r="F91" s="484">
        <f>'[1]WYDATKI ukł.wyk.'!F171</f>
        <v>150</v>
      </c>
    </row>
    <row r="92" spans="1:6" ht="12.75">
      <c r="A92" s="167"/>
      <c r="B92" s="150"/>
      <c r="C92" s="220"/>
      <c r="D92" s="188"/>
      <c r="E92" s="189"/>
      <c r="F92" s="484"/>
    </row>
    <row r="93" spans="1:6" ht="13.5" thickBot="1">
      <c r="A93" s="107">
        <v>754</v>
      </c>
      <c r="B93" s="140"/>
      <c r="C93" s="488"/>
      <c r="D93" s="210" t="s">
        <v>705</v>
      </c>
      <c r="E93" s="489">
        <f>E94</f>
        <v>1000</v>
      </c>
      <c r="F93" s="480">
        <f>F94</f>
        <v>1000</v>
      </c>
    </row>
    <row r="94" spans="1:6" ht="12.75">
      <c r="A94" s="167"/>
      <c r="B94" s="180">
        <v>75414</v>
      </c>
      <c r="C94" s="102"/>
      <c r="D94" s="490" t="s">
        <v>706</v>
      </c>
      <c r="E94" s="491">
        <f>E95</f>
        <v>1000</v>
      </c>
      <c r="F94" s="492">
        <f>F96</f>
        <v>1000</v>
      </c>
    </row>
    <row r="95" spans="1:6" ht="12.75">
      <c r="A95" s="167"/>
      <c r="B95" s="150"/>
      <c r="C95" s="156">
        <v>2110</v>
      </c>
      <c r="D95" s="186" t="s">
        <v>42</v>
      </c>
      <c r="E95" s="189">
        <f>'[1]Dochody-ukł.wykon.'!F107</f>
        <v>1000</v>
      </c>
      <c r="F95" s="484"/>
    </row>
    <row r="96" spans="1:6" ht="12.75">
      <c r="A96" s="167"/>
      <c r="B96" s="150"/>
      <c r="C96" s="220" t="s">
        <v>676</v>
      </c>
      <c r="D96" s="188" t="s">
        <v>652</v>
      </c>
      <c r="E96" s="189"/>
      <c r="F96" s="484">
        <f>'[1]WYDATKI ukł.wyk.'!F198</f>
        <v>1000</v>
      </c>
    </row>
    <row r="97" spans="1:6" ht="12.75">
      <c r="A97" s="167"/>
      <c r="B97" s="150"/>
      <c r="C97" s="220"/>
      <c r="D97" s="186"/>
      <c r="E97" s="189"/>
      <c r="F97" s="484"/>
    </row>
    <row r="98" spans="1:6" ht="13.5" thickBot="1">
      <c r="A98" s="107">
        <v>851</v>
      </c>
      <c r="B98" s="194"/>
      <c r="C98" s="140"/>
      <c r="D98" s="117" t="s">
        <v>737</v>
      </c>
      <c r="E98" s="479">
        <f>E99</f>
        <v>3238000</v>
      </c>
      <c r="F98" s="480">
        <f>F99</f>
        <v>3238000</v>
      </c>
    </row>
    <row r="99" spans="1:6" ht="12.75">
      <c r="A99" s="167"/>
      <c r="B99" s="109">
        <v>85156</v>
      </c>
      <c r="C99" s="145"/>
      <c r="D99" s="201" t="s">
        <v>60</v>
      </c>
      <c r="E99" s="482">
        <f>E100</f>
        <v>3238000</v>
      </c>
      <c r="F99" s="483">
        <f>SUM(F101)</f>
        <v>3238000</v>
      </c>
    </row>
    <row r="100" spans="1:6" ht="12.75">
      <c r="A100" s="167"/>
      <c r="B100" s="156"/>
      <c r="C100" s="150">
        <v>2110</v>
      </c>
      <c r="D100" s="186" t="s">
        <v>42</v>
      </c>
      <c r="E100" s="189">
        <f>'[1]Dochody-ukł.wykon.'!F191</f>
        <v>3238000</v>
      </c>
      <c r="F100" s="484"/>
    </row>
    <row r="101" spans="1:6" ht="12.75">
      <c r="A101" s="167"/>
      <c r="B101" s="150"/>
      <c r="C101" s="150">
        <v>4130</v>
      </c>
      <c r="D101" s="186" t="s">
        <v>753</v>
      </c>
      <c r="E101" s="189"/>
      <c r="F101" s="484">
        <f>'[1]WYDATKI ukł.wyk.'!F359</f>
        <v>3238000</v>
      </c>
    </row>
    <row r="102" spans="1:6" ht="12.75">
      <c r="A102" s="167"/>
      <c r="B102" s="150"/>
      <c r="C102" s="150"/>
      <c r="D102" s="186"/>
      <c r="E102" s="189"/>
      <c r="F102" s="484"/>
    </row>
    <row r="103" spans="1:6" ht="13.5" thickBot="1">
      <c r="A103" s="107">
        <v>852</v>
      </c>
      <c r="B103" s="140"/>
      <c r="C103" s="140"/>
      <c r="D103" s="210" t="s">
        <v>754</v>
      </c>
      <c r="E103" s="489">
        <f>E104</f>
        <v>324000</v>
      </c>
      <c r="F103" s="480">
        <f>F104</f>
        <v>324000</v>
      </c>
    </row>
    <row r="104" spans="1:6" ht="12.75">
      <c r="A104" s="167"/>
      <c r="B104" s="180">
        <v>85203</v>
      </c>
      <c r="C104" s="181"/>
      <c r="D104" s="118" t="s">
        <v>763</v>
      </c>
      <c r="E104" s="491">
        <f>E105</f>
        <v>324000</v>
      </c>
      <c r="F104" s="492">
        <f>SUM(F106:F122)</f>
        <v>324000</v>
      </c>
    </row>
    <row r="105" spans="1:6" ht="12.75">
      <c r="A105" s="167"/>
      <c r="B105" s="150"/>
      <c r="C105" s="150">
        <v>2110</v>
      </c>
      <c r="D105" s="188" t="s">
        <v>42</v>
      </c>
      <c r="E105" s="189">
        <f>'[1]Dochody-ukł.wykon.'!F216</f>
        <v>324000</v>
      </c>
      <c r="F105" s="484"/>
    </row>
    <row r="106" spans="1:6" ht="12.75">
      <c r="A106" s="167"/>
      <c r="B106" s="150"/>
      <c r="C106" s="150">
        <v>4010</v>
      </c>
      <c r="D106" s="188" t="s">
        <v>647</v>
      </c>
      <c r="E106" s="189"/>
      <c r="F106" s="484">
        <f>'[1]WYDATKI ukł.wyk.'!F421</f>
        <v>118823</v>
      </c>
    </row>
    <row r="107" spans="1:6" ht="12.75">
      <c r="A107" s="167"/>
      <c r="B107" s="150"/>
      <c r="C107" s="150">
        <v>4040</v>
      </c>
      <c r="D107" s="188" t="s">
        <v>61</v>
      </c>
      <c r="E107" s="189"/>
      <c r="F107" s="484">
        <f>'[1]WYDATKI ukł.wyk.'!F422</f>
        <v>7458</v>
      </c>
    </row>
    <row r="108" spans="1:6" ht="12.75">
      <c r="A108" s="167"/>
      <c r="B108" s="150"/>
      <c r="C108" s="150">
        <v>4110</v>
      </c>
      <c r="D108" s="188" t="s">
        <v>649</v>
      </c>
      <c r="E108" s="189"/>
      <c r="F108" s="484">
        <f>'[1]WYDATKI ukł.wyk.'!F423</f>
        <v>22023</v>
      </c>
    </row>
    <row r="109" spans="1:6" ht="12.75">
      <c r="A109" s="167"/>
      <c r="B109" s="150"/>
      <c r="C109" s="150">
        <v>4120</v>
      </c>
      <c r="D109" s="188" t="s">
        <v>650</v>
      </c>
      <c r="E109" s="189"/>
      <c r="F109" s="484">
        <f>'[1]WYDATKI ukł.wyk.'!F424</f>
        <v>3094</v>
      </c>
    </row>
    <row r="110" spans="1:6" ht="12.75">
      <c r="A110" s="167"/>
      <c r="B110" s="150"/>
      <c r="C110" s="150">
        <v>4210</v>
      </c>
      <c r="D110" s="188" t="s">
        <v>652</v>
      </c>
      <c r="E110" s="189"/>
      <c r="F110" s="484">
        <f>'[1]WYDATKI ukł.wyk.'!F425</f>
        <v>71896</v>
      </c>
    </row>
    <row r="111" spans="1:6" ht="12.75">
      <c r="A111" s="167"/>
      <c r="B111" s="150"/>
      <c r="C111" s="150">
        <v>4220</v>
      </c>
      <c r="D111" s="188" t="s">
        <v>757</v>
      </c>
      <c r="E111" s="189"/>
      <c r="F111" s="484">
        <f>'[1]WYDATKI ukł.wyk.'!F426</f>
        <v>23760</v>
      </c>
    </row>
    <row r="112" spans="1:6" ht="12.75">
      <c r="A112" s="167"/>
      <c r="B112" s="150"/>
      <c r="C112" s="150">
        <v>4230</v>
      </c>
      <c r="D112" s="188" t="s">
        <v>764</v>
      </c>
      <c r="E112" s="189"/>
      <c r="F112" s="484">
        <f>'[1]WYDATKI ukł.wyk.'!F427</f>
        <v>1000</v>
      </c>
    </row>
    <row r="113" spans="1:6" ht="12.75">
      <c r="A113" s="167"/>
      <c r="B113" s="150"/>
      <c r="C113" s="150">
        <v>4260</v>
      </c>
      <c r="D113" s="188" t="s">
        <v>653</v>
      </c>
      <c r="E113" s="189"/>
      <c r="F113" s="484">
        <f>'[1]WYDATKI ukł.wyk.'!F428</f>
        <v>6000</v>
      </c>
    </row>
    <row r="114" spans="1:6" ht="12.75">
      <c r="A114" s="167"/>
      <c r="B114" s="150"/>
      <c r="C114" s="150">
        <v>4270</v>
      </c>
      <c r="D114" s="188" t="s">
        <v>654</v>
      </c>
      <c r="E114" s="189"/>
      <c r="F114" s="484">
        <f>'[1]WYDATKI ukł.wyk.'!F429</f>
        <v>3000</v>
      </c>
    </row>
    <row r="115" spans="1:6" ht="12.75">
      <c r="A115" s="167"/>
      <c r="B115" s="150"/>
      <c r="C115" s="150">
        <v>4280</v>
      </c>
      <c r="D115" s="188" t="s">
        <v>655</v>
      </c>
      <c r="E115" s="189"/>
      <c r="F115" s="484">
        <f>'[1]WYDATKI ukł.wyk.'!F430</f>
        <v>400</v>
      </c>
    </row>
    <row r="116" spans="1:6" ht="12.75">
      <c r="A116" s="167"/>
      <c r="B116" s="150"/>
      <c r="C116" s="150">
        <v>4300</v>
      </c>
      <c r="D116" s="188" t="s">
        <v>641</v>
      </c>
      <c r="E116" s="189"/>
      <c r="F116" s="484">
        <f>'[1]WYDATKI ukł.wyk.'!F431</f>
        <v>49996</v>
      </c>
    </row>
    <row r="117" spans="1:6" ht="12.75">
      <c r="A117" s="167"/>
      <c r="B117" s="150"/>
      <c r="C117" s="150">
        <v>4370</v>
      </c>
      <c r="D117" s="188" t="s">
        <v>62</v>
      </c>
      <c r="E117" s="189"/>
      <c r="F117" s="484">
        <f>'[1]WYDATKI ukł.wyk.'!F432</f>
        <v>3000</v>
      </c>
    </row>
    <row r="118" spans="1:6" ht="12.75">
      <c r="A118" s="167"/>
      <c r="B118" s="150"/>
      <c r="C118" s="150">
        <v>4410</v>
      </c>
      <c r="D118" s="188" t="s">
        <v>659</v>
      </c>
      <c r="E118" s="189"/>
      <c r="F118" s="484">
        <f>'[1]WYDATKI ukł.wyk.'!F433</f>
        <v>1500</v>
      </c>
    </row>
    <row r="119" spans="1:6" ht="12.75">
      <c r="A119" s="167"/>
      <c r="B119" s="150"/>
      <c r="C119" s="150">
        <v>4430</v>
      </c>
      <c r="D119" s="188" t="s">
        <v>660</v>
      </c>
      <c r="E119" s="189"/>
      <c r="F119" s="484">
        <f>'[1]WYDATKI ukł.wyk.'!F434</f>
        <v>3200</v>
      </c>
    </row>
    <row r="120" spans="1:6" ht="12.75">
      <c r="A120" s="167"/>
      <c r="B120" s="150"/>
      <c r="C120" s="150">
        <v>4440</v>
      </c>
      <c r="D120" s="188" t="s">
        <v>661</v>
      </c>
      <c r="E120" s="189"/>
      <c r="F120" s="484">
        <f>'[1]WYDATKI ukł.wyk.'!F435</f>
        <v>5350</v>
      </c>
    </row>
    <row r="121" spans="1:6" ht="12.75">
      <c r="A121" s="167"/>
      <c r="B121" s="150"/>
      <c r="C121" s="150">
        <v>4700</v>
      </c>
      <c r="D121" s="188" t="s">
        <v>63</v>
      </c>
      <c r="E121" s="189"/>
      <c r="F121" s="484">
        <f>'[1]WYDATKI ukł.wyk.'!F436</f>
        <v>3000</v>
      </c>
    </row>
    <row r="122" spans="1:6" ht="12.75">
      <c r="A122" s="167"/>
      <c r="B122" s="150"/>
      <c r="C122" s="150">
        <v>4740</v>
      </c>
      <c r="D122" s="188" t="s">
        <v>64</v>
      </c>
      <c r="E122" s="189"/>
      <c r="F122" s="484">
        <f>'[1]WYDATKI ukł.wyk.'!F437</f>
        <v>500</v>
      </c>
    </row>
    <row r="123" spans="1:6" ht="12.75">
      <c r="A123" s="167"/>
      <c r="B123" s="150"/>
      <c r="C123" s="150"/>
      <c r="D123" s="188"/>
      <c r="E123" s="189"/>
      <c r="F123" s="484"/>
    </row>
    <row r="124" spans="1:6" ht="12.75">
      <c r="A124" s="167"/>
      <c r="B124" s="150"/>
      <c r="C124" s="151"/>
      <c r="D124" s="188"/>
      <c r="E124" s="189"/>
      <c r="F124" s="484"/>
    </row>
    <row r="125" spans="1:6" ht="13.5" thickBot="1">
      <c r="A125" s="107">
        <v>853</v>
      </c>
      <c r="B125" s="140"/>
      <c r="C125" s="140"/>
      <c r="D125" s="210" t="s">
        <v>773</v>
      </c>
      <c r="E125" s="479">
        <f>E126</f>
        <v>320000</v>
      </c>
      <c r="F125" s="480">
        <f>F126</f>
        <v>320000</v>
      </c>
    </row>
    <row r="126" spans="1:6" ht="12.75">
      <c r="A126" s="167"/>
      <c r="B126" s="109">
        <v>85321</v>
      </c>
      <c r="C126" s="145"/>
      <c r="D126" s="485" t="s">
        <v>973</v>
      </c>
      <c r="E126" s="482">
        <f>E127</f>
        <v>320000</v>
      </c>
      <c r="F126" s="483">
        <f>SUM(F128:F143)</f>
        <v>320000</v>
      </c>
    </row>
    <row r="127" spans="1:6" ht="12.75">
      <c r="A127" s="167"/>
      <c r="B127" s="150"/>
      <c r="C127" s="150">
        <v>2110</v>
      </c>
      <c r="D127" s="186" t="s">
        <v>42</v>
      </c>
      <c r="E127" s="189">
        <f>'[1]Dochody-ukł.wykon.'!F246</f>
        <v>320000</v>
      </c>
      <c r="F127" s="484"/>
    </row>
    <row r="128" spans="1:6" ht="12.75">
      <c r="A128" s="167"/>
      <c r="B128" s="150"/>
      <c r="C128" s="198">
        <v>4010</v>
      </c>
      <c r="D128" s="188" t="s">
        <v>647</v>
      </c>
      <c r="E128" s="189"/>
      <c r="F128" s="484">
        <f>'[1]WYDATKI ukł.wyk.'!F492</f>
        <v>80185</v>
      </c>
    </row>
    <row r="129" spans="1:6" ht="12.75">
      <c r="A129" s="167"/>
      <c r="B129" s="150"/>
      <c r="C129" s="198">
        <v>4040</v>
      </c>
      <c r="D129" s="188" t="s">
        <v>648</v>
      </c>
      <c r="E129" s="189"/>
      <c r="F129" s="484">
        <f>'[1]WYDATKI ukł.wyk.'!F493</f>
        <v>4500</v>
      </c>
    </row>
    <row r="130" spans="1:6" ht="12.75">
      <c r="A130" s="167"/>
      <c r="B130" s="150"/>
      <c r="C130" s="198">
        <v>4110</v>
      </c>
      <c r="D130" s="188" t="s">
        <v>649</v>
      </c>
      <c r="E130" s="189"/>
      <c r="F130" s="484">
        <f>'[1]WYDATKI ukł.wyk.'!F494</f>
        <v>14600</v>
      </c>
    </row>
    <row r="131" spans="1:6" ht="12.75">
      <c r="A131" s="167"/>
      <c r="B131" s="150"/>
      <c r="C131" s="198">
        <v>4120</v>
      </c>
      <c r="D131" s="188" t="s">
        <v>43</v>
      </c>
      <c r="E131" s="189"/>
      <c r="F131" s="484">
        <f>'[1]WYDATKI ukł.wyk.'!F495</f>
        <v>2041</v>
      </c>
    </row>
    <row r="132" spans="1:6" ht="12.75">
      <c r="A132" s="167"/>
      <c r="B132" s="150"/>
      <c r="C132" s="198">
        <v>4210</v>
      </c>
      <c r="D132" s="188" t="s">
        <v>652</v>
      </c>
      <c r="E132" s="189"/>
      <c r="F132" s="484">
        <f>'[1]WYDATKI ukł.wyk.'!F496</f>
        <v>17088</v>
      </c>
    </row>
    <row r="133" spans="1:6" ht="12.75">
      <c r="A133" s="167"/>
      <c r="B133" s="150"/>
      <c r="C133" s="198">
        <v>4260</v>
      </c>
      <c r="D133" s="188" t="s">
        <v>653</v>
      </c>
      <c r="E133" s="189"/>
      <c r="F133" s="484">
        <f>'[1]WYDATKI ukł.wyk.'!F497</f>
        <v>11640</v>
      </c>
    </row>
    <row r="134" spans="1:6" ht="12.75">
      <c r="A134" s="167"/>
      <c r="B134" s="150"/>
      <c r="C134" s="198">
        <v>4270</v>
      </c>
      <c r="D134" s="188" t="s">
        <v>654</v>
      </c>
      <c r="E134" s="189"/>
      <c r="F134" s="484">
        <f>'[1]WYDATKI ukł.wyk.'!F498</f>
        <v>2400</v>
      </c>
    </row>
    <row r="135" spans="1:6" ht="12.75">
      <c r="A135" s="167"/>
      <c r="B135" s="150"/>
      <c r="C135" s="198">
        <v>4280</v>
      </c>
      <c r="D135" s="188" t="s">
        <v>655</v>
      </c>
      <c r="E135" s="189"/>
      <c r="F135" s="484">
        <f>'[1]WYDATKI ukł.wyk.'!F499</f>
        <v>100</v>
      </c>
    </row>
    <row r="136" spans="1:6" ht="12.75">
      <c r="A136" s="167"/>
      <c r="B136" s="150"/>
      <c r="C136" s="487" t="s">
        <v>640</v>
      </c>
      <c r="D136" s="188" t="s">
        <v>641</v>
      </c>
      <c r="E136" s="189"/>
      <c r="F136" s="484">
        <f>'[1]WYDATKI ukł.wyk.'!F500</f>
        <v>171195</v>
      </c>
    </row>
    <row r="137" spans="1:6" ht="12.75">
      <c r="A137" s="167"/>
      <c r="B137" s="150"/>
      <c r="C137" s="150">
        <v>4370</v>
      </c>
      <c r="D137" s="188" t="s">
        <v>50</v>
      </c>
      <c r="E137" s="189"/>
      <c r="F137" s="484">
        <f>'[1]WYDATKI ukł.wyk.'!F501</f>
        <v>4800</v>
      </c>
    </row>
    <row r="138" spans="1:6" ht="12.75">
      <c r="A138" s="167"/>
      <c r="B138" s="150"/>
      <c r="C138" s="198">
        <v>4410</v>
      </c>
      <c r="D138" s="188" t="s">
        <v>659</v>
      </c>
      <c r="E138" s="189"/>
      <c r="F138" s="484">
        <f>'[1]WYDATKI ukł.wyk.'!F502</f>
        <v>3000</v>
      </c>
    </row>
    <row r="139" spans="1:6" ht="12.75">
      <c r="A139" s="167"/>
      <c r="B139" s="150"/>
      <c r="C139" s="150">
        <v>4430</v>
      </c>
      <c r="D139" s="188" t="s">
        <v>660</v>
      </c>
      <c r="E139" s="189"/>
      <c r="F139" s="484">
        <f>'[1]WYDATKI ukł.wyk.'!F503</f>
        <v>700</v>
      </c>
    </row>
    <row r="140" spans="1:6" ht="12.75">
      <c r="A140" s="167"/>
      <c r="B140" s="150"/>
      <c r="C140" s="487" t="s">
        <v>46</v>
      </c>
      <c r="D140" s="188" t="s">
        <v>47</v>
      </c>
      <c r="E140" s="189"/>
      <c r="F140" s="484">
        <f>'[1]WYDATKI ukł.wyk.'!F504</f>
        <v>2751</v>
      </c>
    </row>
    <row r="141" spans="1:6" ht="12.75">
      <c r="A141" s="167"/>
      <c r="B141" s="150"/>
      <c r="C141" s="150">
        <v>4700</v>
      </c>
      <c r="D141" s="188" t="s">
        <v>63</v>
      </c>
      <c r="E141" s="189"/>
      <c r="F141" s="484">
        <f>'[1]WYDATKI ukł.wyk.'!F505</f>
        <v>1500</v>
      </c>
    </row>
    <row r="142" spans="1:6" ht="12.75">
      <c r="A142" s="167"/>
      <c r="B142" s="150"/>
      <c r="C142" s="150">
        <v>4740</v>
      </c>
      <c r="D142" s="188" t="s">
        <v>64</v>
      </c>
      <c r="E142" s="189"/>
      <c r="F142" s="484">
        <f>'[1]WYDATKI ukł.wyk.'!F506</f>
        <v>1500</v>
      </c>
    </row>
    <row r="143" spans="1:6" ht="12.75">
      <c r="A143" s="167"/>
      <c r="B143" s="150"/>
      <c r="C143" s="150">
        <v>4750</v>
      </c>
      <c r="D143" s="188" t="s">
        <v>56</v>
      </c>
      <c r="E143" s="189"/>
      <c r="F143" s="484">
        <f>'[1]WYDATKI ukł.wyk.'!F507</f>
        <v>2000</v>
      </c>
    </row>
    <row r="144" spans="1:6" ht="13.5" thickBot="1">
      <c r="A144" s="493"/>
      <c r="B144" s="494"/>
      <c r="C144" s="495"/>
      <c r="D144" s="496"/>
      <c r="E144" s="497"/>
      <c r="F144" s="498"/>
    </row>
    <row r="145" spans="1:6" ht="13.5" customHeight="1" thickBot="1">
      <c r="A145" s="123"/>
      <c r="B145" s="123"/>
      <c r="C145" s="123"/>
      <c r="D145" s="499" t="s">
        <v>65</v>
      </c>
      <c r="E145" s="500">
        <f>E125+E103+E98+E93+E59+E33+E24+E19</f>
        <v>4368285</v>
      </c>
      <c r="F145" s="501">
        <f>F125+F103+F98+F93+F59+F33+F24+F19</f>
        <v>4368285</v>
      </c>
    </row>
    <row r="146" spans="1:6" ht="13.5" customHeight="1">
      <c r="A146" s="123"/>
      <c r="B146" s="123"/>
      <c r="C146" s="123"/>
      <c r="D146" s="502" t="s">
        <v>66</v>
      </c>
      <c r="E146" s="503"/>
      <c r="F146" s="504">
        <f>SUM(F147:F149)</f>
        <v>528326</v>
      </c>
    </row>
    <row r="147" spans="1:6" ht="13.5" customHeight="1">
      <c r="A147" s="123"/>
      <c r="B147" s="123"/>
      <c r="C147" s="123"/>
      <c r="D147" s="505" t="s">
        <v>67</v>
      </c>
      <c r="E147" s="506"/>
      <c r="F147" s="507">
        <f>F43+F44+F47+F63+F64+F67+F85+F106+F107+F128+F129</f>
        <v>443123</v>
      </c>
    </row>
    <row r="148" spans="1:6" ht="13.5" customHeight="1">
      <c r="A148" s="123"/>
      <c r="B148" s="123"/>
      <c r="C148" s="123"/>
      <c r="D148" s="505" t="s">
        <v>68</v>
      </c>
      <c r="E148" s="506"/>
      <c r="F148" s="507">
        <f>F45+F46+F65+F66+F83+F84+F108+F109+F130+F131</f>
        <v>85203</v>
      </c>
    </row>
    <row r="149" spans="1:6" ht="13.5" customHeight="1">
      <c r="A149" s="123"/>
      <c r="B149" s="123"/>
      <c r="C149" s="123"/>
      <c r="D149" s="508" t="s">
        <v>69</v>
      </c>
      <c r="E149" s="509"/>
      <c r="F149" s="510">
        <v>0</v>
      </c>
    </row>
    <row r="150" spans="1:6" ht="13.5" customHeight="1" thickBot="1">
      <c r="A150" s="123"/>
      <c r="B150" s="123"/>
      <c r="C150" s="123"/>
      <c r="D150" s="511" t="s">
        <v>70</v>
      </c>
      <c r="E150" s="512"/>
      <c r="F150" s="513">
        <v>0</v>
      </c>
    </row>
    <row r="151" spans="1:6" ht="13.5" customHeight="1">
      <c r="A151" s="123"/>
      <c r="B151" s="123"/>
      <c r="C151" s="123"/>
      <c r="D151" s="514"/>
      <c r="E151" s="123"/>
      <c r="F151" s="123"/>
    </row>
    <row r="152" ht="13.5" customHeight="1">
      <c r="D152" s="515"/>
    </row>
    <row r="153" ht="13.5" customHeight="1">
      <c r="D153" s="515"/>
    </row>
    <row r="154" ht="13.5" customHeight="1"/>
    <row r="155" ht="13.5" customHeight="1"/>
    <row r="156" ht="13.5" customHeight="1"/>
    <row r="157" ht="13.5" customHeight="1"/>
    <row r="158" ht="13.5" customHeight="1"/>
    <row r="159" ht="10.5" customHeight="1"/>
    <row r="160" ht="10.5" customHeight="1"/>
  </sheetData>
  <mergeCells count="3">
    <mergeCell ref="A9:F9"/>
    <mergeCell ref="A10:F10"/>
    <mergeCell ref="A11:F11"/>
  </mergeCells>
  <printOptions/>
  <pageMargins left="1.25" right="0.3937007874015748" top="0.25" bottom="0.21" header="0.25" footer="0.11811023622047245"/>
  <pageSetup fitToHeight="2" fitToWidth="2" horizontalDpi="600" verticalDpi="600" orientation="portrait" paperSize="9" scale="84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MR</cp:lastModifiedBy>
  <cp:lastPrinted>2006-12-28T15:00:05Z</cp:lastPrinted>
  <dcterms:created xsi:type="dcterms:W3CDTF">1998-12-09T13:02:10Z</dcterms:created>
  <dcterms:modified xsi:type="dcterms:W3CDTF">2006-12-28T15:03:02Z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</Properties>
</file>