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30" yWindow="390" windowWidth="1680" windowHeight="6540" tabRatio="762" firstSheet="2" activeTab="4"/>
  </bookViews>
  <sheets>
    <sheet name="Dochody-ukł.wykon." sheetId="1" r:id="rId1"/>
    <sheet name="Wydatki wg grup" sheetId="2" r:id="rId2"/>
    <sheet name="WYDATKI ukł.wyk." sheetId="3" r:id="rId3"/>
    <sheet name="Wieloletnie programy" sheetId="4" r:id="rId4"/>
    <sheet name="Inwestycje 2007" sheetId="5" r:id="rId5"/>
    <sheet name="Projekty unijne (2)" sheetId="6" r:id="rId6"/>
    <sheet name="Żródła finans." sheetId="7" r:id="rId7"/>
    <sheet name="Doch.i wyd..zlec.zał.3" sheetId="8" r:id="rId8"/>
    <sheet name="Doch. i wyd. adm.-4a" sheetId="9" r:id="rId9"/>
    <sheet name="Wspolne 232-4" sheetId="10" r:id="rId10"/>
    <sheet name="Gosp. pom." sheetId="11" r:id="rId11"/>
    <sheet name="Stowarzyszenia 10" sheetId="12" r:id="rId12"/>
    <sheet name="PFOŚiGW" sheetId="13" r:id="rId13"/>
    <sheet name="PFGZGiK" sheetId="14" r:id="rId14"/>
    <sheet name="Prognoza dł. 8" sheetId="15" r:id="rId15"/>
    <sheet name="Sytuacja finans." sheetId="16" r:id="rId16"/>
    <sheet name="Dotacje podmiotowe" sheetId="17" r:id="rId17"/>
  </sheets>
  <definedNames>
    <definedName name="_xlnm.Print_Area" localSheetId="7">'Doch.i wyd..zlec.zał.3'!$A$1:$G$177</definedName>
    <definedName name="_xlnm.Print_Area" localSheetId="0">'Dochody-ukł.wykon.'!$A$1:$H$268</definedName>
    <definedName name="_xlnm.Print_Area" localSheetId="10">'Gosp. pom.'!$A$1:$K$18</definedName>
    <definedName name="_xlnm.Print_Area" localSheetId="4">'Inwestycje 2007'!$A$1:$L$29</definedName>
    <definedName name="_xlnm.Print_Area" localSheetId="13">'PFGZGiK'!$A$1:$E$28</definedName>
    <definedName name="_xlnm.Print_Area" localSheetId="14">'Prognoza dł. 8'!$A$1:$AA$34</definedName>
    <definedName name="_xlnm.Print_Area" localSheetId="2">'WYDATKI ukł.wyk.'!$A$1:$H$653</definedName>
    <definedName name="_xlnm.Print_Titles" localSheetId="7">'Doch.i wyd..zlec.zał.3'!$17:$17</definedName>
    <definedName name="_xlnm.Print_Titles" localSheetId="0">'Dochody-ukł.wykon.'!$11:$11</definedName>
    <definedName name="_xlnm.Print_Titles" localSheetId="14">'Prognoza dł. 8'!$A:$A</definedName>
    <definedName name="_xlnm.Print_Titles" localSheetId="5">'Projekty unijne (2)'!$13:$13</definedName>
    <definedName name="_xlnm.Print_Titles" localSheetId="15">'Sytuacja finans.'!$A:$A</definedName>
    <definedName name="_xlnm.Print_Titles" localSheetId="9">'Wspolne 232-4'!$13:$13</definedName>
    <definedName name="_xlnm.Print_Titles" localSheetId="2">'WYDATKI ukł.wyk.'!$13:$13</definedName>
    <definedName name="_xlnm.Print_Titles" localSheetId="1">'Wydatki wg grup'!$11:$11</definedName>
  </definedNames>
  <calcPr fullCalcOnLoad="1"/>
</workbook>
</file>

<file path=xl/sharedStrings.xml><?xml version="1.0" encoding="utf-8"?>
<sst xmlns="http://schemas.openxmlformats.org/spreadsheetml/2006/main" count="2166" uniqueCount="796">
  <si>
    <t>Wynagro-
dzenia</t>
  </si>
  <si>
    <t>Gospodarki Zasobem Geodezyjnym i Kartograficznym</t>
  </si>
  <si>
    <t>dotacje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</si>
  <si>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</si>
  <si>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</si>
  <si>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</si>
  <si>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</si>
  <si>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</si>
  <si>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</si>
  <si>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</si>
  <si>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</si>
  <si>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</si>
  <si>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Opracowanie dokumentacji technicznej przebudowy drogi nr 1145N Milejewo-Majewo</t>
  </si>
  <si>
    <t>14.</t>
  </si>
  <si>
    <t>Budowa kompleksu sportowo-rekreacyjnego w Pasłęku przy Zespole Szkół Ekonomicznych i Technicznych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</si>
  <si>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</si>
  <si>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</si>
  <si>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</si>
  <si>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</si>
  <si>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</si>
  <si>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</si>
  <si>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</si>
  <si>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</si>
  <si>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</si>
  <si>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</si>
  <si>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</si>
  <si>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</si>
  <si>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</si>
  <si>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</si>
  <si>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</si>
  <si>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</si>
  <si>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</si>
  <si>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</si>
  <si>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</si>
  <si>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</si>
  <si>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</si>
  <si>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</si>
  <si>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</si>
  <si>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Wykończenie IV piętra wraz z montażem dźwigu w  budynku Starostwa Powiatowego ul. Saperów 14A</t>
  </si>
  <si>
    <t>Plan wydatków budżetu powiatu elbląskiego na 2007 rok</t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</si>
  <si>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</si>
  <si>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</si>
  <si>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</si>
  <si>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</si>
  <si>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</si>
  <si>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</si>
  <si>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</si>
  <si>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</si>
  <si>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Plan
na 2007 r.
(6+12)</t>
  </si>
  <si>
    <t>Pochodne od 
wynagro-dzeń</t>
  </si>
  <si>
    <t>(** kol. 4 do wykorzystania fakultatywnego)</t>
  </si>
  <si>
    <t>środki pochodzące
 z innych  źródeł*</t>
  </si>
  <si>
    <t>Wydatki budżetu powiatu na  2007 r.</t>
  </si>
  <si>
    <t xml:space="preserve">*** źródła dochodów wskazanych przez Zarząd </t>
  </si>
  <si>
    <t>Plan przychodów i wydatków Powiatowego Funduszu</t>
  </si>
  <si>
    <t>010</t>
  </si>
  <si>
    <t>Rolnictwo i łowiectwo</t>
  </si>
  <si>
    <t>Prace geodezyjno-urządzeniowe na potrzeby rolnictwa</t>
  </si>
  <si>
    <t>01005</t>
  </si>
  <si>
    <t>01095</t>
  </si>
  <si>
    <t>Pozostała działalność</t>
  </si>
  <si>
    <t>020</t>
  </si>
  <si>
    <t>Leśnictwo</t>
  </si>
  <si>
    <t>02001</t>
  </si>
  <si>
    <t>Nadzór na gospodarką leśną</t>
  </si>
  <si>
    <t>02002</t>
  </si>
  <si>
    <t>Transport i łączność</t>
  </si>
  <si>
    <t>PW na 2006 r.</t>
  </si>
  <si>
    <t>Drogi publiczne powiatowe</t>
  </si>
  <si>
    <t>Załącznik nr 1</t>
  </si>
  <si>
    <t>do Uchwały Nr .............</t>
  </si>
  <si>
    <t>Zarządu Powiatu w Elblągu</t>
  </si>
  <si>
    <t>Dz.</t>
  </si>
  <si>
    <t xml:space="preserve">W y s z c z e g ó l n i e n i e </t>
  </si>
  <si>
    <t>PW za 2006 r.</t>
  </si>
  <si>
    <t>4300</t>
  </si>
  <si>
    <t>Zakup usług pozostałych</t>
  </si>
  <si>
    <t>8550</t>
  </si>
  <si>
    <t>Różne rozliczenia finansowe</t>
  </si>
  <si>
    <t xml:space="preserve">Różne wydatki na rzecz osób fizycznych </t>
  </si>
  <si>
    <t>Dotacje celowe na zadania bieżące wg porozumień między jst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</si>
  <si>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</si>
  <si>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</si>
  <si>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</si>
  <si>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</si>
  <si>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</si>
  <si>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</si>
  <si>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</si>
  <si>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</si>
  <si>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</si>
  <si>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</si>
  <si>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dostępu do sieci Internet</t>
  </si>
  <si>
    <t>Opłaty z tytułu zakupu usług telekom. tel. komórkowej</t>
  </si>
  <si>
    <t>Opłaty z tytułu zakupu usług telekom. tel. stacjonarnej</t>
  </si>
  <si>
    <t>Podróże służbowe krajowe</t>
  </si>
  <si>
    <t>Różne opłaty i składki</t>
  </si>
  <si>
    <t>Odpisy na zakładowy fundusz świadczeń socjalnych</t>
  </si>
  <si>
    <t>Podatek od nieruchomości</t>
  </si>
  <si>
    <t>Pozostałe podatki na rzecz budżetów j.s.t.</t>
  </si>
  <si>
    <t>Opłaty na rzecz budżetu państwa</t>
  </si>
  <si>
    <t>Opłaty na rzecz budżetów jednostek samorządu terytorialnego</t>
  </si>
  <si>
    <t>Podatek od towarów i usług</t>
  </si>
  <si>
    <t>Pozostałe odsetki</t>
  </si>
  <si>
    <t>Wydatki inwestycyjne jednostek budżetowych</t>
  </si>
  <si>
    <t>Wydatki na zakupy inwestycyjne jednostek budżetowych</t>
  </si>
  <si>
    <t>Turystyka</t>
  </si>
  <si>
    <t>Zadania w zakresie upowszechniania turystyki</t>
  </si>
  <si>
    <t>2830</t>
  </si>
  <si>
    <t>Dotacja celowa z budżetu na finansowanie lub dofinansowanie</t>
  </si>
  <si>
    <t>zad.zlec.do realizacji pozost.jedn.nie zalicznym do sekt.fin.publ.</t>
  </si>
  <si>
    <t>4210</t>
  </si>
  <si>
    <t>Gospodarka mieszkaniowa</t>
  </si>
  <si>
    <t>Gospodarka gruntami i nieruchomościami</t>
  </si>
  <si>
    <t>4480</t>
  </si>
  <si>
    <t>4700</t>
  </si>
  <si>
    <t>Szkolenia pracowników niebęd. człon. korpusu sł. cyw.</t>
  </si>
  <si>
    <t>Działalność usługowa</t>
  </si>
  <si>
    <t>Prace geodezyjne i kartograficzne (nieinwestycyjne)</t>
  </si>
  <si>
    <t>Opracowania geodezyjne i kartograficzne</t>
  </si>
  <si>
    <t>Nadzór budowlany</t>
  </si>
  <si>
    <t>Opłaty czynszowe za pomieszczenia biurowe</t>
  </si>
  <si>
    <t>Wydatki na zakupy inwestycyjne</t>
  </si>
  <si>
    <t>Administracja publiczna</t>
  </si>
  <si>
    <t>Urzędy wojewódzkie</t>
  </si>
  <si>
    <t>Zakup materiałów papierniczych do sprzętu drukarskiego i urządzeń kserograficznych</t>
  </si>
  <si>
    <t>Zakup akcesoriów komputerowych, w tym programów i licencji</t>
  </si>
  <si>
    <t>Rady powiatów</t>
  </si>
  <si>
    <t>Różne wydatki na rzecz osób fizycznych</t>
  </si>
  <si>
    <t>Podróże służbowe zagraniczne</t>
  </si>
  <si>
    <t>Starostwa powiatowe</t>
  </si>
  <si>
    <t>Opłaty za usługi internetowe</t>
  </si>
  <si>
    <t>Opłaty z tytułu zakupu usług telekom. tel. Komórkowej</t>
  </si>
  <si>
    <t>Wydatki na zakupy inwestycyjne jednostek budżet.</t>
  </si>
  <si>
    <t>Komisje poborowe</t>
  </si>
  <si>
    <t>Bezpieczeństwo publiczne i ochrona przeciwpożar.</t>
  </si>
  <si>
    <t>Obrona cywilna</t>
  </si>
  <si>
    <t>Obsługa długu publicznego</t>
  </si>
  <si>
    <t>Obsługa papierów wartościowych, kredytów i pożyczek</t>
  </si>
  <si>
    <t>Odsetki i dyskonta od papierów wart.oraz pożyczek</t>
  </si>
  <si>
    <t>Różne rozliczenia</t>
  </si>
  <si>
    <t>Rezerwy ogólne i celowe</t>
  </si>
  <si>
    <t>Rezerwy</t>
  </si>
  <si>
    <t>Oświata i wychowanie</t>
  </si>
  <si>
    <t>Szkoły podstawowe</t>
  </si>
  <si>
    <t>Zakup pomocy naukowych,dydaktycznych i książek</t>
  </si>
  <si>
    <t>Gimnazja</t>
  </si>
  <si>
    <t>Zakup pomocy naukowych, dydaktycznych i książek</t>
  </si>
  <si>
    <t>Licea ogólnokształcące</t>
  </si>
  <si>
    <t>Wydatki na zakupy inwestycyjne jednostek</t>
  </si>
  <si>
    <t>Szkoły zawodowe</t>
  </si>
  <si>
    <t>Dokształcanie i doskonalenie nauczycieli</t>
  </si>
  <si>
    <t>Dotacja celowa z budżetu na fin.lub dofin.zadań zleconych</t>
  </si>
  <si>
    <t>do realizacji stowarzyszeniom</t>
  </si>
  <si>
    <t>Szkolnictwo wyższe</t>
  </si>
  <si>
    <t>Pomoc materialna dla studentów i doktorantów</t>
  </si>
  <si>
    <t>Stypendia i zasiłki dla studentów</t>
  </si>
  <si>
    <t>Ochrona zdrowia</t>
  </si>
  <si>
    <t>Dotacje celowe na zadania bieżące wg porozumień</t>
  </si>
  <si>
    <t>Programy polityki zdrowotnej</t>
  </si>
  <si>
    <t xml:space="preserve">Składki na ubezpieczenia zdrowotne </t>
  </si>
  <si>
    <t>4130</t>
  </si>
  <si>
    <t>Składki na ubezpieczenia zdrowotne</t>
  </si>
  <si>
    <t>Pomoc społeczna</t>
  </si>
  <si>
    <t>Placówki opiekuńczo-wychowawcze</t>
  </si>
  <si>
    <t>Świadczenia społeczne</t>
  </si>
  <si>
    <t>Zakup środków żywności</t>
  </si>
  <si>
    <t>Domy pomocy społecznej</t>
  </si>
  <si>
    <t>Zakup usług obejmujących wykonanie ekspertyz, analiz i opinii</t>
  </si>
  <si>
    <t>Opłaty na rzecz budżetów jednostek samorząd.terytorial.</t>
  </si>
  <si>
    <t>Ośrodki wsparcia</t>
  </si>
  <si>
    <t>Zakup leków</t>
  </si>
  <si>
    <t>Rodziny zastępcze</t>
  </si>
  <si>
    <t>Powiatowe centra pomocy rodzinie</t>
  </si>
  <si>
    <t>Jednostki specjalist.poradnictwa, mieszkania chronione</t>
  </si>
  <si>
    <t>4260</t>
  </si>
  <si>
    <t>4270</t>
  </si>
  <si>
    <t>Pozostałe zadania w zakresie polityki społecznej</t>
  </si>
  <si>
    <t>Zespoły ds. orzekania o niepełnosprawności</t>
  </si>
  <si>
    <t>Powiatowe urzędy pracy</t>
  </si>
  <si>
    <t>Swiadczenia społeczne</t>
  </si>
  <si>
    <t>Edukacyjna opieka wychowawcza</t>
  </si>
  <si>
    <t>Świetlice szkolne</t>
  </si>
  <si>
    <t>Poradnie psychol.-pedagog.oraz in.porad.spec.</t>
  </si>
  <si>
    <t>Internaty i bursy szkolne</t>
  </si>
  <si>
    <t>podatek od towarów i usług</t>
  </si>
  <si>
    <t>Pomoc materialna dla uczniów</t>
  </si>
  <si>
    <t>Stypendia oraz inne formy pomocy dla uczniów</t>
  </si>
  <si>
    <t>Stypendia dla uczniów</t>
  </si>
  <si>
    <t>Młodzieżowe ośrodki wychowawcze</t>
  </si>
  <si>
    <t>Kultura i ochrona dziedzictwa narodowego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</si>
  <si>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</si>
  <si>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</si>
  <si>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</si>
  <si>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</si>
  <si>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</si>
  <si>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WYDATKI OGÓŁEM</t>
  </si>
  <si>
    <t>płace</t>
  </si>
  <si>
    <t>dług</t>
  </si>
  <si>
    <t>rzeczowe</t>
  </si>
  <si>
    <t>majątkowe</t>
  </si>
  <si>
    <t>Przebudowa drogi powiatowej Nr 1185 N Rychliki-Gołutowo (2007-2011)</t>
  </si>
  <si>
    <t>Przebudowa drogi powiatowej nr 1119N Karczowiska Górne-Marwica na odcinku Stankowo-Marwica (2007-2011)</t>
  </si>
  <si>
    <t>Przebudowa drogi powiatowej Nr 1185 Jelonki-Śliwice-Rychliki-Gołtowo na odcinku Jelonki-Śliwice (2007-2013)</t>
  </si>
  <si>
    <t>Budowa bazy rekreacyjno-biwakowej przy pochylni Buczyniec (2007-2011)</t>
  </si>
  <si>
    <t>Poprawa dostępu do portu w Elblągu- budowa mostu zwodzonego w Nowakowie (2007-2010)</t>
  </si>
  <si>
    <t>Inkubator Przedsiębiorczości Turystycznej Obszaru Kanału Elbląskiego w Pasłęku (2007-2009)</t>
  </si>
  <si>
    <t>Starostwo Powiatowe</t>
  </si>
  <si>
    <t>Budowa kompleksu sportowo-rekreacyjnego w Pasłęku przy Zespole Szkół Ekonomicznych i Technicznych (2007-2012)</t>
  </si>
  <si>
    <t>Utworzenie zespołu sportowo-rekreacyjnego Domu Dziecka w Marwicy (2007-2010)</t>
  </si>
  <si>
    <t>DD Marwica</t>
  </si>
  <si>
    <t>9.</t>
  </si>
  <si>
    <t>10.</t>
  </si>
  <si>
    <t>11.</t>
  </si>
  <si>
    <t>PW w 2006 r.</t>
  </si>
  <si>
    <t>Wsk. %     5/4</t>
  </si>
  <si>
    <t>Planowane dochody</t>
  </si>
  <si>
    <t>Nadwyżka / Deficyt   I - II</t>
  </si>
  <si>
    <t>Finansowanie   III -  IV</t>
  </si>
  <si>
    <t>Rady Powiatu w Elblągu</t>
  </si>
  <si>
    <t xml:space="preserve"> w złotych</t>
  </si>
  <si>
    <t>Klasyfikacja</t>
  </si>
  <si>
    <t>X</t>
  </si>
  <si>
    <t>Przebudowa toalety na parterze w bydynku Starostwa Powiatowego</t>
  </si>
  <si>
    <t>Dokończenie budowy windy</t>
  </si>
  <si>
    <t>Wykonanie dokumentacji techniczno-ekonomicznej na termomodernizację obiektów jednostek organizacyjnych powiatu elbląskiego</t>
  </si>
  <si>
    <t>12.</t>
  </si>
  <si>
    <t>13.</t>
  </si>
  <si>
    <t>Zakup rębaka do gałęzi</t>
  </si>
  <si>
    <t>Zakup ładowarko-koparki</t>
  </si>
  <si>
    <t>Zakup skrapiarki</t>
  </si>
  <si>
    <t>Zakup ciągnika z kosiarką, siewnika, dmuchawy spalinowej</t>
  </si>
  <si>
    <t>Zakup komputerów</t>
  </si>
  <si>
    <t>80120</t>
  </si>
  <si>
    <t>80130</t>
  </si>
  <si>
    <t>80146</t>
  </si>
  <si>
    <t>80195</t>
  </si>
  <si>
    <t>80197</t>
  </si>
  <si>
    <t>80309</t>
  </si>
  <si>
    <t xml:space="preserve">Pomoc społeczna </t>
  </si>
  <si>
    <t>85202</t>
  </si>
  <si>
    <t>Domu pomocy społecznej</t>
  </si>
  <si>
    <t>85203</t>
  </si>
  <si>
    <t>85204</t>
  </si>
  <si>
    <t>85218</t>
  </si>
  <si>
    <t>85220</t>
  </si>
  <si>
    <t>1.Gospodarstwo Pomocnicze "Pólko" przy Zespole Szkól Ekonomicznych i Technicznych w Pasłęku</t>
  </si>
  <si>
    <t>2. Zakład obsługi Powiatowego Zasobu Geodezyjnego i Kartograficznego w Elblągu</t>
  </si>
  <si>
    <t>Wpływy z usług</t>
  </si>
  <si>
    <t>Przelewy redystrybucyjne</t>
  </si>
  <si>
    <t>Odsetki bankowe</t>
  </si>
  <si>
    <t>Szkolenia pracowników niebędących członkami korpusu służby cywilnej</t>
  </si>
  <si>
    <t>Zakup materiałów papierniczych do sprzętu drukarskiego i urządzeń kserograficznyvh</t>
  </si>
  <si>
    <t>0830</t>
  </si>
  <si>
    <t>0920</t>
  </si>
  <si>
    <t>1</t>
  </si>
  <si>
    <t>2</t>
  </si>
  <si>
    <t>do uchwały Nr ...............</t>
  </si>
  <si>
    <t xml:space="preserve">      w złotych</t>
  </si>
  <si>
    <t xml:space="preserve">PW  za 2006 r. </t>
  </si>
  <si>
    <t>2110</t>
  </si>
  <si>
    <t>Dotacje celowe otrzymane z budżetu państwa  na</t>
  </si>
  <si>
    <t xml:space="preserve">zad. bieżące z zakresu adm.rząd. oraz inne zad.zlecone   </t>
  </si>
  <si>
    <t>0750</t>
  </si>
  <si>
    <t>Dochody z najmu i dzierżawy składników majątkowych</t>
  </si>
  <si>
    <t>Skarbu Państwa lub j.s.t.i innych umów</t>
  </si>
  <si>
    <t>Gospodarka leśna</t>
  </si>
  <si>
    <t>Środki otrzymane od pozostałych jedn.sekt.finansów publ.</t>
  </si>
  <si>
    <t>0690</t>
  </si>
  <si>
    <t>Wpływy z różnych opłat</t>
  </si>
  <si>
    <t>0970</t>
  </si>
  <si>
    <t>Wpływy z różnych dochodów</t>
  </si>
  <si>
    <t>2310</t>
  </si>
  <si>
    <t>Dotacje celowe otrzymane z gminy na zadania bieżące</t>
  </si>
  <si>
    <t>realizowane na podstwie porozumień między j.s.t.</t>
  </si>
  <si>
    <t>0470</t>
  </si>
  <si>
    <t>Wpływy z opłat za zarząd, użytkowanie i użytkowanie</t>
  </si>
  <si>
    <t>wieczyste nieruchomości</t>
  </si>
  <si>
    <t>0770</t>
  </si>
  <si>
    <t>Wpłaty z tyt.odpłatnego nabycia pr. własności nieruchom.</t>
  </si>
  <si>
    <t>0910</t>
  </si>
  <si>
    <t>Odsetki od nieterminowych wpłat z tyt. podatków i opłat</t>
  </si>
  <si>
    <t xml:space="preserve">zad.bieżące z zakresu adm.rząd. oraz inne zad.zlecone   </t>
  </si>
  <si>
    <t>2360</t>
  </si>
  <si>
    <t xml:space="preserve">Dochody j.s.t. zw. z real. zadań z zakresu adm.rządowej </t>
  </si>
  <si>
    <t>oraz innych zadań zleconych ustawami</t>
  </si>
  <si>
    <t>8510</t>
  </si>
  <si>
    <t>Wpływy z różnych rozliczeń</t>
  </si>
  <si>
    <t>Prace geodezyjne i kartograficzne /nieinwestycyjne/</t>
  </si>
  <si>
    <t xml:space="preserve">zad.bieżące z zakresu adm.rząd. oraz inne zad. zlecone   </t>
  </si>
  <si>
    <t xml:space="preserve">zad. bieżące z zakresu adm.rząd.oraz inne zad. zlecone   </t>
  </si>
  <si>
    <t>0420</t>
  </si>
  <si>
    <t xml:space="preserve">Wpływy z opłaty komunikacyjnej </t>
  </si>
  <si>
    <t>0840</t>
  </si>
  <si>
    <t>Wpływy ze sprzedaży wyrobów</t>
  </si>
  <si>
    <t>Odsetki od nieterminowych wpłat z tytułu podatków i opłat</t>
  </si>
  <si>
    <t>0960</t>
  </si>
  <si>
    <t xml:space="preserve">zad.bieżące z zakresu adm.rząd. oraz inne zad. zlecone  </t>
  </si>
  <si>
    <t>Bezpieczeństwo publiczne i ochrona przeciwpożarowa</t>
  </si>
  <si>
    <t>Dochody od osób prawnych, od osób fizycznych i od</t>
  </si>
  <si>
    <t>innych jednostek nieposiadających osob. prawnej</t>
  </si>
  <si>
    <t>Udziały powiatów w podatkach stanowiących dochód</t>
  </si>
  <si>
    <t>budżetu państwa</t>
  </si>
  <si>
    <t>0010</t>
  </si>
  <si>
    <t>Podatek dochodowy od osób fizycznych</t>
  </si>
  <si>
    <t xml:space="preserve">Część oświatowa subwencji ogólnej dla j.s.t. </t>
  </si>
  <si>
    <t>Subwencje ogólne z budżetu państwa</t>
  </si>
  <si>
    <t>Część wyrównawcza subwencji ogólnej dla powiatów</t>
  </si>
  <si>
    <t>Część równoważąca subwencji ogólnej dla powiatów</t>
  </si>
  <si>
    <t>2920</t>
  </si>
  <si>
    <t>Otrzymane spadki, zapisy i darowizny w postaci pieniężnej</t>
  </si>
  <si>
    <t>2130</t>
  </si>
  <si>
    <t xml:space="preserve">Dotacje celowe otrzymane z budżetu państwa na  </t>
  </si>
  <si>
    <t>realizację bieżących zadań własnych powiatu</t>
  </si>
  <si>
    <t>2380</t>
  </si>
  <si>
    <t>Wpłata do budżetu części zysku przez gosp.pomoc.</t>
  </si>
  <si>
    <t>realizowane na podstawie porozumień między j.s.t.</t>
  </si>
  <si>
    <t>Przeciwdziałanie alkoholizmowi</t>
  </si>
  <si>
    <t xml:space="preserve">Dotacje celowe otrzymane od samorządu woj. na </t>
  </si>
  <si>
    <t>zad.bieżące real. na pods. porozumień miedzy j.s.t.</t>
  </si>
  <si>
    <t>Składki na ubezpieczenia zdrowotne oraz świadczenia</t>
  </si>
  <si>
    <t>dla osób nie objętych obowiązkiem ubezp. zdrowotnego</t>
  </si>
  <si>
    <t>0870</t>
  </si>
  <si>
    <t>Wpływy ze sprzedaży składników majątkowych</t>
  </si>
  <si>
    <t>Dotacje celowe z budżetu państwa na zadania bieżące real.</t>
  </si>
  <si>
    <t>przez powiat na podst.porozumień z organami adm.rządowej</t>
  </si>
  <si>
    <t>Jednostki specjal.poradnictwa, mieszkania chronione</t>
  </si>
  <si>
    <t>Zespoły d/s orzekania o niepełnosprawności</t>
  </si>
  <si>
    <t>Państwowy Fundusz Rehabilitacji Osób Niepełnosprawnych</t>
  </si>
  <si>
    <t>2128</t>
  </si>
  <si>
    <t>2129</t>
  </si>
  <si>
    <t>DOCHODY OGÓŁEM</t>
  </si>
  <si>
    <t>1. Dochody własne</t>
  </si>
  <si>
    <t xml:space="preserve"> - udziały w podatku dochodowym</t>
  </si>
  <si>
    <t xml:space="preserve"> - z majątku powiatu</t>
  </si>
  <si>
    <t xml:space="preserve"> - pozostałe dochody</t>
  </si>
  <si>
    <t>2.Dotacje celowe</t>
  </si>
  <si>
    <t xml:space="preserve"> - na zadania własne - § 2130 , 6430</t>
  </si>
  <si>
    <t xml:space="preserve"> - na zadania zlecone  - § 2110, 6410</t>
  </si>
  <si>
    <t xml:space="preserve"> - na umowy i porozumienia z jst-§ 2310,2320,2330,6610</t>
  </si>
  <si>
    <t xml:space="preserve"> - na umowy i porozumienia z org. admin. rządow.</t>
  </si>
  <si>
    <t>3. Subwencje</t>
  </si>
  <si>
    <t>Załącznik nr 3</t>
  </si>
  <si>
    <t>do uchwały Nr</t>
  </si>
  <si>
    <t>Rady Powiatu w Elbląg</t>
  </si>
  <si>
    <t>Załącznik nr 3a</t>
  </si>
  <si>
    <t>do uchwały Nr.............</t>
  </si>
  <si>
    <t>RPO Warmia i Mazury na lata 2007-2013; projekt kluczowy pn. "Program rozwoju turystyki w obszarze Kanału Elbląskiego i Pojezierza Iławskiego na lata 2007-2013"; fiszka Nr ZPRL 3.1.8.50</t>
  </si>
  <si>
    <t>1.8</t>
  </si>
  <si>
    <t>1.9</t>
  </si>
  <si>
    <t>1.10</t>
  </si>
  <si>
    <t>RPO Warmia i Mazury na lata 2007-2013; projekt kluczowy pn. "Program rozwoju turystyki w obszarze Kanału Elbląskiego i Pojezierza Iławskiego na lata 2007-2013"; fiszka Nr ZPRL 2.12.14</t>
  </si>
  <si>
    <t>1.11</t>
  </si>
  <si>
    <t>Załącznik nr 5</t>
  </si>
  <si>
    <t>do uchwały nr.........</t>
  </si>
  <si>
    <t>Załącznik nr 9</t>
  </si>
  <si>
    <t>do uchwały nr ...........</t>
  </si>
  <si>
    <t>Załącznik nr 11</t>
  </si>
  <si>
    <t>do uchwały nr..........</t>
  </si>
  <si>
    <t>Załącznik nr 12</t>
  </si>
  <si>
    <t>Załącznik nr 14</t>
  </si>
  <si>
    <t>do uchwały Nr...........</t>
  </si>
  <si>
    <t>Plan dochodów budżetu powiatu elbląskiego na 2007 r.</t>
  </si>
  <si>
    <t>Załącznik nr 2</t>
  </si>
  <si>
    <t>do uchwały Nr.........</t>
  </si>
  <si>
    <t>na 2007 rok</t>
  </si>
  <si>
    <t>Przychody ogółem, w tym:</t>
  </si>
  <si>
    <t>Wydatki ogółem, w tym:</t>
  </si>
  <si>
    <t>Wydatki bieżące, z tego:</t>
  </si>
  <si>
    <t>Wydatki majątkowe, z tego:</t>
  </si>
  <si>
    <t>5. Środki pozyskane z innych źródeł - § 2700, § 2460</t>
  </si>
  <si>
    <t>Załącznik nr 6</t>
  </si>
  <si>
    <t>do uchwały Nr ................</t>
  </si>
  <si>
    <t xml:space="preserve">Dochody i wydatki związane z realizacją zadań z zakresu administracji </t>
  </si>
  <si>
    <t>Dochody</t>
  </si>
  <si>
    <t>W y s z c z e g ó l n i e n i e</t>
  </si>
  <si>
    <t>Prace geodez.-urządzeniowe na potrzeby rolnictwa</t>
  </si>
  <si>
    <t>Dot.cel.otrz.z budż.pań.na zad.bież.z zakr.adm.rząd.</t>
  </si>
  <si>
    <t>Skladki na Fundusz Pracy</t>
  </si>
  <si>
    <t>Opłaty z tytułu zakupu usług telekom. tel. stacjonarn.</t>
  </si>
  <si>
    <t>4430</t>
  </si>
  <si>
    <t>4440</t>
  </si>
  <si>
    <t>Odpisy na zakładowy fund.świadczeń socjalnych</t>
  </si>
  <si>
    <t>4350</t>
  </si>
  <si>
    <t>4370</t>
  </si>
  <si>
    <t>Opłaty z tytułu zakupu usług telekom. tel. stacjon.</t>
  </si>
  <si>
    <t>4410</t>
  </si>
  <si>
    <t>Szkolenia pracowników niebęd. człon. kor. sł. cyw.</t>
  </si>
  <si>
    <t>4740</t>
  </si>
  <si>
    <t>Zakup mater. papier. do sprzętu druk. i urządz. kser.</t>
  </si>
  <si>
    <t>4750</t>
  </si>
  <si>
    <t>Zakup akcesoriów komput., w tym programów i licen.</t>
  </si>
  <si>
    <t>3030</t>
  </si>
  <si>
    <t>Opłaty z tytułu zakupu usług telekom. tel. Stacjon.</t>
  </si>
  <si>
    <t>Zakup materiałów pap. do sprz. drukar. i urządz kser.</t>
  </si>
  <si>
    <t>Składki na ubezp.zdr.oraz świad.dla os.nie obj.ubezp.zdr.</t>
  </si>
  <si>
    <t>Dodatkowe wynagrodzenie roczne</t>
  </si>
  <si>
    <t>Szkolenia pracowników niebęd. człon. korp. sł. cyw.</t>
  </si>
  <si>
    <t>Zakup materiałów pap. do sprz. drukar. i urządz. kser.</t>
  </si>
  <si>
    <t>Dochody i wydatki ogółem, z tego:</t>
  </si>
  <si>
    <t>a) Wydatki bieżące, w tym:</t>
  </si>
  <si>
    <t>- wynagrodzenia § 4010,4040, 4170</t>
  </si>
  <si>
    <t>- pochodne od wynagrodzeń § 4110,4120</t>
  </si>
  <si>
    <t>- świadczenia społeczne § 3110</t>
  </si>
  <si>
    <t>b) Wydatki majątkowe § 6....</t>
  </si>
  <si>
    <t>do uchwały Nr .............</t>
  </si>
  <si>
    <t>Dochody i wydatki związane z realizacją zadań</t>
  </si>
  <si>
    <t>realizowanych na podstawie porozumień (umów) między</t>
  </si>
  <si>
    <t>jednostkami samorządu terytorialnego  w 2007 r.</t>
  </si>
  <si>
    <t xml:space="preserve">  w złotych</t>
  </si>
  <si>
    <t>N a z w a</t>
  </si>
  <si>
    <t>1. Umowy</t>
  </si>
  <si>
    <t>Dotacje celowe otrzymane od samorządu województwa</t>
  </si>
  <si>
    <t xml:space="preserve">na zadania bieżące realizowane na podstawie porozumień </t>
  </si>
  <si>
    <t>/umów/ między jednostkami samorządu terytorialnego</t>
  </si>
  <si>
    <t>2. Porozumienia</t>
  </si>
  <si>
    <t xml:space="preserve">Dotacje celowe otrzymane z gminy na zadania bieżące </t>
  </si>
  <si>
    <t>Składki na ubepieczenie społeczne</t>
  </si>
  <si>
    <t>Zakup materiałów papier. do sprz. druk. i urządzeń ksero.</t>
  </si>
  <si>
    <t>Dotacje celowe przekazane gminie na zadania bieżące real.</t>
  </si>
  <si>
    <t>na podst. porozumień między jednostkami samorządu ter.</t>
  </si>
  <si>
    <t xml:space="preserve"> - dotacje</t>
  </si>
  <si>
    <t xml:space="preserve">Dotacje celowe na zadania własne powiatu </t>
  </si>
  <si>
    <t xml:space="preserve">realizowane przez podmioty należące i nienależące </t>
  </si>
  <si>
    <t xml:space="preserve"> do sektora finansów publicznych w 2007 r. </t>
  </si>
  <si>
    <t>Lp</t>
  </si>
  <si>
    <t>Razem, w tym:</t>
  </si>
  <si>
    <t>Zlot ekologiczny "Powitanie wiosny"</t>
  </si>
  <si>
    <t>"Aktywizowanie społeczności lokalnej powiatu elbląskiego poprzez wspieranie organizacji pozarządowych z terenu powiatu"</t>
  </si>
  <si>
    <t>Ogólnopolski Plener Plastyczny "Bliżej natury"</t>
  </si>
  <si>
    <t>Ogólnopolski Przegląd Kultury Mniejszości Narodowej "Integracje"</t>
  </si>
  <si>
    <t>Regionalny Festiwal Piosenki Ukraińskiej</t>
  </si>
  <si>
    <t>Powiatowe Igrzyska Młodzieży Szkolnej</t>
  </si>
  <si>
    <t>Powiatowe Mistrzostwa Gimnazjów "Gimnazjada"</t>
  </si>
  <si>
    <t>Powiatowe Mistrzostwa Szkół Ponadgimnazjalnych "Licealiada"</t>
  </si>
  <si>
    <t>"Puchar Ferii 2005" - sport dla wszystkich dzieci</t>
  </si>
  <si>
    <t>Organizacja zajęć sportowo-rekreacyjnych dla dzieci i młodzieży z Uczniowskich Klubów Sportowych Powiatu Elbląskiego</t>
  </si>
  <si>
    <t>Organizacja uczestnictwa reprezentacji powiatu dzieci i młodzieży szkolnej w imprezach sportowych na szczeblu wojewódzkim, ogólnopolskim i międzynarodowym</t>
  </si>
  <si>
    <t>Mistrzostwa Polski Wiejskich Szkół Podstawowych w Halowej Piłce Nożnej</t>
  </si>
  <si>
    <t>Powiatowa inauguracja sportowego roku szkolnego 2007/2008</t>
  </si>
  <si>
    <t>Turnieje ogólnopolskie unihokeja dzieci i młodzieży w Elblągu</t>
  </si>
  <si>
    <t>Turniej Koszykówki o Puchar Starosty Elbląskiego z okazji Dnia Niepodległości</t>
  </si>
  <si>
    <t>Edukacja młodzieży z zakresu ratownictwa wodnego i bezpieczeństwa nad akwenami</t>
  </si>
  <si>
    <t>Otwarte mistrzostwa powiatu elbląskiego w biegu na orientację</t>
  </si>
  <si>
    <t>Powiatowa Olimpiada Sportowa Przedszkolaków</t>
  </si>
  <si>
    <t>Ogólnopolskie zawody w trójboju sportowym</t>
  </si>
  <si>
    <t>Międzynarodowy rodzinny turniej w rzucie podkową o puchar Starosty Elbląskiego</t>
  </si>
  <si>
    <t>Przygotowanie i udział reprezentacji powiatu elbląskiego w Ogólnopolskiej Spartakiadzie Młodzieży i Mistrzostwach Polski w lekkiej atletyce osób niepełnosprawnych</t>
  </si>
  <si>
    <t xml:space="preserve"> OGÓŁEM  KWOTA  DOTACJI</t>
  </si>
  <si>
    <t>1.4</t>
  </si>
  <si>
    <t>1.5</t>
  </si>
  <si>
    <t>1.6</t>
  </si>
  <si>
    <t>1.7</t>
  </si>
  <si>
    <t>Przebudowa drogi powiatowej Nr 1119N Karczowiska Górne-Marwica na odcinku Stankowo-Marwica od km 18+400 do km 22+423, gm. Rychliki</t>
  </si>
  <si>
    <t>Budowa bazy rekreacyjno-biwakowej przy pochylni Buczyniec, gm. Pasłęk</t>
  </si>
  <si>
    <t>Remont mostu przez Kanał Jagieloński w miejscowości Kępa Rybacka w ciągu drogi powiatowej Nr 1101N Nowakowo-Kępa Rybacka-Bielnik Drugi, gm. Elbląg</t>
  </si>
  <si>
    <t>E.</t>
  </si>
  <si>
    <t>Wartość udzielonych pożyczek</t>
  </si>
  <si>
    <t>Budowa kompleksu sportowo-rekreacyjnego w Pasłęku przy Zespole Szkół Ekonomicznych i Technicznych w Pasłęku</t>
  </si>
  <si>
    <t>Utworzenie zespołu sportowo-rekreacyjnego Domu Dziecka w Marwicy, gm. Rychliki</t>
  </si>
  <si>
    <t>Inkubator Przedsiębiorczości Turystycznej Obszaru Kanału Elbląskiego w Pasłęku</t>
  </si>
  <si>
    <t>Przebudowa drogi powiatowej Nr 1103 N Bielnik Drugi-Jegłownik-Gronowo Elbląskie-Stare Dolno-Marwica na odcinku Dolno-Wysoka-Powodowo (2007-2011)</t>
  </si>
  <si>
    <t xml:space="preserve"> oraz dochodów i wydatków rachunków dochodów własnych jednostek budżetowych na 2007 r.</t>
  </si>
  <si>
    <t>2338</t>
  </si>
  <si>
    <t>2339</t>
  </si>
  <si>
    <t>Dotacje celowe otrzymane od samorządu województwa na</t>
  </si>
  <si>
    <t>zadania bieżące real. na pods. poroz. (umów) między j.s.t.</t>
  </si>
  <si>
    <t>RPO Warmia i Mazury na lata 2007-2013; projekt kluczowy pn. "Program rozwoju turystyki w obszarze Kanału Elbląskiego i Pojezierza Iławskiego na lata 2007-2013"; fiszka Nr ZPRL 3.1.2.44</t>
  </si>
  <si>
    <t>5. Infrastruktura transportowa lokalna i regionalna</t>
  </si>
  <si>
    <t>5.2. Budowa, rozbudowa i modernizacja infrastruktury transportowej, służącej rozwojowi lokalnemu</t>
  </si>
  <si>
    <t>Przebudowa drogi powiatowej Nr 1103N Kazimierzowo-Helenowo-Wikrowo-Jegłownik-Gronowo Elbląskie-Stare Dolno-Marwica na odcinku długości 7,1 km Helenowo-Jegłownik od km 0+00 do km 7+100, gm. Elbląg</t>
  </si>
  <si>
    <t>RPO Warmia i Mazury na lata 2007-2013; projekt kluczowy pn. "Program rozwoju turystyki w obszarze Kanału Elbląskiego i Pojezierza Iławskiego na lata 2007-2013"; fiszka Nr ZPRL 3.1.3.45</t>
  </si>
  <si>
    <t xml:space="preserve">Przebudowa drogi powiatowej Nr 1185N Rychliki-Gołutowo na odcinku o dł. 4,265 km od km 9+869 do km 14+134, gm. Rychliki  </t>
  </si>
  <si>
    <t>RPO Warmia i Mazury na lata 2007-2013; projekt kluczowy pn. "Program rozwoju turystyki w obszarze Kanału Elbląskiego i Pojezierza Iławskiego na lata 2007-2013"; fiszka Nr ZPRL 3.1.4.46</t>
  </si>
  <si>
    <t>Przebudowa drogi powiatowej Nr 1103N Bielnik Drugi-Jegłownik-Gronowo Elbląskie-Stare Dolno-Marwica na odcinku Stare Dolno-Wysoka-Powodowo od km 18+148 do km 23+248 o długości 5,1 km, gm. Rychliki</t>
  </si>
  <si>
    <t>RPO Warmia i Mazury na lata 2007-2013; projekt kluczowy pn. "Program rozwoju turystyki w obszarze Kanału Elbląskiego i Pojezierza Iławskiego na lata 2007-2013"; fiszka Nr ZPRL 3.1.5.47</t>
  </si>
  <si>
    <t>RPO Warmia i Mazury na lata 2007-2013; projekt kluczowy pn. "Program rozwoju turystyki w obszarze Kanału Elbląskiego i Pojezierza Iławskiego na lata 2007-2013"; fiszka Nr ZPRL 3.1.7.49</t>
  </si>
  <si>
    <t>Przebudowa drogi powiatowej Nr 1185 Jelonki-Śliwice-Rychliki-Gołutowo na odcinku Jelonki-Śliwice o dł. 4,545 km od km 0+000 do km 4+545, gm. Rychliki</t>
  </si>
  <si>
    <t>RPO Warmia i Mazury na lata 2007-2013; projekt kluczowy pn. "Program rozwoju turystyki w obszarze Kanału Elbląskiego i Pojezierza Iławskiego na lata 2007-2013"; fiszka Nr ZPRL 2.9.11</t>
  </si>
  <si>
    <t>2. Turystyka</t>
  </si>
  <si>
    <t>Wzrost potencjału turystycznego Warmii i Mazur</t>
  </si>
  <si>
    <t>Poprawa dostepu do portu w Elblągu - budowa mostu zwodzonego w m. Nowakowo w ciągu drogi powiatowej Nr 1100N rz. Elbląg, gm. Elbląg</t>
  </si>
  <si>
    <t>RPO Warmia i Mazury na lata 2007-2013; projekt kluczowy pn. "Program rozwoju turystyki w obszarze Kanału Elbląskiego i Pojezierza Iławskiego na lata 2007-2013"; fiszka Nr ZPRL 3.1.6.48</t>
  </si>
  <si>
    <t>RPO Warmia i Mazury na lata 2007-2013; projekt kluczowy pn. "Program rozwoju turystyki w obszarze Kanału Elbląskiego i Pojezierza Iławskiego na lata 2007-2013"; fiszka Nr ZPRL 2.10.12</t>
  </si>
  <si>
    <t>Walka z patologiami realizacja programu "Bezpieczna szkoła"</t>
  </si>
  <si>
    <t>Prognozowana sytuacja finansowa powiatu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</si>
  <si>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</si>
  <si>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</si>
  <si>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</si>
  <si>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</si>
  <si>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</si>
  <si>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</si>
  <si>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</si>
  <si>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</si>
  <si>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</si>
  <si>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</si>
  <si>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</si>
  <si>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</si>
  <si>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</si>
  <si>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</si>
  <si>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</si>
  <si>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</si>
  <si>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</si>
  <si>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</si>
  <si>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</si>
  <si>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</si>
  <si>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</si>
  <si>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Wynik (I - II)</t>
  </si>
  <si>
    <t>V.</t>
  </si>
  <si>
    <t>Planowana łączna kwota długu, w tym: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</si>
  <si>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</si>
  <si>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</si>
  <si>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</si>
  <si>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</si>
  <si>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</si>
  <si>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</si>
  <si>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</si>
  <si>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</si>
  <si>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2008 r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</si>
  <si>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</si>
  <si>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</si>
  <si>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</si>
  <si>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</si>
  <si>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</si>
  <si>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</si>
  <si>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</si>
  <si>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</si>
  <si>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</si>
  <si>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</si>
  <si>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</si>
  <si>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</si>
  <si>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</si>
  <si>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</si>
  <si>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</si>
  <si>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</si>
  <si>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</si>
  <si>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</si>
  <si>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</si>
  <si>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</si>
  <si>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RPO Warmia i Mazury na lata 2007-2013; projekt kluczowy pn. "Program rozwoju turystyki w obszarze Kanału Elbląskiego i Pojezierza Iławskiego na lata 2007-2013"; fiszka Nr ZPRL 2.11.13</t>
  </si>
  <si>
    <t>2 - Wzmocnienie zasobów ludzkich w regionach</t>
  </si>
  <si>
    <t>Zintegrowany Program Operacyjny Rozwoju Regionalnego</t>
  </si>
  <si>
    <t>2.2 Wyrównywanie szans edukacyjnych poprzez programy stypendialne</t>
  </si>
  <si>
    <t>Pomoc stypendialna studentom powiatu elbląskiego z obszarów zmarginalizowanych</t>
  </si>
  <si>
    <t>Pomoc stypendialna uczniom szkół ponadgimnazjalnym powiatu elbląskiego z obszarów wiejskich na rok szkolny 2006/2007</t>
  </si>
  <si>
    <t>Sektorowy Program Operacyjny Rozwoju Zasobów Ludzkich 2004-2006</t>
  </si>
  <si>
    <t>I. Aktywna polityka rynku pracy oraz integracji zawodowej i społecznej</t>
  </si>
  <si>
    <t>Kobiety na topie</t>
  </si>
  <si>
    <t>Dotacje celowe otrzymane z budżetu państwa na zadania bieżące</t>
  </si>
  <si>
    <t>real. na podst. porozumień z organami administracji rządowej</t>
  </si>
  <si>
    <t>1.6 Integracja i reintegracja zawodowa kobiet</t>
  </si>
  <si>
    <t>Załącznik nr 4</t>
  </si>
  <si>
    <t>do uchwały nr........</t>
  </si>
  <si>
    <t>w 2007 roku</t>
  </si>
  <si>
    <t xml:space="preserve">rządowej i innych zadań zleconych odrębnymi ustawami </t>
  </si>
  <si>
    <t>Załącznik nr 7</t>
  </si>
  <si>
    <t xml:space="preserve"> administracji rządowej w 2007 roku</t>
  </si>
  <si>
    <t xml:space="preserve"> realizowanych na podstawie porozumień z organami </t>
  </si>
  <si>
    <t xml:space="preserve">Dochody i wydatki związane z realizacją zadań bieżących </t>
  </si>
  <si>
    <t>Załącznik  nr 10</t>
  </si>
  <si>
    <t>do Uchwały Nr ...............</t>
  </si>
  <si>
    <t>Prognoza kwoty długu powiatu elbląskiego</t>
  </si>
  <si>
    <t>Przewidywany stan na koniec roku</t>
  </si>
  <si>
    <t>Rodzaj</t>
  </si>
  <si>
    <t>Wykonanie</t>
  </si>
  <si>
    <t>L.p.</t>
  </si>
  <si>
    <t>zadłużenia</t>
  </si>
  <si>
    <t>na koniec</t>
  </si>
  <si>
    <t>31.12.2005 r.</t>
  </si>
  <si>
    <t>Wyemitowane papiery wartościowe</t>
  </si>
  <si>
    <t>Przyjęte depozyty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</si>
  <si>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</si>
  <si>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</si>
  <si>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</si>
  <si>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</si>
  <si>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</si>
  <si>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Procentowy (%) udział długu w dochodach</t>
  </si>
  <si>
    <t>Wymagalne zobowiązania:</t>
  </si>
  <si>
    <t>1) jednostek budżetowych,</t>
  </si>
  <si>
    <t>2) wynikające z:</t>
  </si>
  <si>
    <t>Załącznik nr 13</t>
  </si>
  <si>
    <t>Załącznik nr 8</t>
  </si>
  <si>
    <t>Zakup agregatu prądotwórczego na prom</t>
  </si>
  <si>
    <t>Zarząd Dróg Powiat. Pasłęk</t>
  </si>
  <si>
    <t>Zespół Szkół Pasłęk</t>
  </si>
  <si>
    <t>Dom Pomocy Społecznej Rangóry</t>
  </si>
  <si>
    <t xml:space="preserve">Ogółem 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</si>
  <si>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</si>
  <si>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</si>
  <si>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</si>
  <si>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</si>
  <si>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</si>
  <si>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</si>
  <si>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</si>
  <si>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</si>
  <si>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</si>
  <si>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</si>
  <si>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</si>
  <si>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</si>
  <si>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</si>
  <si>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</si>
  <si>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</si>
  <si>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</si>
  <si>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</si>
  <si>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</si>
  <si>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</si>
  <si>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</si>
  <si>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</si>
  <si>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</si>
  <si>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</si>
  <si>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</si>
  <si>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</si>
  <si>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</si>
  <si>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</si>
  <si>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</si>
  <si>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</si>
  <si>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</si>
  <si>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</si>
  <si>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</si>
  <si>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</si>
  <si>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</si>
  <si>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</si>
  <si>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</si>
  <si>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</si>
  <si>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</si>
  <si>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</si>
  <si>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</si>
  <si>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</si>
  <si>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</si>
  <si>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</si>
  <si>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</si>
  <si>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</si>
  <si>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</si>
  <si>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</si>
  <si>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</si>
  <si>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</si>
  <si>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</si>
  <si>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</si>
  <si>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</si>
  <si>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</si>
  <si>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</si>
  <si>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</si>
  <si>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</si>
  <si>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</si>
  <si>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2009 r.</t>
  </si>
  <si>
    <t>Plan przychodów i wydatków zakładów budżetowych, gospodarstw pomocniczych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</si>
  <si>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</si>
  <si>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</si>
  <si>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</si>
  <si>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</si>
  <si>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</si>
  <si>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</si>
  <si>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</si>
  <si>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</si>
  <si>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</si>
  <si>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</si>
  <si>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</si>
  <si>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</si>
  <si>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</si>
  <si>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Przychody*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</si>
  <si>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</si>
  <si>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</si>
  <si>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</si>
  <si>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</si>
  <si>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</si>
  <si>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</si>
  <si>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</si>
  <si>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</si>
  <si>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</si>
  <si>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</si>
  <si>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</si>
  <si>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</si>
  <si>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</si>
  <si>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</si>
  <si>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</si>
  <si>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</si>
  <si>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</si>
  <si>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</si>
  <si>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</si>
  <si>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</si>
  <si>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</si>
  <si>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</si>
  <si>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</si>
  <si>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</si>
  <si>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</si>
  <si>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</si>
  <si>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</si>
  <si>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</si>
  <si>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</si>
  <si>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</si>
  <si>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Wydatki osobowe nie zaliczane do wynagrodzeń</t>
  </si>
  <si>
    <t>Wynagrodzenie bezosobowe</t>
  </si>
  <si>
    <t>z dnia .................... 2007 r.</t>
  </si>
  <si>
    <t>z dnia ........................ 2007 r.</t>
  </si>
  <si>
    <t>zad.zlec.do real. pozost.jedn.nie zal. do sekt.fin.publ.</t>
  </si>
  <si>
    <t>Opłaty z tytułu zakupu usług telekom. tel. stacjonar.</t>
  </si>
  <si>
    <t>Zmiany</t>
  </si>
  <si>
    <t>Plan po zmianach na 2007 r.</t>
  </si>
  <si>
    <t>Składki na ubezpieczenia zdrowotne oraz świadczenia dla</t>
  </si>
  <si>
    <t>osób nieobjętych obowiązkiem ubezpieczenia zdrowotnego</t>
  </si>
  <si>
    <t>Poradnie psychologiczno-pedagogiczne, w tym por. specj.</t>
  </si>
  <si>
    <t>4360</t>
  </si>
  <si>
    <t>85295</t>
  </si>
  <si>
    <t>4510</t>
  </si>
  <si>
    <t>Szpitale ogólne</t>
  </si>
  <si>
    <t>Dotacje celowe z budżetu na finansowanie lub dofinns.</t>
  </si>
  <si>
    <t>kosztów realizacji inwestycji i zakupów inwestycyjnych</t>
  </si>
  <si>
    <t>innych jednostek sektora finansów publicznych</t>
  </si>
  <si>
    <t>85111</t>
  </si>
  <si>
    <t>Dotacje celowe otrzymane z gminy na inwestycje i zakupy</t>
  </si>
  <si>
    <t>inwestycyjne realizowane na podstawie porozumień</t>
  </si>
  <si>
    <t>między jednostkami samorządu terytorialnego</t>
  </si>
  <si>
    <t>15.</t>
  </si>
  <si>
    <t>Program wyrównywania szans między regionami- Obszar D- likwidacja barier transportowych - zakup samochodu osobowego "mikrobus" przystosowanego do przewozu osoby niepełnosprawnej na wózku "inwalidzkim"</t>
  </si>
  <si>
    <t>Dom Pomocy Społecznej we Władysławowie</t>
  </si>
  <si>
    <t>z dnia...................2007 r.</t>
  </si>
  <si>
    <t>Dokształacanie i doskonalenie nauczycieli</t>
  </si>
  <si>
    <t>Środki na dofinansowanie własnych zadań bieżących gmin</t>
  </si>
  <si>
    <t>powiatów, samorządów województw, pozyskane z in. źródeł</t>
  </si>
  <si>
    <t>Szkolenie pracowników nie będących członkami korpusu służby cywilnej</t>
  </si>
  <si>
    <t>Dochody z najmu i dizerżawy składników majątkowych</t>
  </si>
  <si>
    <t>Skarbu Państwa, jst lub innych jednostek zaliczanych do sekt.</t>
  </si>
  <si>
    <t>z dnia................2007 r.</t>
  </si>
  <si>
    <t>z dnia...........2007 r.</t>
  </si>
  <si>
    <t>z dnia ................. 2007 r.</t>
  </si>
  <si>
    <t>z dnia ..................... 2007 r.</t>
  </si>
  <si>
    <t>Plan po zmianach</t>
  </si>
  <si>
    <t>Plan na 2007 przed zmianą</t>
  </si>
  <si>
    <t>z dnia...............2007 r.</t>
  </si>
  <si>
    <t>Obrona narodowa</t>
  </si>
  <si>
    <t>Pozostałe wydatki obronne</t>
  </si>
  <si>
    <t>Wpływy z różnych usług</t>
  </si>
  <si>
    <t>75212</t>
  </si>
  <si>
    <t>z dnia .............2007 r.</t>
  </si>
  <si>
    <t>z dnia..............2007 r.</t>
  </si>
  <si>
    <t xml:space="preserve">z dnia ...................... 2007 r. </t>
  </si>
  <si>
    <t>85233</t>
  </si>
  <si>
    <t>2708</t>
  </si>
  <si>
    <t>2709</t>
  </si>
  <si>
    <t>2700</t>
  </si>
  <si>
    <t>Zakup usług obejmujących wykonanie ekspertyz, anal. i opinii</t>
  </si>
  <si>
    <t>Otrzymane spadki, zapisy, darowizny w postaci pieniężnej</t>
  </si>
  <si>
    <t>0020</t>
  </si>
  <si>
    <t>Podatek dochodowy od osób prawnych</t>
  </si>
  <si>
    <t>w 2006 r.</t>
  </si>
  <si>
    <t>Wykonanie w 2006 r.</t>
  </si>
  <si>
    <t>Dług zaciągnięty w związku ze środkami określonymi w umowie zawartej z podmiotem dysponującym funduszami strukturalnymi lub F.S.U.E.</t>
  </si>
  <si>
    <t>Dotacje celowe otrzymane z budżetu państwa na realizację</t>
  </si>
  <si>
    <t>bieżących zadań własnych</t>
  </si>
  <si>
    <t>4530</t>
  </si>
  <si>
    <t>Zakup leków, wyrobów medycznych i produktów biobójczych</t>
  </si>
  <si>
    <t>Opłaty za administrowanie i czynsze za budynki, lokale i pomieszczenia garażowe</t>
  </si>
  <si>
    <t>Festiwal Zdrowia - Intergracje</t>
  </si>
  <si>
    <t>Dotacje celowe przekazane do samorządu województwa</t>
  </si>
  <si>
    <t>na inwestycje i zakupy inwest. na pods. Porozumień z j.s.t.</t>
  </si>
  <si>
    <t>na inwestycje i zakupy inwest. na pods. porozumień z j.s.t.</t>
  </si>
  <si>
    <t>Opłaty za admin. i czynsze za budynki, lokale i pomie.</t>
  </si>
  <si>
    <t>Rózne opłaty i składki</t>
  </si>
  <si>
    <t>4170</t>
  </si>
  <si>
    <t>16.</t>
  </si>
  <si>
    <t>Zakup samochodu osobowego</t>
  </si>
  <si>
    <t>2120</t>
  </si>
  <si>
    <t>realizowane przez powiat na podstawie por. z org. adm. rząd.</t>
  </si>
  <si>
    <t>Zwiększenie wydatków związanych z realizacją umowy z Marszałkiem Województwa Warmińsko-Mazurskiego</t>
  </si>
  <si>
    <t>Wydatki wykonano w styczniu 2007 r.</t>
  </si>
  <si>
    <t>w sprawie stypendiów dla uczniów, nastąpiło w związku z uzyskaniem dochodów na przełomie roku 2006/2007.</t>
  </si>
  <si>
    <t>Rehabilitacja zawodowa i społeczna osób niepełnosprawnych</t>
  </si>
  <si>
    <t>Rehabilitacja zawodowa i społeczna osób niepełnospraw.</t>
  </si>
  <si>
    <t>Dotacja podmiotowa z budżetu dla jednostek niezaliczanych</t>
  </si>
  <si>
    <t>do sektora finansów publicznych</t>
  </si>
  <si>
    <t>85311</t>
  </si>
  <si>
    <t>Rahabilitacja zawodowa i społeczna osób niepełnosprawnych</t>
  </si>
  <si>
    <t>Dotacja podmiotowa z budżetu dla jednostek niezaliczanych do sektora</t>
  </si>
  <si>
    <t>finansów publicznych</t>
  </si>
  <si>
    <t>Dotacje podmiotowe - na rok 2007</t>
  </si>
  <si>
    <t>Załącznik nr 15</t>
  </si>
  <si>
    <t xml:space="preserve">z dnia ................... 2007 r. </t>
  </si>
  <si>
    <t>Uzupełnienie subwencji ogólnej dla jednostek samorz. terytor.</t>
  </si>
  <si>
    <t>Środki na uzupełnienie dochodów</t>
  </si>
  <si>
    <t>Wydatki na sfinansowanie kosztów emisji skarbowych papierów</t>
  </si>
  <si>
    <t>wartościowych oraz innych kosztów i prowizji</t>
  </si>
  <si>
    <t>6610</t>
  </si>
  <si>
    <t>Dotacje celowe otrzymane z gminy na inwestycje i zakupy inwest.</t>
  </si>
  <si>
    <t>realizowane na podstawie porozumień (umów) z j.s.t.</t>
  </si>
  <si>
    <t>17.</t>
  </si>
  <si>
    <t>Wyposażenie pracowni multimedialnej</t>
  </si>
  <si>
    <t>Zespół Szkół Ekonomicznych i Technicznych Pasłęk</t>
  </si>
  <si>
    <t>2350</t>
  </si>
  <si>
    <t>Dochody budżetu państwa związane z realizacja zadań</t>
  </si>
  <si>
    <t>zlecanych j.s.t.</t>
  </si>
  <si>
    <t>01008</t>
  </si>
  <si>
    <t>Melioracje wodne</t>
  </si>
  <si>
    <t xml:space="preserve">Dochody </t>
  </si>
  <si>
    <t>budżetowe</t>
  </si>
  <si>
    <t>18.</t>
  </si>
  <si>
    <t>Dom Pomocy Społecznej w Tolkmicku</t>
  </si>
  <si>
    <t>Zakup samochodu przystosowanego do przewozu osób niepełnosprawnych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</si>
</sst>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_ ;\-#,##0.00\ "/>
    <numFmt numFmtId="170" formatCode="0.0"/>
    <numFmt numFmtId="171" formatCode="#,##0.00\ _z_ł"/>
    <numFmt numFmtId="172" formatCode="#,##0\ _z_ł"/>
    <numFmt numFmtId="173" formatCode="0;[Red]0"/>
    <numFmt numFmtId="174" formatCode="00\-000"/>
    <numFmt numFmtId="175" formatCode="0.0%"/>
    <numFmt numFmtId="176" formatCode="0.000"/>
    <numFmt numFmtId="177" formatCode="0.0000"/>
    <numFmt numFmtId="178" formatCode="0.000000000"/>
    <numFmt numFmtId="179" formatCode="0.00000000"/>
    <numFmt numFmtId="180" formatCode="0.0000000"/>
    <numFmt numFmtId="181" formatCode="0.000000"/>
    <numFmt numFmtId="182" formatCode="0.00000"/>
  </numFmts>
  <fonts count="3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sz val="11"/>
      <name val="Arial CE"/>
      <family val="2"/>
    </font>
    <font>
      <b/>
      <sz val="14"/>
      <name val="Arial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12" fillId="0" borderId="3" xfId="18" applyFont="1" applyBorder="1">
      <alignment/>
      <protection/>
    </xf>
    <xf numFmtId="0" fontId="12" fillId="0" borderId="4" xfId="18" applyFont="1" applyBorder="1">
      <alignment/>
      <protection/>
    </xf>
    <xf numFmtId="0" fontId="1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1" fillId="0" borderId="0" xfId="18" applyFont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3" fillId="0" borderId="0" xfId="18" applyFont="1">
      <alignment/>
      <protection/>
    </xf>
    <xf numFmtId="0" fontId="4" fillId="2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4" fillId="0" borderId="8" xfId="0" applyNumberFormat="1" applyFont="1" applyFill="1" applyBorder="1" applyAlignment="1">
      <alignment horizontal="center"/>
    </xf>
    <xf numFmtId="49" fontId="15" fillId="0" borderId="4" xfId="0" applyNumberFormat="1" applyFont="1" applyBorder="1" applyAlignment="1">
      <alignment horizontal="center" vertical="top" wrapText="1"/>
    </xf>
    <xf numFmtId="49" fontId="0" fillId="0" borderId="6" xfId="0" applyNumberFormat="1" applyFont="1" applyFill="1" applyBorder="1" applyAlignment="1">
      <alignment horizontal="center"/>
    </xf>
    <xf numFmtId="3" fontId="15" fillId="0" borderId="5" xfId="0" applyNumberFormat="1" applyFont="1" applyBorder="1" applyAlignment="1">
      <alignment vertical="top" wrapText="1"/>
    </xf>
    <xf numFmtId="49" fontId="4" fillId="0" borderId="9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0" fillId="0" borderId="11" xfId="0" applyFont="1" applyFill="1" applyBorder="1" applyAlignment="1">
      <alignment/>
    </xf>
    <xf numFmtId="49" fontId="15" fillId="0" borderId="1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3" fontId="15" fillId="0" borderId="12" xfId="0" applyNumberFormat="1" applyFont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0" fillId="0" borderId="13" xfId="0" applyFont="1" applyFill="1" applyBorder="1" applyAlignment="1">
      <alignment/>
    </xf>
    <xf numFmtId="3" fontId="15" fillId="0" borderId="1" xfId="0" applyNumberFormat="1" applyFont="1" applyBorder="1" applyAlignment="1">
      <alignment vertical="top" wrapText="1"/>
    </xf>
    <xf numFmtId="0" fontId="4" fillId="0" borderId="14" xfId="0" applyFont="1" applyFill="1" applyBorder="1" applyAlignment="1">
      <alignment/>
    </xf>
    <xf numFmtId="49" fontId="15" fillId="0" borderId="15" xfId="0" applyNumberFormat="1" applyFont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3" fontId="15" fillId="0" borderId="6" xfId="0" applyNumberFormat="1" applyFont="1" applyBorder="1" applyAlignment="1">
      <alignment vertical="top" wrapText="1"/>
    </xf>
    <xf numFmtId="3" fontId="18" fillId="0" borderId="15" xfId="0" applyNumberFormat="1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0" fontId="4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5" fillId="0" borderId="17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0" fillId="0" borderId="23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3" fontId="25" fillId="0" borderId="0" xfId="0" applyNumberFormat="1" applyFont="1" applyFill="1" applyAlignment="1">
      <alignment/>
    </xf>
    <xf numFmtId="49" fontId="4" fillId="0" borderId="24" xfId="0" applyNumberFormat="1" applyFont="1" applyFill="1" applyBorder="1" applyAlignment="1">
      <alignment horizontal="center"/>
    </xf>
    <xf numFmtId="0" fontId="27" fillId="0" borderId="27" xfId="0" applyFont="1" applyFill="1" applyBorder="1" applyAlignment="1">
      <alignment/>
    </xf>
    <xf numFmtId="0" fontId="27" fillId="0" borderId="24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49" fontId="0" fillId="0" borderId="7" xfId="0" applyNumberFormat="1" applyFont="1" applyFill="1" applyBorder="1" applyAlignment="1">
      <alignment horizontal="center"/>
    </xf>
    <xf numFmtId="3" fontId="15" fillId="0" borderId="30" xfId="0" applyNumberFormat="1" applyFont="1" applyBorder="1" applyAlignment="1">
      <alignment vertical="top" wrapText="1"/>
    </xf>
    <xf numFmtId="3" fontId="15" fillId="0" borderId="7" xfId="0" applyNumberFormat="1" applyFont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/>
    </xf>
    <xf numFmtId="3" fontId="15" fillId="0" borderId="17" xfId="0" applyNumberFormat="1" applyFont="1" applyBorder="1" applyAlignment="1">
      <alignment vertical="top" wrapText="1"/>
    </xf>
    <xf numFmtId="0" fontId="0" fillId="0" borderId="7" xfId="0" applyFont="1" applyFill="1" applyBorder="1" applyAlignment="1">
      <alignment/>
    </xf>
    <xf numFmtId="0" fontId="15" fillId="0" borderId="7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3" fontId="4" fillId="0" borderId="32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3" fontId="15" fillId="0" borderId="29" xfId="0" applyNumberFormat="1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0" fillId="0" borderId="16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5" fillId="0" borderId="0" xfId="0" applyFont="1" applyAlignment="1">
      <alignment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3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27" fillId="0" borderId="44" xfId="0" applyFont="1" applyBorder="1" applyAlignment="1">
      <alignment horizontal="center" vertical="center"/>
    </xf>
    <xf numFmtId="0" fontId="4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 vertical="top" wrapText="1"/>
    </xf>
    <xf numFmtId="3" fontId="0" fillId="0" borderId="16" xfId="0" applyNumberFormat="1" applyFont="1" applyFill="1" applyBorder="1" applyAlignment="1">
      <alignment/>
    </xf>
    <xf numFmtId="49" fontId="15" fillId="0" borderId="6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3" fontId="15" fillId="0" borderId="45" xfId="0" applyNumberFormat="1" applyFont="1" applyBorder="1" applyAlignment="1">
      <alignment vertical="top" wrapText="1"/>
    </xf>
    <xf numFmtId="0" fontId="0" fillId="0" borderId="13" xfId="0" applyFont="1" applyFill="1" applyBorder="1" applyAlignment="1">
      <alignment wrapText="1"/>
    </xf>
    <xf numFmtId="0" fontId="0" fillId="0" borderId="40" xfId="0" applyFont="1" applyFill="1" applyBorder="1" applyAlignment="1">
      <alignment/>
    </xf>
    <xf numFmtId="0" fontId="19" fillId="0" borderId="38" xfId="0" applyFont="1" applyBorder="1" applyAlignment="1">
      <alignment horizontal="center" vertical="center" wrapText="1"/>
    </xf>
    <xf numFmtId="3" fontId="18" fillId="0" borderId="44" xfId="0" applyNumberFormat="1" applyFont="1" applyBorder="1" applyAlignment="1">
      <alignment vertical="top" wrapText="1"/>
    </xf>
    <xf numFmtId="0" fontId="15" fillId="0" borderId="46" xfId="0" applyFont="1" applyBorder="1" applyAlignment="1">
      <alignment vertical="top" wrapText="1"/>
    </xf>
    <xf numFmtId="0" fontId="15" fillId="0" borderId="43" xfId="0" applyFont="1" applyBorder="1" applyAlignment="1">
      <alignment vertical="top" wrapText="1"/>
    </xf>
    <xf numFmtId="0" fontId="15" fillId="0" borderId="47" xfId="0" applyFont="1" applyBorder="1" applyAlignment="1">
      <alignment vertical="top" wrapText="1"/>
    </xf>
    <xf numFmtId="3" fontId="18" fillId="0" borderId="32" xfId="0" applyNumberFormat="1" applyFont="1" applyBorder="1" applyAlignment="1">
      <alignment vertical="top" wrapText="1"/>
    </xf>
    <xf numFmtId="3" fontId="15" fillId="0" borderId="46" xfId="0" applyNumberFormat="1" applyFont="1" applyBorder="1" applyAlignment="1">
      <alignment vertical="top" wrapText="1"/>
    </xf>
    <xf numFmtId="3" fontId="15" fillId="0" borderId="43" xfId="0" applyNumberFormat="1" applyFont="1" applyBorder="1" applyAlignment="1">
      <alignment vertical="top" wrapText="1"/>
    </xf>
    <xf numFmtId="0" fontId="15" fillId="0" borderId="48" xfId="0" applyFont="1" applyBorder="1" applyAlignment="1">
      <alignment vertical="top" wrapText="1"/>
    </xf>
    <xf numFmtId="3" fontId="15" fillId="0" borderId="48" xfId="0" applyNumberFormat="1" applyFont="1" applyBorder="1" applyAlignment="1">
      <alignment vertical="top" wrapText="1"/>
    </xf>
    <xf numFmtId="3" fontId="18" fillId="0" borderId="49" xfId="0" applyNumberFormat="1" applyFont="1" applyBorder="1" applyAlignment="1">
      <alignment horizontal="center" vertical="center" wrapText="1"/>
    </xf>
    <xf numFmtId="170" fontId="6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vertical="center"/>
    </xf>
    <xf numFmtId="170" fontId="18" fillId="0" borderId="7" xfId="0" applyNumberFormat="1" applyFont="1" applyBorder="1" applyAlignment="1">
      <alignment vertical="top" wrapText="1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left"/>
    </xf>
    <xf numFmtId="3" fontId="27" fillId="0" borderId="5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7" fillId="0" borderId="25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3" fontId="7" fillId="0" borderId="51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7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49" fontId="7" fillId="0" borderId="15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0" fontId="27" fillId="0" borderId="27" xfId="0" applyFont="1" applyFill="1" applyBorder="1" applyAlignment="1">
      <alignment horizontal="center"/>
    </xf>
    <xf numFmtId="3" fontId="27" fillId="0" borderId="15" xfId="0" applyNumberFormat="1" applyFont="1" applyFill="1" applyBorder="1" applyAlignment="1">
      <alignment/>
    </xf>
    <xf numFmtId="49" fontId="27" fillId="0" borderId="25" xfId="0" applyNumberFormat="1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27" fillId="0" borderId="45" xfId="0" applyFont="1" applyFill="1" applyBorder="1" applyAlignment="1">
      <alignment horizontal="center"/>
    </xf>
    <xf numFmtId="0" fontId="7" fillId="0" borderId="45" xfId="0" applyFont="1" applyFill="1" applyBorder="1" applyAlignment="1">
      <alignment/>
    </xf>
    <xf numFmtId="0" fontId="27" fillId="0" borderId="1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49" fontId="27" fillId="0" borderId="2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" fontId="7" fillId="0" borderId="5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3" fontId="27" fillId="0" borderId="14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27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/>
    </xf>
    <xf numFmtId="3" fontId="27" fillId="0" borderId="50" xfId="0" applyNumberFormat="1" applyFont="1" applyFill="1" applyBorder="1" applyAlignment="1">
      <alignment horizontal="right"/>
    </xf>
    <xf numFmtId="3" fontId="27" fillId="0" borderId="15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/>
    </xf>
    <xf numFmtId="49" fontId="7" fillId="0" borderId="24" xfId="0" applyNumberFormat="1" applyFont="1" applyFill="1" applyBorder="1" applyAlignment="1" quotePrefix="1">
      <alignment horizontal="center"/>
    </xf>
    <xf numFmtId="3" fontId="27" fillId="0" borderId="28" xfId="0" applyNumberFormat="1" applyFont="1" applyFill="1" applyBorder="1" applyAlignment="1">
      <alignment/>
    </xf>
    <xf numFmtId="0" fontId="29" fillId="0" borderId="17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45" xfId="0" applyNumberFormat="1" applyFont="1" applyFill="1" applyBorder="1" applyAlignment="1">
      <alignment horizontal="right"/>
    </xf>
    <xf numFmtId="3" fontId="27" fillId="0" borderId="14" xfId="0" applyNumberFormat="1" applyFont="1" applyFill="1" applyBorder="1" applyAlignment="1">
      <alignment horizontal="right"/>
    </xf>
    <xf numFmtId="0" fontId="27" fillId="0" borderId="54" xfId="0" applyFont="1" applyFill="1" applyBorder="1" applyAlignment="1">
      <alignment horizontal="center"/>
    </xf>
    <xf numFmtId="0" fontId="27" fillId="0" borderId="55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right"/>
    </xf>
    <xf numFmtId="3" fontId="27" fillId="0" borderId="52" xfId="0" applyNumberFormat="1" applyFont="1" applyFill="1" applyBorder="1" applyAlignment="1">
      <alignment horizontal="right" vertical="center"/>
    </xf>
    <xf numFmtId="3" fontId="27" fillId="0" borderId="2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15" fillId="0" borderId="7" xfId="0" applyNumberFormat="1" applyFont="1" applyBorder="1" applyAlignment="1">
      <alignment horizontal="center" vertical="top" wrapText="1"/>
    </xf>
    <xf numFmtId="0" fontId="15" fillId="0" borderId="23" xfId="0" applyFont="1" applyBorder="1" applyAlignment="1">
      <alignment vertical="top" wrapText="1"/>
    </xf>
    <xf numFmtId="49" fontId="15" fillId="0" borderId="17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vertical="top" wrapText="1"/>
    </xf>
    <xf numFmtId="3" fontId="18" fillId="0" borderId="32" xfId="0" applyNumberFormat="1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center" wrapText="1" indent="2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left" vertical="center" wrapText="1" indent="2"/>
    </xf>
    <xf numFmtId="3" fontId="0" fillId="0" borderId="6" xfId="0" applyNumberFormat="1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0" fontId="9" fillId="2" borderId="58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9" fillId="2" borderId="8" xfId="0" applyFont="1" applyFill="1" applyBorder="1" applyAlignment="1">
      <alignment/>
    </xf>
    <xf numFmtId="0" fontId="9" fillId="2" borderId="24" xfId="0" applyFont="1" applyFill="1" applyBorder="1" applyAlignment="1">
      <alignment/>
    </xf>
    <xf numFmtId="0" fontId="9" fillId="2" borderId="2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horizontal="right"/>
    </xf>
    <xf numFmtId="3" fontId="4" fillId="0" borderId="32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3" fontId="0" fillId="0" borderId="47" xfId="0" applyNumberFormat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24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/>
    </xf>
    <xf numFmtId="3" fontId="4" fillId="2" borderId="20" xfId="0" applyNumberFormat="1" applyFont="1" applyFill="1" applyBorder="1" applyAlignment="1">
      <alignment/>
    </xf>
    <xf numFmtId="3" fontId="4" fillId="2" borderId="22" xfId="0" applyNumberFormat="1" applyFont="1" applyFill="1" applyBorder="1" applyAlignment="1">
      <alignment/>
    </xf>
    <xf numFmtId="0" fontId="0" fillId="2" borderId="6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3" fontId="0" fillId="2" borderId="46" xfId="0" applyNumberFormat="1" applyFont="1" applyFill="1" applyBorder="1" applyAlignment="1">
      <alignment/>
    </xf>
    <xf numFmtId="49" fontId="0" fillId="2" borderId="25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3" fontId="0" fillId="2" borderId="47" xfId="0" applyNumberFormat="1" applyFont="1" applyFill="1" applyBorder="1" applyAlignment="1">
      <alignment/>
    </xf>
    <xf numFmtId="49" fontId="0" fillId="2" borderId="38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48" xfId="0" applyFont="1" applyFill="1" applyBorder="1" applyAlignment="1">
      <alignment/>
    </xf>
    <xf numFmtId="49" fontId="0" fillId="2" borderId="8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3" fontId="0" fillId="2" borderId="32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left"/>
    </xf>
    <xf numFmtId="3" fontId="27" fillId="0" borderId="15" xfId="0" applyNumberFormat="1" applyFont="1" applyBorder="1" applyAlignment="1">
      <alignment horizontal="right"/>
    </xf>
    <xf numFmtId="3" fontId="27" fillId="0" borderId="62" xfId="0" applyNumberFormat="1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3" fontId="7" fillId="0" borderId="6" xfId="0" applyNumberFormat="1" applyFont="1" applyBorder="1" applyAlignment="1">
      <alignment horizontal="right"/>
    </xf>
    <xf numFmtId="3" fontId="7" fillId="0" borderId="63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64" xfId="0" applyFont="1" applyBorder="1" applyAlignment="1">
      <alignment horizontal="center"/>
    </xf>
    <xf numFmtId="3" fontId="7" fillId="0" borderId="17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3" fontId="7" fillId="0" borderId="64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7" fillId="0" borderId="62" xfId="0" applyNumberFormat="1" applyFont="1" applyBorder="1" applyAlignment="1">
      <alignment horizontal="right"/>
    </xf>
    <xf numFmtId="0" fontId="27" fillId="0" borderId="24" xfId="0" applyFont="1" applyBorder="1" applyAlignment="1">
      <alignment/>
    </xf>
    <xf numFmtId="3" fontId="27" fillId="0" borderId="24" xfId="0" applyNumberFormat="1" applyFont="1" applyBorder="1" applyAlignment="1">
      <alignment/>
    </xf>
    <xf numFmtId="3" fontId="27" fillId="0" borderId="62" xfId="0" applyNumberFormat="1" applyFont="1" applyBorder="1" applyAlignment="1">
      <alignment/>
    </xf>
    <xf numFmtId="0" fontId="27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9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65" xfId="0" applyNumberFormat="1" applyFont="1" applyBorder="1" applyAlignment="1">
      <alignment/>
    </xf>
    <xf numFmtId="0" fontId="27" fillId="0" borderId="17" xfId="0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3" fontId="27" fillId="0" borderId="64" xfId="0" applyNumberFormat="1" applyFont="1" applyBorder="1" applyAlignment="1">
      <alignment/>
    </xf>
    <xf numFmtId="0" fontId="7" fillId="0" borderId="17" xfId="0" applyFont="1" applyBorder="1" applyAlignment="1">
      <alignment/>
    </xf>
    <xf numFmtId="3" fontId="7" fillId="0" borderId="64" xfId="0" applyNumberFormat="1" applyFont="1" applyBorder="1" applyAlignment="1">
      <alignment/>
    </xf>
    <xf numFmtId="0" fontId="27" fillId="0" borderId="27" xfId="0" applyFont="1" applyBorder="1" applyAlignment="1">
      <alignment/>
    </xf>
    <xf numFmtId="3" fontId="27" fillId="0" borderId="17" xfId="0" applyNumberFormat="1" applyFont="1" applyBorder="1" applyAlignment="1">
      <alignment/>
    </xf>
    <xf numFmtId="0" fontId="7" fillId="0" borderId="26" xfId="0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63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62" xfId="0" applyNumberFormat="1" applyFont="1" applyBorder="1" applyAlignment="1">
      <alignment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" fontId="7" fillId="0" borderId="47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right" vertical="center"/>
    </xf>
    <xf numFmtId="3" fontId="27" fillId="0" borderId="22" xfId="0" applyNumberFormat="1" applyFont="1" applyBorder="1" applyAlignment="1">
      <alignment horizontal="right" vertical="center"/>
    </xf>
    <xf numFmtId="0" fontId="2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27" fillId="0" borderId="21" xfId="0" applyFont="1" applyBorder="1" applyAlignment="1">
      <alignment horizontal="center"/>
    </xf>
    <xf numFmtId="3" fontId="27" fillId="0" borderId="20" xfId="0" applyNumberFormat="1" applyFont="1" applyBorder="1" applyAlignment="1">
      <alignment/>
    </xf>
    <xf numFmtId="3" fontId="27" fillId="0" borderId="61" xfId="0" applyNumberFormat="1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0" fillId="2" borderId="48" xfId="0" applyNumberFormat="1" applyFont="1" applyFill="1" applyBorder="1" applyAlignment="1">
      <alignment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0" fillId="2" borderId="23" xfId="0" applyFont="1" applyFill="1" applyBorder="1" applyAlignment="1">
      <alignment/>
    </xf>
    <xf numFmtId="0" fontId="30" fillId="2" borderId="45" xfId="0" applyFont="1" applyFill="1" applyBorder="1" applyAlignment="1">
      <alignment/>
    </xf>
    <xf numFmtId="0" fontId="30" fillId="2" borderId="59" xfId="0" applyFont="1" applyFill="1" applyBorder="1" applyAlignment="1">
      <alignment/>
    </xf>
    <xf numFmtId="0" fontId="30" fillId="2" borderId="58" xfId="0" applyFont="1" applyFill="1" applyBorder="1" applyAlignment="1">
      <alignment/>
    </xf>
    <xf numFmtId="0" fontId="30" fillId="2" borderId="25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/>
    </xf>
    <xf numFmtId="0" fontId="30" fillId="2" borderId="27" xfId="0" applyFont="1" applyFill="1" applyBorder="1" applyAlignment="1">
      <alignment horizontal="center"/>
    </xf>
    <xf numFmtId="0" fontId="30" fillId="2" borderId="47" xfId="0" applyFont="1" applyFill="1" applyBorder="1" applyAlignment="1">
      <alignment horizontal="center"/>
    </xf>
    <xf numFmtId="0" fontId="30" fillId="2" borderId="8" xfId="0" applyFont="1" applyFill="1" applyBorder="1" applyAlignment="1">
      <alignment/>
    </xf>
    <xf numFmtId="0" fontId="30" fillId="2" borderId="15" xfId="0" applyFont="1" applyFill="1" applyBorder="1" applyAlignment="1">
      <alignment/>
    </xf>
    <xf numFmtId="0" fontId="30" fillId="2" borderId="24" xfId="0" applyFont="1" applyFill="1" applyBorder="1" applyAlignment="1">
      <alignment/>
    </xf>
    <xf numFmtId="0" fontId="30" fillId="2" borderId="32" xfId="0" applyFont="1" applyFill="1" applyBorder="1" applyAlignment="1">
      <alignment/>
    </xf>
    <xf numFmtId="0" fontId="30" fillId="0" borderId="6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49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30" fillId="0" borderId="25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12" xfId="0" applyFont="1" applyBorder="1" applyAlignment="1">
      <alignment/>
    </xf>
    <xf numFmtId="3" fontId="30" fillId="0" borderId="46" xfId="0" applyNumberFormat="1" applyFont="1" applyBorder="1" applyAlignment="1">
      <alignment/>
    </xf>
    <xf numFmtId="0" fontId="30" fillId="0" borderId="17" xfId="0" applyFont="1" applyBorder="1" applyAlignment="1">
      <alignment/>
    </xf>
    <xf numFmtId="3" fontId="30" fillId="0" borderId="47" xfId="0" applyNumberFormat="1" applyFont="1" applyBorder="1" applyAlignment="1">
      <alignment/>
    </xf>
    <xf numFmtId="0" fontId="30" fillId="0" borderId="8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2" fillId="0" borderId="15" xfId="0" applyFont="1" applyBorder="1" applyAlignment="1">
      <alignment/>
    </xf>
    <xf numFmtId="3" fontId="2" fillId="0" borderId="32" xfId="0" applyNumberFormat="1" applyFont="1" applyBorder="1" applyAlignment="1">
      <alignment/>
    </xf>
    <xf numFmtId="0" fontId="30" fillId="0" borderId="6" xfId="0" applyFont="1" applyBorder="1" applyAlignment="1">
      <alignment wrapText="1" shrinkToFit="1"/>
    </xf>
    <xf numFmtId="3" fontId="30" fillId="0" borderId="48" xfId="0" applyNumberFormat="1" applyFont="1" applyBorder="1" applyAlignment="1">
      <alignment/>
    </xf>
    <xf numFmtId="0" fontId="30" fillId="0" borderId="1" xfId="0" applyFont="1" applyBorder="1" applyAlignment="1">
      <alignment/>
    </xf>
    <xf numFmtId="3" fontId="30" fillId="0" borderId="66" xfId="0" applyNumberFormat="1" applyFont="1" applyBorder="1" applyAlignment="1">
      <alignment/>
    </xf>
    <xf numFmtId="3" fontId="30" fillId="0" borderId="64" xfId="0" applyNumberFormat="1" applyFont="1" applyBorder="1" applyAlignment="1">
      <alignment/>
    </xf>
    <xf numFmtId="0" fontId="2" fillId="0" borderId="24" xfId="0" applyFont="1" applyBorder="1" applyAlignment="1">
      <alignment/>
    </xf>
    <xf numFmtId="3" fontId="2" fillId="0" borderId="62" xfId="0" applyNumberFormat="1" applyFont="1" applyBorder="1" applyAlignment="1">
      <alignment/>
    </xf>
    <xf numFmtId="3" fontId="30" fillId="0" borderId="63" xfId="0" applyNumberFormat="1" applyFont="1" applyBorder="1" applyAlignment="1">
      <alignment/>
    </xf>
    <xf numFmtId="3" fontId="30" fillId="0" borderId="43" xfId="0" applyNumberFormat="1" applyFont="1" applyBorder="1" applyAlignment="1">
      <alignment/>
    </xf>
    <xf numFmtId="3" fontId="30" fillId="0" borderId="67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40" xfId="0" applyFont="1" applyFill="1" applyBorder="1" applyAlignment="1">
      <alignment/>
    </xf>
    <xf numFmtId="0" fontId="30" fillId="0" borderId="40" xfId="0" applyFont="1" applyFill="1" applyBorder="1" applyAlignment="1">
      <alignment wrapText="1"/>
    </xf>
    <xf numFmtId="3" fontId="30" fillId="0" borderId="43" xfId="0" applyNumberFormat="1" applyFont="1" applyFill="1" applyBorder="1" applyAlignment="1">
      <alignment/>
    </xf>
    <xf numFmtId="0" fontId="30" fillId="0" borderId="17" xfId="0" applyFont="1" applyFill="1" applyBorder="1" applyAlignment="1">
      <alignment horizontal="center"/>
    </xf>
    <xf numFmtId="0" fontId="30" fillId="0" borderId="28" xfId="0" applyFont="1" applyBorder="1" applyAlignment="1">
      <alignment/>
    </xf>
    <xf numFmtId="3" fontId="2" fillId="0" borderId="47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3" fontId="2" fillId="0" borderId="32" xfId="0" applyNumberFormat="1" applyFont="1" applyBorder="1" applyAlignment="1">
      <alignment horizontal="right"/>
    </xf>
    <xf numFmtId="0" fontId="12" fillId="0" borderId="28" xfId="18" applyFont="1" applyBorder="1" applyAlignment="1">
      <alignment horizontal="left" vertical="top"/>
      <protection/>
    </xf>
    <xf numFmtId="0" fontId="12" fillId="0" borderId="0" xfId="18" applyFont="1" applyBorder="1" applyAlignment="1">
      <alignment horizontal="left" vertical="top"/>
      <protection/>
    </xf>
    <xf numFmtId="3" fontId="12" fillId="0" borderId="3" xfId="18" applyNumberFormat="1" applyFont="1" applyBorder="1">
      <alignment/>
      <protection/>
    </xf>
    <xf numFmtId="3" fontId="12" fillId="0" borderId="3" xfId="18" applyNumberFormat="1" applyFont="1" applyBorder="1" applyAlignment="1">
      <alignment/>
      <protection/>
    </xf>
    <xf numFmtId="3" fontId="12" fillId="0" borderId="5" xfId="18" applyNumberFormat="1" applyFont="1" applyBorder="1">
      <alignment/>
      <protection/>
    </xf>
    <xf numFmtId="3" fontId="12" fillId="0" borderId="5" xfId="18" applyNumberFormat="1" applyFont="1" applyBorder="1" applyAlignment="1">
      <alignment/>
      <protection/>
    </xf>
    <xf numFmtId="0" fontId="12" fillId="0" borderId="68" xfId="18" applyFont="1" applyBorder="1">
      <alignment/>
      <protection/>
    </xf>
    <xf numFmtId="3" fontId="12" fillId="0" borderId="68" xfId="18" applyNumberFormat="1" applyFont="1" applyBorder="1">
      <alignment/>
      <protection/>
    </xf>
    <xf numFmtId="0" fontId="12" fillId="0" borderId="5" xfId="18" applyFont="1" applyBorder="1">
      <alignment/>
      <protection/>
    </xf>
    <xf numFmtId="3" fontId="12" fillId="0" borderId="68" xfId="18" applyNumberFormat="1" applyFont="1" applyBorder="1" applyAlignment="1">
      <alignment/>
      <protection/>
    </xf>
    <xf numFmtId="3" fontId="12" fillId="0" borderId="68" xfId="18" applyNumberFormat="1" applyFont="1" applyBorder="1" applyAlignment="1">
      <alignment horizontal="right"/>
      <protection/>
    </xf>
    <xf numFmtId="3" fontId="12" fillId="0" borderId="5" xfId="18" applyNumberFormat="1" applyFont="1" applyBorder="1" applyAlignment="1">
      <alignment horizontal="right"/>
      <protection/>
    </xf>
    <xf numFmtId="3" fontId="12" fillId="0" borderId="3" xfId="18" applyNumberFormat="1" applyFont="1" applyBorder="1" applyAlignment="1">
      <alignment horizontal="right"/>
      <protection/>
    </xf>
    <xf numFmtId="3" fontId="12" fillId="0" borderId="4" xfId="18" applyNumberFormat="1" applyFont="1" applyBorder="1" applyAlignment="1">
      <alignment horizontal="right"/>
      <protection/>
    </xf>
    <xf numFmtId="3" fontId="12" fillId="0" borderId="4" xfId="18" applyNumberFormat="1" applyFont="1" applyBorder="1">
      <alignment/>
      <protection/>
    </xf>
    <xf numFmtId="3" fontId="12" fillId="0" borderId="0" xfId="18" applyNumberFormat="1" applyFont="1" applyBorder="1" applyAlignment="1">
      <alignment horizontal="center"/>
      <protection/>
    </xf>
    <xf numFmtId="3" fontId="12" fillId="0" borderId="69" xfId="18" applyNumberFormat="1" applyFont="1" applyBorder="1" applyAlignment="1">
      <alignment horizontal="center"/>
      <protection/>
    </xf>
    <xf numFmtId="3" fontId="12" fillId="0" borderId="70" xfId="18" applyNumberFormat="1" applyFont="1" applyBorder="1" applyAlignment="1">
      <alignment horizontal="center"/>
      <protection/>
    </xf>
    <xf numFmtId="3" fontId="12" fillId="0" borderId="71" xfId="18" applyNumberFormat="1" applyFont="1" applyBorder="1" applyAlignment="1">
      <alignment horizontal="center"/>
      <protection/>
    </xf>
    <xf numFmtId="3" fontId="12" fillId="0" borderId="72" xfId="18" applyNumberFormat="1" applyFont="1" applyBorder="1" applyAlignment="1">
      <alignment horizontal="center"/>
      <protection/>
    </xf>
    <xf numFmtId="3" fontId="12" fillId="0" borderId="4" xfId="18" applyNumberFormat="1" applyFont="1" applyBorder="1" applyAlignment="1">
      <alignment horizontal="center"/>
      <protection/>
    </xf>
    <xf numFmtId="3" fontId="12" fillId="0" borderId="73" xfId="18" applyNumberFormat="1" applyFont="1" applyBorder="1" applyAlignment="1">
      <alignment horizontal="center"/>
      <protection/>
    </xf>
    <xf numFmtId="0" fontId="12" fillId="0" borderId="74" xfId="18" applyFont="1" applyBorder="1" applyAlignment="1">
      <alignment horizontal="center"/>
      <protection/>
    </xf>
    <xf numFmtId="0" fontId="12" fillId="0" borderId="28" xfId="18" applyFont="1" applyBorder="1" applyAlignment="1">
      <alignment horizontal="center"/>
      <protection/>
    </xf>
    <xf numFmtId="0" fontId="12" fillId="0" borderId="0" xfId="18" applyFont="1" applyBorder="1" applyAlignment="1">
      <alignment horizontal="center"/>
      <protection/>
    </xf>
    <xf numFmtId="0" fontId="12" fillId="0" borderId="75" xfId="18" applyFont="1" applyBorder="1" applyAlignment="1">
      <alignment horizontal="center"/>
      <protection/>
    </xf>
    <xf numFmtId="0" fontId="12" fillId="0" borderId="28" xfId="18" applyFont="1" applyBorder="1" applyAlignment="1">
      <alignment horizontal="left"/>
      <protection/>
    </xf>
    <xf numFmtId="0" fontId="12" fillId="0" borderId="64" xfId="18" applyFont="1" applyBorder="1" applyAlignment="1">
      <alignment horizontal="center"/>
      <protection/>
    </xf>
    <xf numFmtId="0" fontId="12" fillId="0" borderId="76" xfId="18" applyFont="1" applyBorder="1" applyAlignment="1">
      <alignment horizontal="left"/>
      <protection/>
    </xf>
    <xf numFmtId="0" fontId="12" fillId="0" borderId="77" xfId="18" applyFont="1" applyBorder="1" applyAlignment="1">
      <alignment horizontal="center"/>
      <protection/>
    </xf>
    <xf numFmtId="0" fontId="12" fillId="0" borderId="78" xfId="18" applyFont="1" applyBorder="1" applyAlignment="1">
      <alignment horizontal="center"/>
      <protection/>
    </xf>
    <xf numFmtId="0" fontId="12" fillId="0" borderId="3" xfId="18" applyFont="1" applyBorder="1" applyAlignment="1">
      <alignment vertical="center"/>
      <protection/>
    </xf>
    <xf numFmtId="3" fontId="12" fillId="0" borderId="74" xfId="18" applyNumberFormat="1" applyFont="1" applyBorder="1" applyAlignment="1">
      <alignment horizontal="center"/>
      <protection/>
    </xf>
    <xf numFmtId="3" fontId="12" fillId="0" borderId="75" xfId="18" applyNumberFormat="1" applyFont="1" applyBorder="1" applyAlignment="1">
      <alignment horizontal="center"/>
      <protection/>
    </xf>
    <xf numFmtId="3" fontId="12" fillId="0" borderId="64" xfId="18" applyNumberFormat="1" applyFont="1" applyBorder="1" applyAlignment="1">
      <alignment horizontal="center"/>
      <protection/>
    </xf>
    <xf numFmtId="3" fontId="12" fillId="0" borderId="76" xfId="18" applyNumberFormat="1" applyFont="1" applyBorder="1" applyAlignment="1">
      <alignment horizontal="left"/>
      <protection/>
    </xf>
    <xf numFmtId="3" fontId="12" fillId="0" borderId="77" xfId="18" applyNumberFormat="1" applyFont="1" applyBorder="1" applyAlignment="1">
      <alignment horizontal="center"/>
      <protection/>
    </xf>
    <xf numFmtId="3" fontId="12" fillId="0" borderId="78" xfId="18" applyNumberFormat="1" applyFont="1" applyBorder="1" applyAlignment="1">
      <alignment horizontal="center"/>
      <protection/>
    </xf>
    <xf numFmtId="3" fontId="12" fillId="0" borderId="79" xfId="18" applyNumberFormat="1" applyFont="1" applyBorder="1" applyAlignment="1">
      <alignment horizontal="center"/>
      <protection/>
    </xf>
    <xf numFmtId="3" fontId="12" fillId="0" borderId="80" xfId="18" applyNumberFormat="1" applyFont="1" applyBorder="1" applyAlignment="1">
      <alignment horizontal="center"/>
      <protection/>
    </xf>
    <xf numFmtId="3" fontId="12" fillId="0" borderId="81" xfId="18" applyNumberFormat="1" applyFont="1" applyBorder="1" applyAlignment="1">
      <alignment horizontal="center"/>
      <protection/>
    </xf>
    <xf numFmtId="0" fontId="12" fillId="0" borderId="82" xfId="18" applyFont="1" applyBorder="1">
      <alignment/>
      <protection/>
    </xf>
    <xf numFmtId="0" fontId="12" fillId="0" borderId="73" xfId="18" applyFont="1" applyBorder="1">
      <alignment/>
      <protection/>
    </xf>
    <xf numFmtId="0" fontId="11" fillId="0" borderId="10" xfId="18" applyFont="1" applyBorder="1">
      <alignment/>
      <protection/>
    </xf>
    <xf numFmtId="3" fontId="11" fillId="0" borderId="10" xfId="18" applyNumberFormat="1" applyFont="1" applyBorder="1">
      <alignment/>
      <protection/>
    </xf>
    <xf numFmtId="0" fontId="11" fillId="2" borderId="43" xfId="18" applyFont="1" applyFill="1" applyBorder="1" applyAlignment="1">
      <alignment horizontal="center" vertical="center" wrapText="1"/>
      <protection/>
    </xf>
    <xf numFmtId="0" fontId="13" fillId="0" borderId="34" xfId="18" applyFont="1" applyBorder="1" applyAlignment="1">
      <alignment horizontal="center" vertical="center"/>
      <protection/>
    </xf>
    <xf numFmtId="0" fontId="13" fillId="0" borderId="43" xfId="18" applyFont="1" applyBorder="1" applyAlignment="1">
      <alignment horizontal="center" vertical="center"/>
      <protection/>
    </xf>
    <xf numFmtId="3" fontId="11" fillId="0" borderId="44" xfId="18" applyNumberFormat="1" applyFont="1" applyBorder="1">
      <alignment/>
      <protection/>
    </xf>
    <xf numFmtId="0" fontId="12" fillId="0" borderId="64" xfId="18" applyFont="1" applyBorder="1" applyAlignment="1">
      <alignment horizontal="left" vertical="top"/>
      <protection/>
    </xf>
    <xf numFmtId="3" fontId="12" fillId="0" borderId="83" xfId="18" applyNumberFormat="1" applyFont="1" applyBorder="1">
      <alignment/>
      <protection/>
    </xf>
    <xf numFmtId="3" fontId="12" fillId="0" borderId="57" xfId="18" applyNumberFormat="1" applyFont="1" applyBorder="1" applyAlignment="1">
      <alignment/>
      <protection/>
    </xf>
    <xf numFmtId="3" fontId="12" fillId="0" borderId="84" xfId="18" applyNumberFormat="1" applyFont="1" applyBorder="1" applyAlignment="1">
      <alignment/>
      <protection/>
    </xf>
    <xf numFmtId="3" fontId="12" fillId="0" borderId="85" xfId="18" applyNumberFormat="1" applyFont="1" applyBorder="1" applyAlignment="1">
      <alignment/>
      <protection/>
    </xf>
    <xf numFmtId="3" fontId="12" fillId="0" borderId="83" xfId="18" applyNumberFormat="1" applyFont="1" applyBorder="1" applyAlignment="1">
      <alignment horizontal="right"/>
      <protection/>
    </xf>
    <xf numFmtId="3" fontId="12" fillId="0" borderId="57" xfId="18" applyNumberFormat="1" applyFont="1" applyBorder="1" applyAlignment="1">
      <alignment horizontal="right"/>
      <protection/>
    </xf>
    <xf numFmtId="3" fontId="12" fillId="0" borderId="84" xfId="18" applyNumberFormat="1" applyFont="1" applyBorder="1" applyAlignment="1">
      <alignment horizontal="right"/>
      <protection/>
    </xf>
    <xf numFmtId="3" fontId="12" fillId="0" borderId="85" xfId="18" applyNumberFormat="1" applyFont="1" applyBorder="1" applyAlignment="1">
      <alignment horizontal="right"/>
      <protection/>
    </xf>
    <xf numFmtId="3" fontId="0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right" vertical="center"/>
    </xf>
    <xf numFmtId="0" fontId="12" fillId="0" borderId="28" xfId="18" applyFont="1" applyBorder="1" applyAlignment="1">
      <alignment horizontal="left" vertical="center"/>
      <protection/>
    </xf>
    <xf numFmtId="0" fontId="12" fillId="0" borderId="0" xfId="18" applyFont="1" applyBorder="1" applyAlignment="1">
      <alignment horizontal="left" vertical="center"/>
      <protection/>
    </xf>
    <xf numFmtId="0" fontId="12" fillId="0" borderId="64" xfId="18" applyFont="1" applyBorder="1" applyAlignment="1">
      <alignment horizontal="left" vertical="center"/>
      <protection/>
    </xf>
    <xf numFmtId="0" fontId="12" fillId="0" borderId="86" xfId="18" applyFont="1" applyBorder="1">
      <alignment/>
      <protection/>
    </xf>
    <xf numFmtId="0" fontId="7" fillId="2" borderId="60" xfId="0" applyFont="1" applyFill="1" applyBorder="1" applyAlignment="1">
      <alignment horizontal="left" vertical="center"/>
    </xf>
    <xf numFmtId="49" fontId="7" fillId="2" borderId="25" xfId="0" applyNumberFormat="1" applyFont="1" applyFill="1" applyBorder="1" applyAlignment="1">
      <alignment horizontal="left" vertical="center"/>
    </xf>
    <xf numFmtId="3" fontId="7" fillId="2" borderId="17" xfId="0" applyNumberFormat="1" applyFont="1" applyFill="1" applyBorder="1" applyAlignment="1">
      <alignment horizontal="right" vertical="center"/>
    </xf>
    <xf numFmtId="0" fontId="7" fillId="2" borderId="60" xfId="0" applyFont="1" applyFill="1" applyBorder="1" applyAlignment="1">
      <alignment/>
    </xf>
    <xf numFmtId="3" fontId="7" fillId="2" borderId="12" xfId="0" applyNumberFormat="1" applyFont="1" applyFill="1" applyBorder="1" applyAlignment="1">
      <alignment horizontal="right"/>
    </xf>
    <xf numFmtId="0" fontId="7" fillId="2" borderId="25" xfId="0" applyFont="1" applyFill="1" applyBorder="1" applyAlignment="1">
      <alignment horizontal="left"/>
    </xf>
    <xf numFmtId="3" fontId="7" fillId="2" borderId="7" xfId="0" applyNumberFormat="1" applyFont="1" applyFill="1" applyBorder="1" applyAlignment="1">
      <alignment horizontal="right"/>
    </xf>
    <xf numFmtId="3" fontId="7" fillId="2" borderId="17" xfId="0" applyNumberFormat="1" applyFont="1" applyFill="1" applyBorder="1" applyAlignment="1">
      <alignment horizontal="right"/>
    </xf>
    <xf numFmtId="49" fontId="7" fillId="2" borderId="8" xfId="0" applyNumberFormat="1" applyFont="1" applyFill="1" applyBorder="1" applyAlignment="1">
      <alignment horizontal="left"/>
    </xf>
    <xf numFmtId="3" fontId="7" fillId="2" borderId="15" xfId="0" applyNumberFormat="1" applyFont="1" applyFill="1" applyBorder="1" applyAlignment="1">
      <alignment horizontal="right"/>
    </xf>
    <xf numFmtId="0" fontId="7" fillId="2" borderId="19" xfId="0" applyFont="1" applyFill="1" applyBorder="1" applyAlignment="1">
      <alignment horizontal="left"/>
    </xf>
    <xf numFmtId="3" fontId="7" fillId="2" borderId="20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3" fontId="7" fillId="2" borderId="12" xfId="0" applyNumberFormat="1" applyFont="1" applyFill="1" applyBorder="1" applyAlignment="1">
      <alignment horizontal="right" vertical="center"/>
    </xf>
    <xf numFmtId="0" fontId="27" fillId="0" borderId="15" xfId="0" applyFont="1" applyBorder="1" applyAlignment="1">
      <alignment/>
    </xf>
    <xf numFmtId="3" fontId="2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47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27" fillId="0" borderId="20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2" fillId="0" borderId="40" xfId="18" applyFont="1" applyBorder="1">
      <alignment/>
      <protection/>
    </xf>
    <xf numFmtId="0" fontId="12" fillId="0" borderId="34" xfId="18" applyFont="1" applyBorder="1">
      <alignment/>
      <protection/>
    </xf>
    <xf numFmtId="3" fontId="12" fillId="0" borderId="1" xfId="18" applyNumberFormat="1" applyFont="1" applyBorder="1">
      <alignment/>
      <protection/>
    </xf>
    <xf numFmtId="0" fontId="12" fillId="0" borderId="1" xfId="18" applyFont="1" applyBorder="1" applyAlignment="1">
      <alignment horizontal="center"/>
      <protection/>
    </xf>
    <xf numFmtId="0" fontId="11" fillId="0" borderId="19" xfId="18" applyFont="1" applyBorder="1">
      <alignment/>
      <protection/>
    </xf>
    <xf numFmtId="3" fontId="11" fillId="0" borderId="20" xfId="18" applyNumberFormat="1" applyFont="1" applyBorder="1">
      <alignment/>
      <protection/>
    </xf>
    <xf numFmtId="0" fontId="12" fillId="0" borderId="87" xfId="18" applyFont="1" applyBorder="1">
      <alignment/>
      <protection/>
    </xf>
    <xf numFmtId="0" fontId="7" fillId="2" borderId="6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3" fontId="27" fillId="0" borderId="32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0" fontId="7" fillId="0" borderId="47" xfId="0" applyFont="1" applyBorder="1" applyAlignment="1">
      <alignment/>
    </xf>
    <xf numFmtId="3" fontId="7" fillId="0" borderId="4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12" fillId="0" borderId="0" xfId="18" applyFont="1" applyBorder="1">
      <alignment/>
      <protection/>
    </xf>
    <xf numFmtId="3" fontId="11" fillId="0" borderId="22" xfId="18" applyNumberFormat="1" applyFont="1" applyBorder="1">
      <alignment/>
      <protection/>
    </xf>
    <xf numFmtId="3" fontId="12" fillId="0" borderId="43" xfId="18" applyNumberFormat="1" applyFont="1" applyBorder="1">
      <alignment/>
      <protection/>
    </xf>
    <xf numFmtId="3" fontId="12" fillId="0" borderId="1" xfId="18" applyNumberFormat="1" applyFont="1" applyBorder="1" applyAlignment="1">
      <alignment horizontal="right"/>
      <protection/>
    </xf>
    <xf numFmtId="3" fontId="12" fillId="0" borderId="43" xfId="18" applyNumberFormat="1" applyFont="1" applyBorder="1" applyAlignment="1">
      <alignment horizontal="right"/>
      <protection/>
    </xf>
    <xf numFmtId="3" fontId="12" fillId="0" borderId="88" xfId="18" applyNumberFormat="1" applyFont="1" applyBorder="1" applyAlignment="1">
      <alignment horizontal="right"/>
      <protection/>
    </xf>
    <xf numFmtId="3" fontId="12" fillId="0" borderId="89" xfId="18" applyNumberFormat="1" applyFont="1" applyBorder="1" applyAlignment="1">
      <alignment horizontal="right"/>
      <protection/>
    </xf>
    <xf numFmtId="3" fontId="12" fillId="0" borderId="73" xfId="18" applyNumberFormat="1" applyFont="1" applyBorder="1" applyAlignment="1">
      <alignment horizontal="right"/>
      <protection/>
    </xf>
    <xf numFmtId="3" fontId="12" fillId="0" borderId="81" xfId="18" applyNumberFormat="1" applyFont="1" applyBorder="1" applyAlignment="1">
      <alignment horizontal="right"/>
      <protection/>
    </xf>
    <xf numFmtId="3" fontId="12" fillId="0" borderId="79" xfId="18" applyNumberFormat="1" applyFont="1" applyBorder="1" applyAlignment="1">
      <alignment horizontal="right"/>
      <protection/>
    </xf>
    <xf numFmtId="3" fontId="12" fillId="0" borderId="80" xfId="18" applyNumberFormat="1" applyFont="1" applyBorder="1" applyAlignment="1">
      <alignment horizontal="right"/>
      <protection/>
    </xf>
    <xf numFmtId="3" fontId="12" fillId="0" borderId="69" xfId="18" applyNumberFormat="1" applyFont="1" applyBorder="1" applyAlignment="1">
      <alignment horizontal="right"/>
      <protection/>
    </xf>
    <xf numFmtId="3" fontId="12" fillId="0" borderId="70" xfId="18" applyNumberFormat="1" applyFont="1" applyBorder="1" applyAlignment="1">
      <alignment horizontal="right"/>
      <protection/>
    </xf>
    <xf numFmtId="3" fontId="12" fillId="0" borderId="71" xfId="18" applyNumberFormat="1" applyFont="1" applyBorder="1" applyAlignment="1">
      <alignment horizontal="right"/>
      <protection/>
    </xf>
    <xf numFmtId="3" fontId="12" fillId="0" borderId="72" xfId="18" applyNumberFormat="1" applyFont="1" applyBorder="1" applyAlignment="1">
      <alignment horizontal="right"/>
      <protection/>
    </xf>
    <xf numFmtId="3" fontId="12" fillId="0" borderId="90" xfId="18" applyNumberFormat="1" applyFont="1" applyBorder="1" applyAlignment="1">
      <alignment horizontal="right"/>
      <protection/>
    </xf>
    <xf numFmtId="3" fontId="12" fillId="0" borderId="91" xfId="18" applyNumberFormat="1" applyFont="1" applyBorder="1" applyAlignment="1">
      <alignment horizontal="right"/>
      <protection/>
    </xf>
    <xf numFmtId="3" fontId="12" fillId="0" borderId="92" xfId="18" applyNumberFormat="1" applyFont="1" applyBorder="1" applyAlignment="1">
      <alignment horizontal="right"/>
      <protection/>
    </xf>
    <xf numFmtId="0" fontId="12" fillId="0" borderId="93" xfId="18" applyFont="1" applyBorder="1">
      <alignment/>
      <protection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7" fillId="0" borderId="28" xfId="0" applyFont="1" applyBorder="1" applyAlignment="1">
      <alignment/>
    </xf>
    <xf numFmtId="0" fontId="9" fillId="0" borderId="5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9" fillId="0" borderId="0" xfId="0" applyFont="1" applyAlignment="1">
      <alignment/>
    </xf>
    <xf numFmtId="3" fontId="7" fillId="0" borderId="28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40" xfId="0" applyFont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 horizontal="right"/>
    </xf>
    <xf numFmtId="0" fontId="7" fillId="0" borderId="18" xfId="0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3" fontId="7" fillId="0" borderId="48" xfId="0" applyNumberFormat="1" applyFont="1" applyFill="1" applyBorder="1" applyAlignment="1">
      <alignment horizontal="right"/>
    </xf>
    <xf numFmtId="0" fontId="7" fillId="0" borderId="42" xfId="0" applyFont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Continuous"/>
    </xf>
    <xf numFmtId="0" fontId="7" fillId="0" borderId="20" xfId="0" applyFont="1" applyBorder="1" applyAlignment="1">
      <alignment/>
    </xf>
    <xf numFmtId="170" fontId="7" fillId="0" borderId="20" xfId="0" applyNumberFormat="1" applyFont="1" applyFill="1" applyBorder="1" applyAlignment="1">
      <alignment horizontal="center"/>
    </xf>
    <xf numFmtId="170" fontId="7" fillId="0" borderId="20" xfId="0" applyNumberFormat="1" applyFont="1" applyBorder="1" applyAlignment="1">
      <alignment horizontal="center"/>
    </xf>
    <xf numFmtId="170" fontId="7" fillId="0" borderId="52" xfId="0" applyNumberFormat="1" applyFont="1" applyBorder="1" applyAlignment="1">
      <alignment horizontal="center"/>
    </xf>
    <xf numFmtId="170" fontId="7" fillId="0" borderId="51" xfId="0" applyNumberFormat="1" applyFont="1" applyBorder="1" applyAlignment="1">
      <alignment horizontal="center"/>
    </xf>
    <xf numFmtId="170" fontId="7" fillId="0" borderId="22" xfId="0" applyNumberFormat="1" applyFont="1" applyBorder="1" applyAlignment="1">
      <alignment horizontal="center"/>
    </xf>
    <xf numFmtId="0" fontId="7" fillId="2" borderId="53" xfId="0" applyFont="1" applyFill="1" applyBorder="1" applyAlignment="1">
      <alignment/>
    </xf>
    <xf numFmtId="0" fontId="7" fillId="2" borderId="28" xfId="0" applyFont="1" applyFill="1" applyBorder="1" applyAlignment="1">
      <alignment horizontal="centerContinuous"/>
    </xf>
    <xf numFmtId="0" fontId="7" fillId="2" borderId="28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17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64" xfId="0" applyFont="1" applyFill="1" applyBorder="1" applyAlignment="1">
      <alignment horizontal="centerContinuous"/>
    </xf>
    <xf numFmtId="0" fontId="7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64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0" xfId="0" applyFont="1" applyFill="1" applyBorder="1" applyAlignment="1">
      <alignment horizontal="centerContinuous"/>
    </xf>
    <xf numFmtId="0" fontId="7" fillId="2" borderId="50" xfId="0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0" fillId="0" borderId="23" xfId="0" applyFont="1" applyBorder="1" applyAlignment="1">
      <alignment horizontal="centerContinuous"/>
    </xf>
    <xf numFmtId="0" fontId="0" fillId="0" borderId="34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0" fontId="0" fillId="0" borderId="56" xfId="0" applyFont="1" applyBorder="1" applyAlignment="1">
      <alignment horizontal="centerContinuous"/>
    </xf>
    <xf numFmtId="0" fontId="7" fillId="2" borderId="23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9" fillId="0" borderId="19" xfId="0" applyFont="1" applyBorder="1" applyAlignment="1">
      <alignment horizontal="centerContinuous"/>
    </xf>
    <xf numFmtId="0" fontId="7" fillId="2" borderId="12" xfId="0" applyFont="1" applyFill="1" applyBorder="1" applyAlignment="1">
      <alignment horizontal="center"/>
    </xf>
    <xf numFmtId="0" fontId="12" fillId="0" borderId="4" xfId="18" applyFont="1" applyBorder="1" applyAlignment="1">
      <alignment horizontal="center"/>
      <protection/>
    </xf>
    <xf numFmtId="0" fontId="12" fillId="0" borderId="94" xfId="18" applyNumberFormat="1" applyFont="1" applyBorder="1" applyAlignment="1">
      <alignment horizontal="center"/>
      <protection/>
    </xf>
    <xf numFmtId="0" fontId="12" fillId="0" borderId="4" xfId="18" applyNumberFormat="1" applyFont="1" applyBorder="1" applyAlignment="1">
      <alignment horizontal="center"/>
      <protection/>
    </xf>
    <xf numFmtId="0" fontId="12" fillId="0" borderId="95" xfId="18" applyNumberFormat="1" applyFont="1" applyBorder="1" applyAlignment="1">
      <alignment horizontal="center"/>
      <protection/>
    </xf>
    <xf numFmtId="0" fontId="12" fillId="0" borderId="73" xfId="18" applyNumberFormat="1" applyFont="1" applyBorder="1" applyAlignment="1">
      <alignment horizontal="center"/>
      <protection/>
    </xf>
    <xf numFmtId="0" fontId="1" fillId="0" borderId="96" xfId="0" applyFont="1" applyBorder="1" applyAlignment="1">
      <alignment horizontal="center" vertical="center"/>
    </xf>
    <xf numFmtId="0" fontId="32" fillId="0" borderId="97" xfId="0" applyFont="1" applyBorder="1" applyAlignment="1">
      <alignment vertical="center"/>
    </xf>
    <xf numFmtId="0" fontId="0" fillId="0" borderId="97" xfId="0" applyBorder="1" applyAlignment="1">
      <alignment vertical="center"/>
    </xf>
    <xf numFmtId="0" fontId="4" fillId="0" borderId="98" xfId="0" applyFont="1" applyBorder="1" applyAlignment="1">
      <alignment horizontal="center" vertical="top"/>
    </xf>
    <xf numFmtId="0" fontId="0" fillId="0" borderId="98" xfId="0" applyBorder="1" applyAlignment="1">
      <alignment vertical="center"/>
    </xf>
    <xf numFmtId="0" fontId="0" fillId="0" borderId="98" xfId="0" applyFont="1" applyBorder="1" applyAlignment="1">
      <alignment vertical="center"/>
    </xf>
    <xf numFmtId="0" fontId="32" fillId="0" borderId="98" xfId="0" applyFont="1" applyBorder="1" applyAlignment="1">
      <alignment vertical="center"/>
    </xf>
    <xf numFmtId="0" fontId="0" fillId="0" borderId="98" xfId="0" applyBorder="1" applyAlignment="1">
      <alignment vertical="center" wrapText="1"/>
    </xf>
    <xf numFmtId="0" fontId="32" fillId="0" borderId="98" xfId="0" applyFont="1" applyBorder="1" applyAlignment="1">
      <alignment vertical="center" wrapText="1"/>
    </xf>
    <xf numFmtId="0" fontId="32" fillId="0" borderId="99" xfId="0" applyFont="1" applyBorder="1" applyAlignment="1">
      <alignment vertical="center" wrapText="1"/>
    </xf>
    <xf numFmtId="3" fontId="0" fillId="0" borderId="98" xfId="0" applyNumberFormat="1" applyBorder="1" applyAlignment="1">
      <alignment vertical="center"/>
    </xf>
    <xf numFmtId="3" fontId="0" fillId="0" borderId="97" xfId="0" applyNumberFormat="1" applyBorder="1" applyAlignment="1">
      <alignment vertical="center"/>
    </xf>
    <xf numFmtId="0" fontId="4" fillId="2" borderId="96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4" fillId="0" borderId="97" xfId="0" applyNumberFormat="1" applyFont="1" applyBorder="1" applyAlignment="1">
      <alignment vertical="center"/>
    </xf>
    <xf numFmtId="3" fontId="4" fillId="0" borderId="98" xfId="0" applyNumberFormat="1" applyFont="1" applyBorder="1" applyAlignment="1">
      <alignment vertical="center"/>
    </xf>
    <xf numFmtId="170" fontId="4" fillId="0" borderId="98" xfId="0" applyNumberFormat="1" applyFont="1" applyBorder="1" applyAlignment="1">
      <alignment vertical="center"/>
    </xf>
    <xf numFmtId="0" fontId="4" fillId="0" borderId="100" xfId="0" applyFont="1" applyBorder="1" applyAlignment="1">
      <alignment horizontal="center" vertical="top"/>
    </xf>
    <xf numFmtId="0" fontId="4" fillId="0" borderId="101" xfId="0" applyFont="1" applyBorder="1" applyAlignment="1">
      <alignment horizontal="center" vertical="top"/>
    </xf>
    <xf numFmtId="0" fontId="11" fillId="0" borderId="9" xfId="18" applyFont="1" applyBorder="1" applyAlignment="1">
      <alignment horizontal="center"/>
      <protection/>
    </xf>
    <xf numFmtId="0" fontId="11" fillId="0" borderId="96" xfId="18" applyFont="1" applyBorder="1" applyAlignment="1">
      <alignment horizontal="center"/>
      <protection/>
    </xf>
    <xf numFmtId="0" fontId="34" fillId="0" borderId="0" xfId="18" applyFont="1">
      <alignment/>
      <protection/>
    </xf>
    <xf numFmtId="3" fontId="4" fillId="0" borderId="1" xfId="0" applyNumberFormat="1" applyFont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170" fontId="0" fillId="0" borderId="43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57" xfId="0" applyFont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84" xfId="0" applyFont="1" applyBorder="1" applyAlignment="1">
      <alignment horizontal="right" vertical="center"/>
    </xf>
    <xf numFmtId="0" fontId="0" fillId="0" borderId="83" xfId="0" applyFont="1" applyBorder="1" applyAlignment="1">
      <alignment horizontal="right" vertical="center"/>
    </xf>
    <xf numFmtId="170" fontId="4" fillId="0" borderId="43" xfId="0" applyNumberFormat="1" applyFont="1" applyBorder="1" applyAlignment="1">
      <alignment horizontal="right" vertical="center"/>
    </xf>
    <xf numFmtId="170" fontId="0" fillId="0" borderId="57" xfId="0" applyNumberFormat="1" applyFont="1" applyBorder="1" applyAlignment="1">
      <alignment horizontal="right" vertical="center"/>
    </xf>
    <xf numFmtId="170" fontId="0" fillId="0" borderId="84" xfId="0" applyNumberFormat="1" applyFont="1" applyBorder="1" applyAlignment="1">
      <alignment horizontal="right" vertical="center"/>
    </xf>
    <xf numFmtId="0" fontId="0" fillId="0" borderId="102" xfId="0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3" fontId="0" fillId="0" borderId="68" xfId="0" applyNumberFormat="1" applyFont="1" applyBorder="1" applyAlignment="1">
      <alignment horizontal="right" vertical="center"/>
    </xf>
    <xf numFmtId="3" fontId="0" fillId="0" borderId="68" xfId="0" applyNumberFormat="1" applyFont="1" applyBorder="1" applyAlignment="1">
      <alignment vertical="center"/>
    </xf>
    <xf numFmtId="0" fontId="0" fillId="0" borderId="85" xfId="0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3" fontId="27" fillId="0" borderId="20" xfId="0" applyNumberFormat="1" applyFont="1" applyBorder="1" applyAlignment="1">
      <alignment horizontal="right"/>
    </xf>
    <xf numFmtId="3" fontId="27" fillId="0" borderId="22" xfId="0" applyNumberFormat="1" applyFont="1" applyBorder="1" applyAlignment="1">
      <alignment horizontal="right"/>
    </xf>
    <xf numFmtId="0" fontId="7" fillId="0" borderId="4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3" fontId="0" fillId="0" borderId="48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9" fillId="0" borderId="20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170" fontId="18" fillId="0" borderId="17" xfId="0" applyNumberFormat="1" applyFont="1" applyBorder="1" applyAlignment="1">
      <alignment vertical="top" wrapText="1"/>
    </xf>
    <xf numFmtId="3" fontId="25" fillId="0" borderId="4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9" fillId="0" borderId="5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3" fontId="7" fillId="0" borderId="16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wrapText="1"/>
    </xf>
    <xf numFmtId="0" fontId="7" fillId="0" borderId="6" xfId="0" applyFont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3" fontId="7" fillId="0" borderId="103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18" fillId="0" borderId="25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" xfId="0" applyFont="1" applyFill="1" applyBorder="1" applyAlignment="1">
      <alignment/>
    </xf>
    <xf numFmtId="3" fontId="7" fillId="0" borderId="27" xfId="0" applyNumberFormat="1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3" fontId="7" fillId="0" borderId="64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7" fillId="0" borderId="65" xfId="0" applyNumberFormat="1" applyFont="1" applyBorder="1" applyAlignment="1">
      <alignment horizontal="right" vertical="center"/>
    </xf>
    <xf numFmtId="3" fontId="27" fillId="0" borderId="21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left" vertical="center"/>
    </xf>
    <xf numFmtId="49" fontId="7" fillId="0" borderId="27" xfId="0" applyNumberFormat="1" applyFont="1" applyFill="1" applyBorder="1" applyAlignment="1">
      <alignment/>
    </xf>
    <xf numFmtId="3" fontId="0" fillId="0" borderId="43" xfId="0" applyNumberFormat="1" applyBorder="1" applyAlignment="1">
      <alignment vertical="center"/>
    </xf>
    <xf numFmtId="3" fontId="18" fillId="0" borderId="49" xfId="0" applyNumberFormat="1" applyFont="1" applyBorder="1" applyAlignment="1">
      <alignment horizontal="right" vertical="center" wrapText="1"/>
    </xf>
    <xf numFmtId="3" fontId="18" fillId="0" borderId="44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49" fontId="7" fillId="0" borderId="29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0" fontId="15" fillId="0" borderId="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3" fontId="0" fillId="0" borderId="97" xfId="0" applyNumberFormat="1" applyFill="1" applyBorder="1" applyAlignment="1">
      <alignment vertical="center"/>
    </xf>
    <xf numFmtId="3" fontId="0" fillId="0" borderId="98" xfId="0" applyNumberFormat="1" applyFill="1" applyBorder="1" applyAlignment="1">
      <alignment vertical="center"/>
    </xf>
    <xf numFmtId="3" fontId="4" fillId="0" borderId="98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3" fontId="0" fillId="0" borderId="4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top" wrapText="1"/>
    </xf>
    <xf numFmtId="3" fontId="7" fillId="0" borderId="43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44" xfId="0" applyNumberFormat="1" applyFont="1" applyFill="1" applyBorder="1" applyAlignment="1">
      <alignment horizontal="right"/>
    </xf>
    <xf numFmtId="3" fontId="7" fillId="0" borderId="46" xfId="0" applyNumberFormat="1" applyFont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0" fontId="15" fillId="0" borderId="12" xfId="0" applyFont="1" applyBorder="1" applyAlignment="1">
      <alignment vertical="top" wrapText="1"/>
    </xf>
    <xf numFmtId="3" fontId="18" fillId="0" borderId="12" xfId="0" applyNumberFormat="1" applyFont="1" applyBorder="1" applyAlignment="1">
      <alignment vertical="top" wrapText="1"/>
    </xf>
    <xf numFmtId="3" fontId="15" fillId="0" borderId="12" xfId="0" applyNumberFormat="1" applyFont="1" applyBorder="1" applyAlignment="1">
      <alignment vertical="top" wrapText="1"/>
    </xf>
    <xf numFmtId="3" fontId="15" fillId="0" borderId="46" xfId="0" applyNumberFormat="1" applyFont="1" applyBorder="1" applyAlignment="1">
      <alignment vertical="top" wrapText="1"/>
    </xf>
    <xf numFmtId="0" fontId="27" fillId="0" borderId="8" xfId="0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/>
    </xf>
    <xf numFmtId="3" fontId="7" fillId="2" borderId="47" xfId="0" applyNumberFormat="1" applyFont="1" applyFill="1" applyBorder="1" applyAlignment="1">
      <alignment horizontal="right" vertical="center"/>
    </xf>
    <xf numFmtId="3" fontId="7" fillId="2" borderId="31" xfId="0" applyNumberFormat="1" applyFont="1" applyFill="1" applyBorder="1" applyAlignment="1">
      <alignment horizontal="right" vertical="center"/>
    </xf>
    <xf numFmtId="3" fontId="7" fillId="2" borderId="46" xfId="0" applyNumberFormat="1" applyFont="1" applyFill="1" applyBorder="1" applyAlignment="1">
      <alignment horizontal="right"/>
    </xf>
    <xf numFmtId="3" fontId="7" fillId="2" borderId="47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>
      <alignment horizontal="right" vertical="center"/>
    </xf>
    <xf numFmtId="3" fontId="7" fillId="2" borderId="46" xfId="0" applyNumberFormat="1" applyFont="1" applyFill="1" applyBorder="1" applyAlignment="1">
      <alignment horizontal="right" vertical="center"/>
    </xf>
    <xf numFmtId="3" fontId="7" fillId="2" borderId="32" xfId="0" applyNumberFormat="1" applyFont="1" applyFill="1" applyBorder="1" applyAlignment="1">
      <alignment horizontal="right"/>
    </xf>
    <xf numFmtId="3" fontId="7" fillId="2" borderId="32" xfId="0" applyNumberFormat="1" applyFont="1" applyFill="1" applyBorder="1" applyAlignment="1">
      <alignment/>
    </xf>
    <xf numFmtId="0" fontId="27" fillId="0" borderId="21" xfId="0" applyFont="1" applyBorder="1" applyAlignment="1">
      <alignment horizontal="left"/>
    </xf>
    <xf numFmtId="3" fontId="7" fillId="0" borderId="27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center"/>
    </xf>
    <xf numFmtId="3" fontId="7" fillId="0" borderId="62" xfId="0" applyNumberFormat="1" applyFont="1" applyBorder="1" applyAlignment="1">
      <alignment horizontal="center"/>
    </xf>
    <xf numFmtId="3" fontId="27" fillId="0" borderId="21" xfId="0" applyNumberFormat="1" applyFont="1" applyBorder="1" applyAlignment="1">
      <alignment horizontal="right"/>
    </xf>
    <xf numFmtId="0" fontId="7" fillId="0" borderId="26" xfId="0" applyFont="1" applyFill="1" applyBorder="1" applyAlignment="1">
      <alignment horizontal="center"/>
    </xf>
    <xf numFmtId="0" fontId="18" fillId="0" borderId="60" xfId="0" applyFont="1" applyBorder="1" applyAlignment="1">
      <alignment vertical="top" wrapText="1"/>
    </xf>
    <xf numFmtId="49" fontId="15" fillId="0" borderId="12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7" fillId="0" borderId="21" xfId="0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right" vertical="center"/>
    </xf>
    <xf numFmtId="0" fontId="7" fillId="0" borderId="55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14" xfId="0" applyBorder="1" applyAlignment="1">
      <alignment/>
    </xf>
    <xf numFmtId="0" fontId="0" fillId="0" borderId="62" xfId="0" applyBorder="1" applyAlignment="1">
      <alignment/>
    </xf>
    <xf numFmtId="0" fontId="18" fillId="2" borderId="34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3" fontId="0" fillId="0" borderId="97" xfId="0" applyNumberFormat="1" applyFont="1" applyFill="1" applyBorder="1" applyAlignment="1">
      <alignment horizontal="right"/>
    </xf>
    <xf numFmtId="3" fontId="4" fillId="0" borderId="97" xfId="0" applyNumberFormat="1" applyFont="1" applyFill="1" applyBorder="1" applyAlignment="1">
      <alignment horizontal="right"/>
    </xf>
    <xf numFmtId="3" fontId="0" fillId="0" borderId="9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3" fontId="7" fillId="2" borderId="58" xfId="0" applyNumberFormat="1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 vertical="center" wrapText="1"/>
    </xf>
    <xf numFmtId="3" fontId="7" fillId="2" borderId="32" xfId="0" applyNumberFormat="1" applyFont="1" applyFill="1" applyBorder="1" applyAlignment="1">
      <alignment horizontal="center" vertical="center" wrapText="1"/>
    </xf>
    <xf numFmtId="0" fontId="27" fillId="0" borderId="104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3" fontId="7" fillId="2" borderId="74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 wrapText="1"/>
    </xf>
    <xf numFmtId="170" fontId="18" fillId="2" borderId="45" xfId="0" applyNumberFormat="1" applyFont="1" applyFill="1" applyBorder="1" applyAlignment="1">
      <alignment horizontal="center" vertical="center" wrapText="1"/>
    </xf>
    <xf numFmtId="170" fontId="18" fillId="2" borderId="17" xfId="0" applyNumberFormat="1" applyFont="1" applyFill="1" applyBorder="1" applyAlignment="1">
      <alignment horizontal="center" vertical="center" wrapText="1"/>
    </xf>
    <xf numFmtId="170" fontId="18" fillId="2" borderId="6" xfId="0" applyNumberFormat="1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4" fillId="0" borderId="10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06" xfId="0" applyFont="1" applyBorder="1" applyAlignment="1">
      <alignment horizontal="left" vertical="center"/>
    </xf>
    <xf numFmtId="0" fontId="4" fillId="0" borderId="107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18" fillId="2" borderId="45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0" borderId="106" xfId="0" applyFont="1" applyBorder="1" applyAlignment="1">
      <alignment horizontal="center" vertical="center" wrapText="1"/>
    </xf>
    <xf numFmtId="0" fontId="18" fillId="0" borderId="107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3" fontId="0" fillId="2" borderId="45" xfId="0" applyNumberFormat="1" applyFont="1" applyFill="1" applyBorder="1" applyAlignment="1">
      <alignment horizontal="center" vertical="center" wrapText="1"/>
    </xf>
    <xf numFmtId="3" fontId="0" fillId="2" borderId="17" xfId="0" applyNumberFormat="1" applyFont="1" applyFill="1" applyBorder="1" applyAlignment="1">
      <alignment horizontal="center" vertical="center" wrapText="1"/>
    </xf>
    <xf numFmtId="3" fontId="0" fillId="2" borderId="15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2" borderId="58" xfId="0" applyFont="1" applyFill="1" applyBorder="1" applyAlignment="1">
      <alignment horizontal="center" vertical="top" wrapText="1"/>
    </xf>
    <xf numFmtId="0" fontId="0" fillId="2" borderId="47" xfId="0" applyFont="1" applyFill="1" applyBorder="1" applyAlignment="1">
      <alignment horizontal="center" vertical="top" wrapText="1"/>
    </xf>
    <xf numFmtId="0" fontId="0" fillId="2" borderId="32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0" fillId="2" borderId="45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12" fillId="0" borderId="23" xfId="18" applyFont="1" applyBorder="1" applyAlignment="1">
      <alignment horizontal="center" vertical="center"/>
      <protection/>
    </xf>
    <xf numFmtId="0" fontId="12" fillId="0" borderId="25" xfId="18" applyFont="1" applyBorder="1" applyAlignment="1">
      <alignment horizontal="center" vertical="center"/>
      <protection/>
    </xf>
    <xf numFmtId="0" fontId="12" fillId="0" borderId="8" xfId="18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2" fillId="0" borderId="42" xfId="18" applyFont="1" applyBorder="1" applyAlignment="1">
      <alignment horizontal="left" vertical="center"/>
      <protection/>
    </xf>
    <xf numFmtId="0" fontId="12" fillId="0" borderId="108" xfId="18" applyFont="1" applyBorder="1" applyAlignment="1">
      <alignment horizontal="left" vertical="center"/>
      <protection/>
    </xf>
    <xf numFmtId="0" fontId="12" fillId="0" borderId="28" xfId="18" applyFont="1" applyBorder="1" applyAlignment="1">
      <alignment horizontal="left" vertical="center"/>
      <protection/>
    </xf>
    <xf numFmtId="0" fontId="12" fillId="0" borderId="27" xfId="18" applyFont="1" applyBorder="1" applyAlignment="1">
      <alignment horizontal="left" vertical="center"/>
      <protection/>
    </xf>
    <xf numFmtId="0" fontId="12" fillId="0" borderId="18" xfId="18" applyFont="1" applyBorder="1" applyAlignment="1">
      <alignment horizontal="left" vertical="center"/>
      <protection/>
    </xf>
    <xf numFmtId="0" fontId="12" fillId="0" borderId="26" xfId="18" applyFont="1" applyBorder="1" applyAlignment="1">
      <alignment horizontal="left" vertical="center"/>
      <protection/>
    </xf>
    <xf numFmtId="0" fontId="12" fillId="0" borderId="50" xfId="18" applyFont="1" applyBorder="1" applyAlignment="1">
      <alignment horizontal="left" vertical="center"/>
      <protection/>
    </xf>
    <xf numFmtId="0" fontId="12" fillId="0" borderId="24" xfId="18" applyFont="1" applyBorder="1" applyAlignment="1">
      <alignment horizontal="left" vertical="center"/>
      <protection/>
    </xf>
    <xf numFmtId="3" fontId="12" fillId="0" borderId="42" xfId="18" applyNumberFormat="1" applyFont="1" applyBorder="1" applyAlignment="1">
      <alignment horizontal="left" vertical="center"/>
      <protection/>
    </xf>
    <xf numFmtId="3" fontId="12" fillId="0" borderId="108" xfId="18" applyNumberFormat="1" applyFont="1" applyBorder="1" applyAlignment="1">
      <alignment horizontal="left" vertical="center"/>
      <protection/>
    </xf>
    <xf numFmtId="3" fontId="12" fillId="0" borderId="28" xfId="18" applyNumberFormat="1" applyFont="1" applyBorder="1" applyAlignment="1">
      <alignment horizontal="left" vertical="center"/>
      <protection/>
    </xf>
    <xf numFmtId="3" fontId="12" fillId="0" borderId="27" xfId="18" applyNumberFormat="1" applyFont="1" applyBorder="1" applyAlignment="1">
      <alignment horizontal="left" vertical="center"/>
      <protection/>
    </xf>
    <xf numFmtId="3" fontId="12" fillId="0" borderId="50" xfId="18" applyNumberFormat="1" applyFont="1" applyBorder="1" applyAlignment="1">
      <alignment horizontal="left" vertical="center"/>
      <protection/>
    </xf>
    <xf numFmtId="3" fontId="12" fillId="0" borderId="24" xfId="18" applyNumberFormat="1" applyFont="1" applyBorder="1" applyAlignment="1">
      <alignment horizontal="left" vertical="center"/>
      <protection/>
    </xf>
    <xf numFmtId="0" fontId="0" fillId="0" borderId="10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" fontId="12" fillId="0" borderId="28" xfId="18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3" fontId="12" fillId="0" borderId="76" xfId="18" applyNumberFormat="1" applyFont="1" applyBorder="1" applyAlignment="1">
      <alignment horizontal="left" vertical="center" wrapText="1"/>
      <protection/>
    </xf>
    <xf numFmtId="0" fontId="0" fillId="0" borderId="77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12" fillId="0" borderId="87" xfId="18" applyFont="1" applyBorder="1" applyAlignment="1">
      <alignment horizontal="left" vertical="center" wrapText="1"/>
      <protection/>
    </xf>
    <xf numFmtId="0" fontId="0" fillId="0" borderId="109" xfId="0" applyBorder="1" applyAlignment="1">
      <alignment horizontal="left" vertical="center" wrapText="1"/>
    </xf>
    <xf numFmtId="0" fontId="0" fillId="0" borderId="110" xfId="0" applyBorder="1" applyAlignment="1">
      <alignment horizontal="left" vertical="center" wrapText="1"/>
    </xf>
    <xf numFmtId="0" fontId="12" fillId="0" borderId="87" xfId="18" applyFont="1" applyBorder="1" applyAlignment="1">
      <alignment horizontal="left" vertical="center"/>
      <protection/>
    </xf>
    <xf numFmtId="0" fontId="0" fillId="0" borderId="109" xfId="0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12" fillId="0" borderId="76" xfId="18" applyFont="1" applyBorder="1" applyAlignment="1">
      <alignment horizontal="left" vertical="center" wrapText="1"/>
      <protection/>
    </xf>
    <xf numFmtId="0" fontId="31" fillId="0" borderId="0" xfId="18" applyFont="1" applyAlignment="1">
      <alignment horizontal="center"/>
      <protection/>
    </xf>
    <xf numFmtId="0" fontId="11" fillId="0" borderId="111" xfId="18" applyFont="1" applyBorder="1" applyAlignment="1">
      <alignment horizontal="center"/>
      <protection/>
    </xf>
    <xf numFmtId="0" fontId="11" fillId="0" borderId="49" xfId="18" applyFont="1" applyBorder="1" applyAlignment="1">
      <alignment horizontal="center"/>
      <protection/>
    </xf>
    <xf numFmtId="0" fontId="11" fillId="0" borderId="20" xfId="18" applyFont="1" applyBorder="1" applyAlignment="1">
      <alignment horizontal="center"/>
      <protection/>
    </xf>
    <xf numFmtId="0" fontId="12" fillId="0" borderId="103" xfId="18" applyFont="1" applyBorder="1" applyAlignment="1">
      <alignment horizontal="left"/>
      <protection/>
    </xf>
    <xf numFmtId="0" fontId="12" fillId="0" borderId="16" xfId="18" applyFont="1" applyBorder="1" applyAlignment="1">
      <alignment horizontal="left"/>
      <protection/>
    </xf>
    <xf numFmtId="0" fontId="12" fillId="0" borderId="65" xfId="18" applyFont="1" applyBorder="1" applyAlignment="1">
      <alignment horizontal="left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2" borderId="43" xfId="18" applyFont="1" applyFill="1" applyBorder="1" applyAlignment="1">
      <alignment horizontal="center" vertical="center" wrapText="1"/>
      <protection/>
    </xf>
    <xf numFmtId="0" fontId="11" fillId="2" borderId="12" xfId="18" applyFont="1" applyFill="1" applyBorder="1" applyAlignment="1">
      <alignment horizontal="center" vertical="center"/>
      <protection/>
    </xf>
    <xf numFmtId="0" fontId="11" fillId="2" borderId="46" xfId="18" applyFont="1" applyFill="1" applyBorder="1" applyAlignment="1">
      <alignment horizontal="center" vertical="center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1" fillId="2" borderId="43" xfId="18" applyFont="1" applyFill="1" applyBorder="1" applyAlignment="1">
      <alignment horizontal="center" vertical="center"/>
      <protection/>
    </xf>
    <xf numFmtId="0" fontId="11" fillId="2" borderId="45" xfId="18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2" borderId="23" xfId="18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11" fillId="2" borderId="45" xfId="18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9" xfId="18" applyFont="1" applyBorder="1" applyAlignment="1">
      <alignment horizontal="center"/>
      <protection/>
    </xf>
    <xf numFmtId="0" fontId="11" fillId="0" borderId="10" xfId="18" applyFont="1" applyBorder="1" applyAlignment="1">
      <alignment horizontal="center"/>
      <protection/>
    </xf>
    <xf numFmtId="0" fontId="23" fillId="0" borderId="0" xfId="18" applyFont="1" applyAlignment="1">
      <alignment horizontal="left"/>
      <protection/>
    </xf>
    <xf numFmtId="0" fontId="12" fillId="0" borderId="112" xfId="18" applyFont="1" applyBorder="1" applyAlignment="1">
      <alignment horizontal="center" vertical="center"/>
      <protection/>
    </xf>
    <xf numFmtId="0" fontId="12" fillId="0" borderId="37" xfId="18" applyFont="1" applyBorder="1" applyAlignment="1">
      <alignment horizontal="center" vertical="center"/>
      <protection/>
    </xf>
    <xf numFmtId="0" fontId="12" fillId="0" borderId="102" xfId="18" applyFont="1" applyBorder="1" applyAlignment="1">
      <alignment horizontal="center" vertical="center"/>
      <protection/>
    </xf>
    <xf numFmtId="0" fontId="12" fillId="0" borderId="33" xfId="18" applyFont="1" applyBorder="1" applyAlignment="1">
      <alignment horizontal="center" vertical="center"/>
      <protection/>
    </xf>
    <xf numFmtId="0" fontId="12" fillId="0" borderId="87" xfId="18" applyFont="1" applyBorder="1" applyAlignment="1">
      <alignment horizontal="left" vertical="top" wrapText="1"/>
      <protection/>
    </xf>
    <xf numFmtId="0" fontId="12" fillId="0" borderId="109" xfId="18" applyFont="1" applyBorder="1" applyAlignment="1">
      <alignment horizontal="left" vertical="top" wrapText="1"/>
      <protection/>
    </xf>
    <xf numFmtId="0" fontId="12" fillId="0" borderId="110" xfId="18" applyFont="1" applyBorder="1" applyAlignment="1">
      <alignment horizontal="left" vertical="top" wrapText="1"/>
      <protection/>
    </xf>
    <xf numFmtId="0" fontId="12" fillId="0" borderId="87" xfId="18" applyFont="1" applyBorder="1" applyAlignment="1">
      <alignment horizontal="left"/>
      <protection/>
    </xf>
    <xf numFmtId="0" fontId="12" fillId="0" borderId="109" xfId="18" applyFont="1" applyBorder="1" applyAlignment="1">
      <alignment horizontal="left"/>
      <protection/>
    </xf>
    <xf numFmtId="0" fontId="12" fillId="0" borderId="110" xfId="18" applyFont="1" applyBorder="1" applyAlignment="1">
      <alignment horizontal="left"/>
      <protection/>
    </xf>
    <xf numFmtId="0" fontId="5" fillId="0" borderId="0" xfId="0" applyFont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9" fillId="2" borderId="4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2" borderId="10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58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61" xfId="0" applyBorder="1" applyAlignment="1">
      <alignment/>
    </xf>
    <xf numFmtId="0" fontId="7" fillId="0" borderId="5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0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2" borderId="103" xfId="0" applyFont="1" applyFill="1" applyBorder="1" applyAlignment="1">
      <alignment horizontal="center"/>
    </xf>
    <xf numFmtId="0" fontId="4" fillId="2" borderId="104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113" xfId="0" applyFont="1" applyFill="1" applyBorder="1" applyAlignment="1">
      <alignment horizontal="center" vertical="center" wrapText="1"/>
    </xf>
    <xf numFmtId="0" fontId="4" fillId="2" borderId="99" xfId="0" applyFont="1" applyFill="1" applyBorder="1" applyAlignment="1">
      <alignment horizontal="center" vertical="center" wrapText="1"/>
    </xf>
    <xf numFmtId="0" fontId="4" fillId="2" borderId="113" xfId="0" applyFont="1" applyFill="1" applyBorder="1" applyAlignment="1">
      <alignment horizontal="center" vertical="center"/>
    </xf>
    <xf numFmtId="0" fontId="4" fillId="2" borderId="99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0"/>
  <sheetViews>
    <sheetView view="pageBreakPreview" zoomScaleSheetLayoutView="100" workbookViewId="0" topLeftCell="A88">
      <selection activeCell="G106" sqref="G106"/>
    </sheetView>
  </sheetViews>
  <sheetFormatPr defaultColWidth="9.00390625" defaultRowHeight="12.75"/>
  <cols>
    <col min="1" max="1" width="4.00390625" style="237" bestFit="1" customWidth="1"/>
    <col min="2" max="2" width="6.125" style="219" bestFit="1" customWidth="1"/>
    <col min="3" max="3" width="6.00390625" style="298" bestFit="1" customWidth="1"/>
    <col min="4" max="4" width="47.125" style="219" customWidth="1"/>
    <col min="5" max="5" width="9.75390625" style="219" hidden="1" customWidth="1"/>
    <col min="6" max="6" width="9.75390625" style="219" customWidth="1"/>
    <col min="7" max="7" width="9.875" style="767" customWidth="1"/>
    <col min="8" max="8" width="11.00390625" style="767" customWidth="1"/>
    <col min="9" max="9" width="12.00390625" style="219" customWidth="1"/>
    <col min="10" max="16384" width="9.125" style="219" customWidth="1"/>
  </cols>
  <sheetData>
    <row r="1" spans="1:7" ht="12.75">
      <c r="A1" s="90"/>
      <c r="B1" s="217"/>
      <c r="C1" s="218"/>
      <c r="D1" s="217"/>
      <c r="E1" s="90"/>
      <c r="F1" s="90" t="s">
        <v>69</v>
      </c>
      <c r="G1" s="248"/>
    </row>
    <row r="2" spans="1:7" ht="12.75">
      <c r="A2" s="90"/>
      <c r="B2" s="217"/>
      <c r="C2" s="218"/>
      <c r="D2" s="217"/>
      <c r="E2" s="90"/>
      <c r="F2" s="90" t="s">
        <v>256</v>
      </c>
      <c r="G2" s="248"/>
    </row>
    <row r="3" spans="1:7" ht="12.75">
      <c r="A3" s="90"/>
      <c r="B3" s="217"/>
      <c r="C3" s="218"/>
      <c r="D3" s="217"/>
      <c r="E3" s="90"/>
      <c r="F3" s="90" t="s">
        <v>218</v>
      </c>
      <c r="G3" s="248"/>
    </row>
    <row r="4" spans="1:7" ht="12.75">
      <c r="A4" s="90"/>
      <c r="B4" s="217"/>
      <c r="C4" s="218"/>
      <c r="D4" s="217"/>
      <c r="E4" s="90"/>
      <c r="F4" s="90" t="s">
        <v>691</v>
      </c>
      <c r="G4" s="248"/>
    </row>
    <row r="5" spans="1:4" ht="18" customHeight="1">
      <c r="A5" s="90"/>
      <c r="B5" s="217"/>
      <c r="C5" s="218"/>
      <c r="D5" s="217"/>
    </row>
    <row r="6" spans="1:8" ht="17.25" customHeight="1">
      <c r="A6" s="890" t="s">
        <v>361</v>
      </c>
      <c r="B6" s="890"/>
      <c r="C6" s="890"/>
      <c r="D6" s="890"/>
      <c r="E6" s="890"/>
      <c r="F6" s="890"/>
      <c r="G6" s="890"/>
      <c r="H6" s="890"/>
    </row>
    <row r="7" spans="1:8" ht="13.5" thickBot="1">
      <c r="A7" s="891" t="s">
        <v>257</v>
      </c>
      <c r="B7" s="891"/>
      <c r="C7" s="891"/>
      <c r="D7" s="891"/>
      <c r="E7" s="891"/>
      <c r="F7" s="891"/>
      <c r="G7" s="891"/>
      <c r="H7" s="891"/>
    </row>
    <row r="8" spans="1:8" ht="14.25" customHeight="1">
      <c r="A8" s="904" t="s">
        <v>72</v>
      </c>
      <c r="B8" s="886" t="s">
        <v>625</v>
      </c>
      <c r="C8" s="886" t="s">
        <v>590</v>
      </c>
      <c r="D8" s="886" t="s">
        <v>73</v>
      </c>
      <c r="E8" s="880" t="s">
        <v>258</v>
      </c>
      <c r="F8" s="898" t="s">
        <v>642</v>
      </c>
      <c r="G8" s="901" t="s">
        <v>695</v>
      </c>
      <c r="H8" s="892" t="s">
        <v>696</v>
      </c>
    </row>
    <row r="9" spans="1:8" s="220" customFormat="1" ht="12.75" customHeight="1">
      <c r="A9" s="905"/>
      <c r="B9" s="884"/>
      <c r="C9" s="884"/>
      <c r="D9" s="884"/>
      <c r="E9" s="881"/>
      <c r="F9" s="899"/>
      <c r="G9" s="902"/>
      <c r="H9" s="893"/>
    </row>
    <row r="10" spans="1:8" s="220" customFormat="1" ht="12.75" customHeight="1" thickBot="1">
      <c r="A10" s="885"/>
      <c r="B10" s="879"/>
      <c r="C10" s="879"/>
      <c r="D10" s="879"/>
      <c r="E10" s="882"/>
      <c r="F10" s="900"/>
      <c r="G10" s="903"/>
      <c r="H10" s="894"/>
    </row>
    <row r="11" spans="1:8" ht="9" customHeight="1" thickBot="1">
      <c r="A11" s="221">
        <v>1</v>
      </c>
      <c r="B11" s="222">
        <v>2</v>
      </c>
      <c r="C11" s="222">
        <v>3</v>
      </c>
      <c r="D11" s="222">
        <v>4</v>
      </c>
      <c r="E11" s="223">
        <v>5</v>
      </c>
      <c r="F11" s="223">
        <v>6</v>
      </c>
      <c r="G11" s="786">
        <v>7</v>
      </c>
      <c r="H11" s="768">
        <v>8</v>
      </c>
    </row>
    <row r="12" spans="1:9" s="230" customFormat="1" ht="24" customHeight="1" thickBot="1">
      <c r="A12" s="224" t="s">
        <v>55</v>
      </c>
      <c r="B12" s="225"/>
      <c r="C12" s="225"/>
      <c r="D12" s="226" t="s">
        <v>56</v>
      </c>
      <c r="E12" s="227">
        <f>E13+E17</f>
        <v>60646</v>
      </c>
      <c r="F12" s="228">
        <f>F13+F17</f>
        <v>74387</v>
      </c>
      <c r="G12" s="228">
        <f>G13+G17</f>
        <v>0</v>
      </c>
      <c r="H12" s="228">
        <f>H13+H17</f>
        <v>74387</v>
      </c>
      <c r="I12" s="229"/>
    </row>
    <row r="13" spans="1:9" ht="13.5" thickBot="1">
      <c r="A13" s="231"/>
      <c r="B13" s="232" t="s">
        <v>58</v>
      </c>
      <c r="C13" s="233"/>
      <c r="D13" s="234" t="s">
        <v>57</v>
      </c>
      <c r="E13" s="235">
        <f>E14</f>
        <v>44000</v>
      </c>
      <c r="F13" s="236">
        <f>F14</f>
        <v>25000</v>
      </c>
      <c r="G13" s="236"/>
      <c r="H13" s="236">
        <f>H14</f>
        <v>25000</v>
      </c>
      <c r="I13" s="237"/>
    </row>
    <row r="14" spans="1:9" ht="13.5" customHeight="1">
      <c r="A14" s="231"/>
      <c r="B14" s="238"/>
      <c r="C14" s="239" t="s">
        <v>259</v>
      </c>
      <c r="D14" s="120" t="s">
        <v>260</v>
      </c>
      <c r="E14" s="240">
        <v>44000</v>
      </c>
      <c r="F14" s="241">
        <v>25000</v>
      </c>
      <c r="G14" s="248"/>
      <c r="H14" s="241">
        <f>F14+G14</f>
        <v>25000</v>
      </c>
      <c r="I14" s="237"/>
    </row>
    <row r="15" spans="1:9" ht="13.5" customHeight="1">
      <c r="A15" s="231"/>
      <c r="B15" s="238"/>
      <c r="C15" s="239"/>
      <c r="D15" s="242" t="s">
        <v>261</v>
      </c>
      <c r="E15" s="240"/>
      <c r="F15" s="241"/>
      <c r="G15" s="248"/>
      <c r="H15" s="241"/>
      <c r="I15" s="237"/>
    </row>
    <row r="16" spans="1:9" ht="12" customHeight="1">
      <c r="A16" s="231"/>
      <c r="B16" s="238"/>
      <c r="C16" s="239"/>
      <c r="D16" s="243"/>
      <c r="E16" s="240"/>
      <c r="F16" s="241"/>
      <c r="G16" s="248"/>
      <c r="H16" s="241"/>
      <c r="I16" s="237"/>
    </row>
    <row r="17" spans="1:9" ht="13.5" customHeight="1" thickBot="1">
      <c r="A17" s="231"/>
      <c r="B17" s="244" t="s">
        <v>59</v>
      </c>
      <c r="C17" s="245"/>
      <c r="D17" s="246" t="s">
        <v>60</v>
      </c>
      <c r="E17" s="247">
        <f>E18</f>
        <v>16646</v>
      </c>
      <c r="F17" s="241">
        <f>F18</f>
        <v>49387</v>
      </c>
      <c r="G17" s="265">
        <f>G18</f>
        <v>0</v>
      </c>
      <c r="H17" s="265">
        <f>H18</f>
        <v>49387</v>
      </c>
      <c r="I17" s="237"/>
    </row>
    <row r="18" spans="1:9" ht="13.5" customHeight="1">
      <c r="A18" s="231"/>
      <c r="B18" s="238"/>
      <c r="C18" s="239" t="s">
        <v>262</v>
      </c>
      <c r="D18" s="120" t="s">
        <v>263</v>
      </c>
      <c r="E18" s="248">
        <v>16646</v>
      </c>
      <c r="F18" s="249">
        <v>49387</v>
      </c>
      <c r="G18" s="248"/>
      <c r="H18" s="241">
        <f>F18+G18</f>
        <v>49387</v>
      </c>
      <c r="I18" s="237"/>
    </row>
    <row r="19" spans="1:9" ht="13.5" customHeight="1">
      <c r="A19" s="231"/>
      <c r="B19" s="238"/>
      <c r="C19" s="239"/>
      <c r="D19" s="120" t="s">
        <v>264</v>
      </c>
      <c r="E19" s="248"/>
      <c r="F19" s="241"/>
      <c r="G19" s="248"/>
      <c r="H19" s="241"/>
      <c r="I19" s="237"/>
    </row>
    <row r="20" spans="1:9" ht="12" customHeight="1">
      <c r="A20" s="231"/>
      <c r="B20" s="250"/>
      <c r="C20" s="250"/>
      <c r="D20" s="238"/>
      <c r="E20" s="240"/>
      <c r="F20" s="241"/>
      <c r="G20" s="248"/>
      <c r="H20" s="241"/>
      <c r="I20" s="237"/>
    </row>
    <row r="21" spans="1:9" s="230" customFormat="1" ht="13.5" thickBot="1">
      <c r="A21" s="224" t="s">
        <v>61</v>
      </c>
      <c r="B21" s="225"/>
      <c r="C21" s="225"/>
      <c r="D21" s="119" t="s">
        <v>62</v>
      </c>
      <c r="E21" s="227">
        <f>E22</f>
        <v>188635</v>
      </c>
      <c r="F21" s="251">
        <f>F22</f>
        <v>188635</v>
      </c>
      <c r="G21" s="251">
        <f>G22</f>
        <v>0</v>
      </c>
      <c r="H21" s="251">
        <f>H22</f>
        <v>188635</v>
      </c>
      <c r="I21" s="229"/>
    </row>
    <row r="22" spans="1:9" ht="13.5" thickBot="1">
      <c r="A22" s="252"/>
      <c r="B22" s="232" t="s">
        <v>63</v>
      </c>
      <c r="C22" s="253"/>
      <c r="D22" s="254" t="s">
        <v>265</v>
      </c>
      <c r="E22" s="235">
        <f>SUM(E23)</f>
        <v>188635</v>
      </c>
      <c r="F22" s="241">
        <f>SUM(F23)</f>
        <v>188635</v>
      </c>
      <c r="G22" s="236">
        <f>SUM(G23)</f>
        <v>0</v>
      </c>
      <c r="H22" s="236">
        <f>SUM(H23)</f>
        <v>188635</v>
      </c>
      <c r="I22" s="237"/>
    </row>
    <row r="23" spans="1:9" ht="12.75" customHeight="1">
      <c r="A23" s="252"/>
      <c r="B23" s="255"/>
      <c r="C23" s="238">
        <v>2460</v>
      </c>
      <c r="D23" s="256" t="s">
        <v>266</v>
      </c>
      <c r="E23" s="240">
        <v>188635</v>
      </c>
      <c r="F23" s="249">
        <v>188635</v>
      </c>
      <c r="G23" s="248"/>
      <c r="H23" s="241">
        <f>F23+G23</f>
        <v>188635</v>
      </c>
      <c r="I23" s="237"/>
    </row>
    <row r="24" spans="1:9" ht="12.75" customHeight="1">
      <c r="A24" s="252"/>
      <c r="B24" s="257"/>
      <c r="C24" s="238"/>
      <c r="D24" s="243"/>
      <c r="E24" s="240"/>
      <c r="F24" s="241"/>
      <c r="G24" s="248"/>
      <c r="H24" s="241"/>
      <c r="I24" s="237"/>
    </row>
    <row r="25" spans="1:9" s="230" customFormat="1" ht="13.5" thickBot="1">
      <c r="A25" s="258">
        <v>600</v>
      </c>
      <c r="B25" s="225"/>
      <c r="C25" s="259"/>
      <c r="D25" s="119" t="s">
        <v>66</v>
      </c>
      <c r="E25" s="227" t="e">
        <f>SUM(E26,#REF!,#REF!)</f>
        <v>#REF!</v>
      </c>
      <c r="F25" s="251">
        <f>SUM(F26)</f>
        <v>185841</v>
      </c>
      <c r="G25" s="251">
        <f>SUM(G26)</f>
        <v>0</v>
      </c>
      <c r="H25" s="251">
        <f>SUM(H26)</f>
        <v>185841</v>
      </c>
      <c r="I25" s="229"/>
    </row>
    <row r="26" spans="1:9" ht="13.5" thickBot="1">
      <c r="A26" s="260"/>
      <c r="B26" s="261">
        <v>60014</v>
      </c>
      <c r="C26" s="262"/>
      <c r="D26" s="254" t="s">
        <v>68</v>
      </c>
      <c r="E26" s="235">
        <f>SUM(E27:E30)</f>
        <v>366127</v>
      </c>
      <c r="F26" s="236">
        <f>SUM(F27:F30)</f>
        <v>185841</v>
      </c>
      <c r="G26" s="236">
        <f>SUM(G27:G30)</f>
        <v>0</v>
      </c>
      <c r="H26" s="236">
        <f>SUM(H27:H30)</f>
        <v>185841</v>
      </c>
      <c r="I26" s="237"/>
    </row>
    <row r="27" spans="1:9" ht="12.75">
      <c r="A27" s="260"/>
      <c r="B27" s="238"/>
      <c r="C27" s="239" t="s">
        <v>267</v>
      </c>
      <c r="D27" s="120" t="s">
        <v>268</v>
      </c>
      <c r="E27" s="240">
        <v>160000</v>
      </c>
      <c r="F27" s="241">
        <v>150961</v>
      </c>
      <c r="G27" s="248"/>
      <c r="H27" s="241">
        <f>F27+G27</f>
        <v>150961</v>
      </c>
      <c r="I27" s="237"/>
    </row>
    <row r="28" spans="1:9" ht="12.75" customHeight="1">
      <c r="A28" s="260"/>
      <c r="B28" s="250"/>
      <c r="C28" s="239" t="s">
        <v>262</v>
      </c>
      <c r="D28" s="120" t="s">
        <v>263</v>
      </c>
      <c r="E28" s="240">
        <v>36000</v>
      </c>
      <c r="F28" s="241">
        <v>32880</v>
      </c>
      <c r="G28" s="248"/>
      <c r="H28" s="241">
        <f>F28+G28</f>
        <v>32880</v>
      </c>
      <c r="I28" s="237"/>
    </row>
    <row r="29" spans="1:9" ht="12.75" customHeight="1">
      <c r="A29" s="260"/>
      <c r="B29" s="250"/>
      <c r="C29" s="239"/>
      <c r="D29" s="120" t="s">
        <v>264</v>
      </c>
      <c r="E29" s="240"/>
      <c r="F29" s="241"/>
      <c r="G29" s="248"/>
      <c r="H29" s="241"/>
      <c r="I29" s="237"/>
    </row>
    <row r="30" spans="1:9" ht="12.75" customHeight="1">
      <c r="A30" s="260"/>
      <c r="B30" s="250"/>
      <c r="C30" s="239" t="s">
        <v>269</v>
      </c>
      <c r="D30" s="90" t="s">
        <v>270</v>
      </c>
      <c r="E30" s="240">
        <v>170127</v>
      </c>
      <c r="F30" s="241">
        <v>2000</v>
      </c>
      <c r="G30" s="248"/>
      <c r="H30" s="241">
        <f>F30+G30</f>
        <v>2000</v>
      </c>
      <c r="I30" s="237"/>
    </row>
    <row r="31" spans="1:9" ht="12.75">
      <c r="A31" s="260"/>
      <c r="B31" s="250"/>
      <c r="C31" s="239"/>
      <c r="D31" s="120"/>
      <c r="E31" s="240"/>
      <c r="F31" s="241"/>
      <c r="G31" s="248"/>
      <c r="H31" s="241"/>
      <c r="I31" s="237"/>
    </row>
    <row r="32" spans="1:9" s="230" customFormat="1" ht="13.5" thickBot="1">
      <c r="A32" s="258">
        <v>700</v>
      </c>
      <c r="B32" s="225"/>
      <c r="C32" s="225"/>
      <c r="D32" s="119" t="s">
        <v>111</v>
      </c>
      <c r="E32" s="227">
        <f>E33</f>
        <v>1603613</v>
      </c>
      <c r="F32" s="251">
        <f>F33</f>
        <v>1702989</v>
      </c>
      <c r="G32" s="251">
        <f>G33</f>
        <v>4000</v>
      </c>
      <c r="H32" s="251">
        <f>H33</f>
        <v>1706989</v>
      </c>
      <c r="I32" s="229"/>
    </row>
    <row r="33" spans="1:9" ht="13.5" thickBot="1">
      <c r="A33" s="260"/>
      <c r="B33" s="261">
        <v>70005</v>
      </c>
      <c r="C33" s="233"/>
      <c r="D33" s="254" t="s">
        <v>112</v>
      </c>
      <c r="E33" s="235">
        <f>SUM(E34:E49)</f>
        <v>1603613</v>
      </c>
      <c r="F33" s="236">
        <f>SUM(F34:F49)</f>
        <v>1702989</v>
      </c>
      <c r="G33" s="236">
        <f>SUM(G34:G49)</f>
        <v>4000</v>
      </c>
      <c r="H33" s="236">
        <f>SUM(H34:H49)</f>
        <v>1706989</v>
      </c>
      <c r="I33" s="237"/>
    </row>
    <row r="34" spans="1:9" ht="12.75">
      <c r="A34" s="260"/>
      <c r="B34" s="238"/>
      <c r="C34" s="239" t="s">
        <v>274</v>
      </c>
      <c r="D34" s="120" t="s">
        <v>275</v>
      </c>
      <c r="E34" s="240">
        <v>3000</v>
      </c>
      <c r="F34" s="241">
        <v>3000</v>
      </c>
      <c r="G34" s="248"/>
      <c r="H34" s="241">
        <f>F34+G34</f>
        <v>3000</v>
      </c>
      <c r="I34" s="237"/>
    </row>
    <row r="35" spans="1:9" ht="12.75">
      <c r="A35" s="260"/>
      <c r="B35" s="238"/>
      <c r="C35" s="239"/>
      <c r="D35" s="120" t="s">
        <v>276</v>
      </c>
      <c r="E35" s="266"/>
      <c r="F35" s="241"/>
      <c r="G35" s="248"/>
      <c r="H35" s="241"/>
      <c r="I35" s="237"/>
    </row>
    <row r="36" spans="1:9" ht="12.75">
      <c r="A36" s="260"/>
      <c r="B36" s="238"/>
      <c r="C36" s="239" t="s">
        <v>267</v>
      </c>
      <c r="D36" s="120" t="s">
        <v>268</v>
      </c>
      <c r="E36" s="240">
        <v>488</v>
      </c>
      <c r="F36" s="241">
        <v>1500</v>
      </c>
      <c r="G36" s="248"/>
      <c r="H36" s="241">
        <f>F36+G36</f>
        <v>1500</v>
      </c>
      <c r="I36" s="237"/>
    </row>
    <row r="37" spans="1:9" ht="12.75">
      <c r="A37" s="260"/>
      <c r="B37" s="238"/>
      <c r="C37" s="239" t="s">
        <v>262</v>
      </c>
      <c r="D37" s="120" t="s">
        <v>263</v>
      </c>
      <c r="E37" s="240">
        <v>105825</v>
      </c>
      <c r="F37" s="241">
        <v>112686</v>
      </c>
      <c r="G37" s="248">
        <v>4000</v>
      </c>
      <c r="H37" s="241">
        <f>F37+G37</f>
        <v>116686</v>
      </c>
      <c r="I37" s="237"/>
    </row>
    <row r="38" spans="1:9" ht="12.75">
      <c r="A38" s="260"/>
      <c r="B38" s="238"/>
      <c r="C38" s="238"/>
      <c r="D38" s="120" t="s">
        <v>264</v>
      </c>
      <c r="E38" s="240"/>
      <c r="F38" s="241"/>
      <c r="G38" s="248"/>
      <c r="H38" s="241"/>
      <c r="I38" s="237"/>
    </row>
    <row r="39" spans="1:9" ht="12.75">
      <c r="A39" s="260"/>
      <c r="B39" s="238"/>
      <c r="C39" s="239" t="s">
        <v>277</v>
      </c>
      <c r="D39" s="120" t="s">
        <v>278</v>
      </c>
      <c r="E39" s="240">
        <v>1388300</v>
      </c>
      <c r="F39" s="241">
        <v>1408300</v>
      </c>
      <c r="G39" s="248"/>
      <c r="H39" s="241">
        <f>F39+G39</f>
        <v>1408300</v>
      </c>
      <c r="I39" s="237"/>
    </row>
    <row r="40" spans="1:9" ht="12.75">
      <c r="A40" s="260"/>
      <c r="B40" s="238"/>
      <c r="C40" s="239" t="s">
        <v>279</v>
      </c>
      <c r="D40" s="120" t="s">
        <v>280</v>
      </c>
      <c r="E40" s="240">
        <v>5000</v>
      </c>
      <c r="F40" s="241">
        <v>5000</v>
      </c>
      <c r="G40" s="248"/>
      <c r="H40" s="241">
        <f>F40+G40</f>
        <v>5000</v>
      </c>
      <c r="I40" s="237"/>
    </row>
    <row r="41" spans="1:9" ht="12.75">
      <c r="A41" s="260"/>
      <c r="B41" s="238"/>
      <c r="C41" s="239" t="s">
        <v>259</v>
      </c>
      <c r="D41" s="120" t="s">
        <v>260</v>
      </c>
      <c r="E41" s="240">
        <v>41000</v>
      </c>
      <c r="F41" s="241">
        <v>55050</v>
      </c>
      <c r="G41" s="248"/>
      <c r="H41" s="241">
        <f>F41+G41</f>
        <v>55050</v>
      </c>
      <c r="I41" s="237"/>
    </row>
    <row r="42" spans="1:9" ht="12.75">
      <c r="A42" s="260"/>
      <c r="B42" s="238"/>
      <c r="C42" s="239"/>
      <c r="D42" s="242" t="s">
        <v>281</v>
      </c>
      <c r="E42" s="240"/>
      <c r="F42" s="241"/>
      <c r="G42" s="248"/>
      <c r="H42" s="241"/>
      <c r="I42" s="237"/>
    </row>
    <row r="43" spans="1:9" ht="12.75">
      <c r="A43" s="260"/>
      <c r="B43" s="238"/>
      <c r="C43" s="239" t="s">
        <v>282</v>
      </c>
      <c r="D43" s="120" t="s">
        <v>283</v>
      </c>
      <c r="E43" s="240">
        <v>59000</v>
      </c>
      <c r="F43" s="241">
        <v>115650</v>
      </c>
      <c r="G43" s="248"/>
      <c r="H43" s="241">
        <f>F43+G43</f>
        <v>115650</v>
      </c>
      <c r="I43" s="237"/>
    </row>
    <row r="44" spans="1:9" ht="12.75">
      <c r="A44" s="260"/>
      <c r="B44" s="238"/>
      <c r="C44" s="239"/>
      <c r="D44" s="120" t="s">
        <v>284</v>
      </c>
      <c r="E44" s="266"/>
      <c r="F44" s="241"/>
      <c r="G44" s="248"/>
      <c r="H44" s="241"/>
      <c r="I44" s="237"/>
    </row>
    <row r="45" spans="1:9" ht="12.75">
      <c r="A45" s="260"/>
      <c r="B45" s="238"/>
      <c r="C45" s="239" t="s">
        <v>736</v>
      </c>
      <c r="D45" s="120" t="s">
        <v>716</v>
      </c>
      <c r="E45" s="266"/>
      <c r="F45" s="241">
        <v>1418</v>
      </c>
      <c r="G45" s="248"/>
      <c r="H45" s="241">
        <f>F45+G45</f>
        <v>1418</v>
      </c>
      <c r="I45" s="237"/>
    </row>
    <row r="46" spans="1:9" ht="12.75">
      <c r="A46" s="260"/>
      <c r="B46" s="238"/>
      <c r="C46" s="239"/>
      <c r="D46" s="120" t="s">
        <v>717</v>
      </c>
      <c r="E46" s="266"/>
      <c r="F46" s="241"/>
      <c r="G46" s="248"/>
      <c r="H46" s="241"/>
      <c r="I46" s="237"/>
    </row>
    <row r="47" spans="1:9" ht="12.75">
      <c r="A47" s="260"/>
      <c r="B47" s="238"/>
      <c r="C47" s="239" t="s">
        <v>737</v>
      </c>
      <c r="D47" s="120" t="s">
        <v>716</v>
      </c>
      <c r="E47" s="266"/>
      <c r="F47" s="241">
        <v>385</v>
      </c>
      <c r="G47" s="248"/>
      <c r="H47" s="241">
        <f>F47+G47</f>
        <v>385</v>
      </c>
      <c r="I47" s="237"/>
    </row>
    <row r="48" spans="1:9" ht="12.75">
      <c r="A48" s="260"/>
      <c r="B48" s="238"/>
      <c r="C48" s="239"/>
      <c r="D48" s="120" t="s">
        <v>717</v>
      </c>
      <c r="E48" s="266"/>
      <c r="F48" s="241"/>
      <c r="G48" s="248"/>
      <c r="H48" s="241"/>
      <c r="I48" s="237"/>
    </row>
    <row r="49" spans="1:9" ht="12.75">
      <c r="A49" s="260"/>
      <c r="B49" s="238"/>
      <c r="C49" s="239" t="s">
        <v>285</v>
      </c>
      <c r="D49" s="120" t="s">
        <v>286</v>
      </c>
      <c r="E49" s="240">
        <v>1000</v>
      </c>
      <c r="F49" s="241">
        <v>0</v>
      </c>
      <c r="G49" s="248"/>
      <c r="H49" s="241">
        <f>F49+G49</f>
        <v>0</v>
      </c>
      <c r="I49" s="237"/>
    </row>
    <row r="50" spans="1:9" ht="12.75">
      <c r="A50" s="260"/>
      <c r="B50" s="238"/>
      <c r="C50" s="239"/>
      <c r="D50" s="120"/>
      <c r="E50" s="240"/>
      <c r="F50" s="241"/>
      <c r="G50" s="248"/>
      <c r="H50" s="241"/>
      <c r="I50" s="237"/>
    </row>
    <row r="51" spans="1:9" s="230" customFormat="1" ht="13.5" thickBot="1">
      <c r="A51" s="258">
        <v>710</v>
      </c>
      <c r="B51" s="225"/>
      <c r="C51" s="259"/>
      <c r="D51" s="119" t="s">
        <v>116</v>
      </c>
      <c r="E51" s="227">
        <f>E52+E56+E60</f>
        <v>269553</v>
      </c>
      <c r="F51" s="228">
        <f>F52+F56+F60</f>
        <v>288145</v>
      </c>
      <c r="G51" s="228">
        <f>G52+G56+G60</f>
        <v>0</v>
      </c>
      <c r="H51" s="228">
        <f>H52+H56+H60</f>
        <v>288145</v>
      </c>
      <c r="I51" s="229"/>
    </row>
    <row r="52" spans="1:9" ht="13.5" thickBot="1">
      <c r="A52" s="260"/>
      <c r="B52" s="261">
        <v>71013</v>
      </c>
      <c r="C52" s="262"/>
      <c r="D52" s="254" t="s">
        <v>287</v>
      </c>
      <c r="E52" s="235">
        <f>E53</f>
        <v>40000</v>
      </c>
      <c r="F52" s="236">
        <f>F53</f>
        <v>40000</v>
      </c>
      <c r="G52" s="236">
        <f>G53</f>
        <v>0</v>
      </c>
      <c r="H52" s="236">
        <f>H53</f>
        <v>40000</v>
      </c>
      <c r="I52" s="237"/>
    </row>
    <row r="53" spans="1:9" ht="12.75">
      <c r="A53" s="260"/>
      <c r="B53" s="238"/>
      <c r="C53" s="239" t="s">
        <v>259</v>
      </c>
      <c r="D53" s="120" t="s">
        <v>260</v>
      </c>
      <c r="E53" s="240">
        <v>40000</v>
      </c>
      <c r="F53" s="241">
        <v>40000</v>
      </c>
      <c r="G53" s="248"/>
      <c r="H53" s="241">
        <f>F53+G53</f>
        <v>40000</v>
      </c>
      <c r="I53" s="237"/>
    </row>
    <row r="54" spans="1:9" ht="12.75">
      <c r="A54" s="260"/>
      <c r="B54" s="238"/>
      <c r="C54" s="239"/>
      <c r="D54" s="120" t="s">
        <v>288</v>
      </c>
      <c r="E54" s="240"/>
      <c r="F54" s="241"/>
      <c r="G54" s="248"/>
      <c r="H54" s="241"/>
      <c r="I54" s="237"/>
    </row>
    <row r="55" spans="1:9" ht="12.75">
      <c r="A55" s="260"/>
      <c r="B55" s="238"/>
      <c r="C55" s="239"/>
      <c r="D55" s="120"/>
      <c r="E55" s="240"/>
      <c r="F55" s="241"/>
      <c r="G55" s="248"/>
      <c r="H55" s="241"/>
      <c r="I55" s="237"/>
    </row>
    <row r="56" spans="1:9" ht="15" customHeight="1" thickBot="1">
      <c r="A56" s="260"/>
      <c r="B56" s="263">
        <v>71014</v>
      </c>
      <c r="C56" s="245"/>
      <c r="D56" s="246" t="s">
        <v>118</v>
      </c>
      <c r="E56" s="264">
        <f>E57</f>
        <v>22000</v>
      </c>
      <c r="F56" s="241">
        <f>F57</f>
        <v>15000</v>
      </c>
      <c r="G56" s="265">
        <f>G57</f>
        <v>0</v>
      </c>
      <c r="H56" s="265">
        <f>H57</f>
        <v>15000</v>
      </c>
      <c r="I56" s="237"/>
    </row>
    <row r="57" spans="1:9" ht="15" customHeight="1">
      <c r="A57" s="260"/>
      <c r="B57" s="238"/>
      <c r="C57" s="239" t="s">
        <v>259</v>
      </c>
      <c r="D57" s="120" t="s">
        <v>260</v>
      </c>
      <c r="E57" s="240">
        <v>22000</v>
      </c>
      <c r="F57" s="249">
        <v>15000</v>
      </c>
      <c r="G57" s="248"/>
      <c r="H57" s="241">
        <f>F57+G57</f>
        <v>15000</v>
      </c>
      <c r="I57" s="237"/>
    </row>
    <row r="58" spans="1:9" ht="15" customHeight="1">
      <c r="A58" s="260"/>
      <c r="B58" s="238"/>
      <c r="C58" s="239"/>
      <c r="D58" s="120" t="s">
        <v>288</v>
      </c>
      <c r="E58" s="240"/>
      <c r="F58" s="241"/>
      <c r="G58" s="248"/>
      <c r="H58" s="241"/>
      <c r="I58" s="237"/>
    </row>
    <row r="59" spans="1:9" ht="15" customHeight="1">
      <c r="A59" s="260"/>
      <c r="B59" s="238"/>
      <c r="C59" s="239"/>
      <c r="D59" s="120"/>
      <c r="E59" s="240"/>
      <c r="F59" s="241"/>
      <c r="G59" s="248"/>
      <c r="H59" s="241"/>
      <c r="I59" s="237"/>
    </row>
    <row r="60" spans="1:9" ht="15" customHeight="1" thickBot="1">
      <c r="A60" s="260"/>
      <c r="B60" s="263">
        <v>71015</v>
      </c>
      <c r="C60" s="267"/>
      <c r="D60" s="246" t="s">
        <v>119</v>
      </c>
      <c r="E60" s="264">
        <f>SUM(E61:E62)</f>
        <v>207553</v>
      </c>
      <c r="F60" s="265">
        <f>SUM(F61:F62)</f>
        <v>233145</v>
      </c>
      <c r="G60" s="265">
        <f>SUM(G61:G62)</f>
        <v>0</v>
      </c>
      <c r="H60" s="265">
        <f>SUM(H61:H62)</f>
        <v>233145</v>
      </c>
      <c r="I60" s="237"/>
    </row>
    <row r="61" spans="1:9" ht="15" customHeight="1">
      <c r="A61" s="260"/>
      <c r="B61" s="238"/>
      <c r="C61" s="238">
        <v>2110</v>
      </c>
      <c r="D61" s="256" t="s">
        <v>260</v>
      </c>
      <c r="E61" s="240">
        <v>207553</v>
      </c>
      <c r="F61" s="241">
        <v>233145</v>
      </c>
      <c r="G61" s="248"/>
      <c r="H61" s="241">
        <f>F61+G61</f>
        <v>233145</v>
      </c>
      <c r="I61" s="237"/>
    </row>
    <row r="62" spans="1:9" ht="15" customHeight="1">
      <c r="A62" s="260"/>
      <c r="B62" s="238"/>
      <c r="C62" s="238"/>
      <c r="D62" s="242" t="s">
        <v>289</v>
      </c>
      <c r="E62" s="240"/>
      <c r="F62" s="241"/>
      <c r="G62" s="248"/>
      <c r="H62" s="241"/>
      <c r="I62" s="237"/>
    </row>
    <row r="63" spans="1:9" ht="15" customHeight="1">
      <c r="A63" s="260"/>
      <c r="B63" s="238"/>
      <c r="C63" s="239"/>
      <c r="D63" s="120"/>
      <c r="E63" s="240"/>
      <c r="F63" s="241"/>
      <c r="G63" s="248"/>
      <c r="H63" s="241"/>
      <c r="I63" s="237"/>
    </row>
    <row r="64" spans="1:9" s="230" customFormat="1" ht="15" customHeight="1" thickBot="1">
      <c r="A64" s="258">
        <v>750</v>
      </c>
      <c r="B64" s="225"/>
      <c r="C64" s="225"/>
      <c r="D64" s="119" t="s">
        <v>122</v>
      </c>
      <c r="E64" s="227" t="e">
        <f>E65+E69+E80+#REF!</f>
        <v>#REF!</v>
      </c>
      <c r="F64" s="251">
        <f>F65+F69+F80+F84</f>
        <v>1275064</v>
      </c>
      <c r="G64" s="251">
        <f>G65+G69+G80+G84</f>
        <v>0</v>
      </c>
      <c r="H64" s="251">
        <f>H65+H69+H80+H84</f>
        <v>1275064</v>
      </c>
      <c r="I64" s="229"/>
    </row>
    <row r="65" spans="1:9" ht="15" customHeight="1" thickBot="1">
      <c r="A65" s="260"/>
      <c r="B65" s="261">
        <v>75011</v>
      </c>
      <c r="C65" s="233"/>
      <c r="D65" s="254" t="s">
        <v>123</v>
      </c>
      <c r="E65" s="235">
        <f>E66</f>
        <v>154421</v>
      </c>
      <c r="F65" s="236">
        <f>F66</f>
        <v>154421</v>
      </c>
      <c r="G65" s="236">
        <f>G66</f>
        <v>0</v>
      </c>
      <c r="H65" s="236">
        <f>H66</f>
        <v>154421</v>
      </c>
      <c r="I65" s="237"/>
    </row>
    <row r="66" spans="1:9" ht="15" customHeight="1">
      <c r="A66" s="260"/>
      <c r="B66" s="238"/>
      <c r="C66" s="238">
        <v>2110</v>
      </c>
      <c r="D66" s="120" t="s">
        <v>260</v>
      </c>
      <c r="E66" s="240">
        <v>154421</v>
      </c>
      <c r="F66" s="241">
        <v>154421</v>
      </c>
      <c r="G66" s="248"/>
      <c r="H66" s="241">
        <f>F66+G66</f>
        <v>154421</v>
      </c>
      <c r="I66" s="237"/>
    </row>
    <row r="67" spans="1:9" ht="15" customHeight="1">
      <c r="A67" s="260"/>
      <c r="B67" s="238"/>
      <c r="C67" s="238"/>
      <c r="D67" s="120" t="s">
        <v>288</v>
      </c>
      <c r="E67" s="240"/>
      <c r="F67" s="241"/>
      <c r="G67" s="248"/>
      <c r="H67" s="241"/>
      <c r="I67" s="237"/>
    </row>
    <row r="68" spans="1:9" ht="15" customHeight="1">
      <c r="A68" s="260"/>
      <c r="B68" s="238"/>
      <c r="C68" s="238"/>
      <c r="D68" s="120"/>
      <c r="E68" s="240"/>
      <c r="F68" s="241"/>
      <c r="G68" s="248"/>
      <c r="H68" s="241"/>
      <c r="I68" s="237"/>
    </row>
    <row r="69" spans="1:9" ht="15" customHeight="1" thickBot="1">
      <c r="A69" s="260"/>
      <c r="B69" s="263">
        <v>75020</v>
      </c>
      <c r="C69" s="267"/>
      <c r="D69" s="246" t="s">
        <v>129</v>
      </c>
      <c r="E69" s="264">
        <f>SUM(E70:E78)</f>
        <v>1421381</v>
      </c>
      <c r="F69" s="241">
        <f>SUM(F70:F78)</f>
        <v>1083665</v>
      </c>
      <c r="G69" s="265">
        <f>SUM(G70:G78)</f>
        <v>0</v>
      </c>
      <c r="H69" s="265">
        <f>SUM(H70:H78)</f>
        <v>1083665</v>
      </c>
      <c r="I69" s="237"/>
    </row>
    <row r="70" spans="1:9" ht="15" customHeight="1">
      <c r="A70" s="260"/>
      <c r="B70" s="238"/>
      <c r="C70" s="239" t="s">
        <v>290</v>
      </c>
      <c r="D70" s="120" t="s">
        <v>291</v>
      </c>
      <c r="E70" s="240">
        <v>1250000</v>
      </c>
      <c r="F70" s="249">
        <v>1000000</v>
      </c>
      <c r="G70" s="248"/>
      <c r="H70" s="241">
        <f aca="true" t="shared" si="0" ref="H70:H78">F70+G70</f>
        <v>1000000</v>
      </c>
      <c r="I70" s="237"/>
    </row>
    <row r="71" spans="1:9" ht="15" customHeight="1">
      <c r="A71" s="260"/>
      <c r="B71" s="238"/>
      <c r="C71" s="239" t="s">
        <v>267</v>
      </c>
      <c r="D71" s="120" t="s">
        <v>268</v>
      </c>
      <c r="E71" s="240">
        <v>2215</v>
      </c>
      <c r="F71" s="241">
        <v>2215</v>
      </c>
      <c r="G71" s="248"/>
      <c r="H71" s="241">
        <f t="shared" si="0"/>
        <v>2215</v>
      </c>
      <c r="I71" s="237"/>
    </row>
    <row r="72" spans="1:9" ht="15" customHeight="1">
      <c r="A72" s="260"/>
      <c r="B72" s="238"/>
      <c r="C72" s="239" t="s">
        <v>262</v>
      </c>
      <c r="D72" s="120" t="s">
        <v>263</v>
      </c>
      <c r="E72" s="240"/>
      <c r="F72" s="241">
        <v>6000</v>
      </c>
      <c r="G72" s="248"/>
      <c r="H72" s="241">
        <f t="shared" si="0"/>
        <v>6000</v>
      </c>
      <c r="I72" s="237"/>
    </row>
    <row r="73" spans="1:9" ht="15" customHeight="1">
      <c r="A73" s="260"/>
      <c r="B73" s="238"/>
      <c r="C73" s="239"/>
      <c r="D73" s="120" t="s">
        <v>264</v>
      </c>
      <c r="E73" s="240"/>
      <c r="F73" s="241"/>
      <c r="G73" s="248"/>
      <c r="H73" s="241"/>
      <c r="I73" s="237"/>
    </row>
    <row r="74" spans="1:9" ht="15" customHeight="1">
      <c r="A74" s="260"/>
      <c r="B74" s="238"/>
      <c r="C74" s="239" t="s">
        <v>252</v>
      </c>
      <c r="D74" s="120" t="s">
        <v>247</v>
      </c>
      <c r="E74" s="240">
        <v>15000</v>
      </c>
      <c r="F74" s="241">
        <v>9500</v>
      </c>
      <c r="G74" s="248"/>
      <c r="H74" s="241">
        <f t="shared" si="0"/>
        <v>9500</v>
      </c>
      <c r="I74" s="237"/>
    </row>
    <row r="75" spans="1:9" ht="15" customHeight="1">
      <c r="A75" s="260"/>
      <c r="B75" s="238"/>
      <c r="C75" s="239" t="s">
        <v>292</v>
      </c>
      <c r="D75" s="120" t="s">
        <v>293</v>
      </c>
      <c r="E75" s="240">
        <v>4000</v>
      </c>
      <c r="F75" s="241">
        <v>2500</v>
      </c>
      <c r="G75" s="248"/>
      <c r="H75" s="241">
        <f t="shared" si="0"/>
        <v>2500</v>
      </c>
      <c r="I75" s="237"/>
    </row>
    <row r="76" spans="1:9" ht="15" customHeight="1">
      <c r="A76" s="260"/>
      <c r="B76" s="238"/>
      <c r="C76" s="239" t="s">
        <v>279</v>
      </c>
      <c r="D76" s="120" t="s">
        <v>294</v>
      </c>
      <c r="E76" s="240">
        <v>166</v>
      </c>
      <c r="F76" s="241">
        <v>500</v>
      </c>
      <c r="G76" s="248"/>
      <c r="H76" s="241">
        <f t="shared" si="0"/>
        <v>500</v>
      </c>
      <c r="I76" s="237"/>
    </row>
    <row r="77" spans="1:9" ht="15" customHeight="1">
      <c r="A77" s="260"/>
      <c r="B77" s="238"/>
      <c r="C77" s="239" t="s">
        <v>295</v>
      </c>
      <c r="D77" s="120" t="s">
        <v>740</v>
      </c>
      <c r="E77" s="240"/>
      <c r="F77" s="241">
        <v>950</v>
      </c>
      <c r="G77" s="248"/>
      <c r="H77" s="241">
        <f t="shared" si="0"/>
        <v>950</v>
      </c>
      <c r="I77" s="237"/>
    </row>
    <row r="78" spans="1:9" ht="15" customHeight="1">
      <c r="A78" s="260"/>
      <c r="B78" s="238"/>
      <c r="C78" s="239" t="s">
        <v>269</v>
      </c>
      <c r="D78" s="120" t="s">
        <v>270</v>
      </c>
      <c r="E78" s="240">
        <v>150000</v>
      </c>
      <c r="F78" s="241">
        <v>62000</v>
      </c>
      <c r="G78" s="248"/>
      <c r="H78" s="241">
        <f t="shared" si="0"/>
        <v>62000</v>
      </c>
      <c r="I78" s="237"/>
    </row>
    <row r="79" spans="1:9" ht="15" customHeight="1">
      <c r="A79" s="260"/>
      <c r="B79" s="238"/>
      <c r="C79" s="238"/>
      <c r="D79" s="238"/>
      <c r="E79" s="240"/>
      <c r="F79" s="241"/>
      <c r="G79" s="248"/>
      <c r="H79" s="241"/>
      <c r="I79" s="237"/>
    </row>
    <row r="80" spans="1:9" ht="15" customHeight="1" thickBot="1">
      <c r="A80" s="260"/>
      <c r="B80" s="263">
        <v>75045</v>
      </c>
      <c r="C80" s="267"/>
      <c r="D80" s="246" t="s">
        <v>133</v>
      </c>
      <c r="E80" s="264">
        <f>E81</f>
        <v>15999</v>
      </c>
      <c r="F80" s="265">
        <f>F81</f>
        <v>16978</v>
      </c>
      <c r="G80" s="265">
        <f>G81</f>
        <v>0</v>
      </c>
      <c r="H80" s="265">
        <f>H81</f>
        <v>16978</v>
      </c>
      <c r="I80" s="237"/>
    </row>
    <row r="81" spans="1:9" ht="15" customHeight="1">
      <c r="A81" s="260"/>
      <c r="B81" s="238"/>
      <c r="C81" s="238">
        <v>2110</v>
      </c>
      <c r="D81" s="120" t="s">
        <v>260</v>
      </c>
      <c r="E81" s="240">
        <v>15999</v>
      </c>
      <c r="F81" s="241">
        <v>16978</v>
      </c>
      <c r="G81" s="248"/>
      <c r="H81" s="241">
        <f>F81+G81</f>
        <v>16978</v>
      </c>
      <c r="I81" s="237"/>
    </row>
    <row r="82" spans="1:9" ht="15" customHeight="1">
      <c r="A82" s="260"/>
      <c r="B82" s="238"/>
      <c r="C82" s="238"/>
      <c r="D82" s="120" t="s">
        <v>296</v>
      </c>
      <c r="E82" s="240"/>
      <c r="F82" s="241"/>
      <c r="G82" s="248"/>
      <c r="H82" s="241"/>
      <c r="I82" s="237"/>
    </row>
    <row r="83" spans="1:9" ht="15" customHeight="1">
      <c r="A83" s="260"/>
      <c r="B83" s="238"/>
      <c r="C83" s="238"/>
      <c r="D83" s="120"/>
      <c r="E83" s="248"/>
      <c r="F83" s="241"/>
      <c r="G83" s="248"/>
      <c r="H83" s="241"/>
      <c r="I83" s="237"/>
    </row>
    <row r="84" spans="1:9" ht="15" customHeight="1" thickBot="1">
      <c r="A84" s="260"/>
      <c r="B84" s="263">
        <v>75095</v>
      </c>
      <c r="C84" s="267"/>
      <c r="D84" s="246" t="s">
        <v>60</v>
      </c>
      <c r="E84" s="247"/>
      <c r="F84" s="265">
        <f>F85</f>
        <v>20000</v>
      </c>
      <c r="G84" s="265">
        <f>G85</f>
        <v>0</v>
      </c>
      <c r="H84" s="265">
        <f>H85</f>
        <v>20000</v>
      </c>
      <c r="I84" s="237"/>
    </row>
    <row r="85" spans="1:9" ht="15" customHeight="1">
      <c r="A85" s="260"/>
      <c r="B85" s="238"/>
      <c r="C85" s="239" t="s">
        <v>269</v>
      </c>
      <c r="D85" s="120" t="s">
        <v>270</v>
      </c>
      <c r="E85" s="248"/>
      <c r="F85" s="241">
        <v>20000</v>
      </c>
      <c r="G85" s="248"/>
      <c r="H85" s="241">
        <f>F85+G85</f>
        <v>20000</v>
      </c>
      <c r="I85" s="237"/>
    </row>
    <row r="86" spans="1:9" ht="15" customHeight="1">
      <c r="A86" s="260"/>
      <c r="B86" s="238"/>
      <c r="C86" s="239"/>
      <c r="D86" s="243"/>
      <c r="E86" s="248"/>
      <c r="F86" s="241"/>
      <c r="G86" s="248"/>
      <c r="H86" s="241"/>
      <c r="I86" s="237"/>
    </row>
    <row r="87" spans="1:9" ht="15" customHeight="1" thickBot="1">
      <c r="A87" s="258">
        <v>752</v>
      </c>
      <c r="B87" s="225"/>
      <c r="C87" s="259"/>
      <c r="D87" s="119" t="s">
        <v>728</v>
      </c>
      <c r="E87" s="268"/>
      <c r="F87" s="251">
        <f aca="true" t="shared" si="1" ref="F87:H88">F88</f>
        <v>1000</v>
      </c>
      <c r="G87" s="251">
        <f t="shared" si="1"/>
        <v>0</v>
      </c>
      <c r="H87" s="251">
        <f t="shared" si="1"/>
        <v>1000</v>
      </c>
      <c r="I87" s="237"/>
    </row>
    <row r="88" spans="1:9" ht="15" customHeight="1">
      <c r="A88" s="260"/>
      <c r="B88" s="787">
        <v>75212</v>
      </c>
      <c r="C88" s="822"/>
      <c r="D88" s="794" t="s">
        <v>729</v>
      </c>
      <c r="E88" s="823"/>
      <c r="F88" s="796">
        <f t="shared" si="1"/>
        <v>1000</v>
      </c>
      <c r="G88" s="796">
        <f t="shared" si="1"/>
        <v>0</v>
      </c>
      <c r="H88" s="796">
        <f t="shared" si="1"/>
        <v>1000</v>
      </c>
      <c r="I88" s="237"/>
    </row>
    <row r="89" spans="1:9" ht="15" customHeight="1">
      <c r="A89" s="260"/>
      <c r="B89" s="238"/>
      <c r="C89" s="239" t="s">
        <v>269</v>
      </c>
      <c r="D89" s="120" t="s">
        <v>730</v>
      </c>
      <c r="E89" s="248"/>
      <c r="F89" s="241">
        <v>1000</v>
      </c>
      <c r="G89" s="248"/>
      <c r="H89" s="241">
        <f>F89+G89</f>
        <v>1000</v>
      </c>
      <c r="I89" s="237"/>
    </row>
    <row r="90" spans="1:9" ht="15" customHeight="1">
      <c r="A90" s="260"/>
      <c r="B90" s="238"/>
      <c r="C90" s="239"/>
      <c r="D90" s="243"/>
      <c r="E90" s="248"/>
      <c r="F90" s="241"/>
      <c r="G90" s="248"/>
      <c r="H90" s="241"/>
      <c r="I90" s="237"/>
    </row>
    <row r="91" spans="1:9" s="230" customFormat="1" ht="15" customHeight="1" thickBot="1">
      <c r="A91" s="258">
        <v>754</v>
      </c>
      <c r="B91" s="225"/>
      <c r="C91" s="259"/>
      <c r="D91" s="119" t="s">
        <v>297</v>
      </c>
      <c r="E91" s="268">
        <f aca="true" t="shared" si="2" ref="E91:H92">E92</f>
        <v>0</v>
      </c>
      <c r="F91" s="228">
        <f t="shared" si="2"/>
        <v>1000</v>
      </c>
      <c r="G91" s="228">
        <f t="shared" si="2"/>
        <v>0</v>
      </c>
      <c r="H91" s="228">
        <f t="shared" si="2"/>
        <v>1000</v>
      </c>
      <c r="I91" s="229"/>
    </row>
    <row r="92" spans="1:9" ht="15" customHeight="1" thickBot="1">
      <c r="A92" s="260"/>
      <c r="B92" s="261">
        <v>75414</v>
      </c>
      <c r="C92" s="232"/>
      <c r="D92" s="254" t="s">
        <v>135</v>
      </c>
      <c r="E92" s="269">
        <f t="shared" si="2"/>
        <v>0</v>
      </c>
      <c r="F92" s="236">
        <f t="shared" si="2"/>
        <v>1000</v>
      </c>
      <c r="G92" s="236">
        <f t="shared" si="2"/>
        <v>0</v>
      </c>
      <c r="H92" s="236">
        <f t="shared" si="2"/>
        <v>1000</v>
      </c>
      <c r="I92" s="237"/>
    </row>
    <row r="93" spans="1:9" ht="15" customHeight="1">
      <c r="A93" s="260"/>
      <c r="B93" s="238"/>
      <c r="C93" s="279" t="s">
        <v>259</v>
      </c>
      <c r="D93" s="120" t="s">
        <v>260</v>
      </c>
      <c r="E93" s="248">
        <v>0</v>
      </c>
      <c r="F93" s="241">
        <v>1000</v>
      </c>
      <c r="G93" s="248"/>
      <c r="H93" s="241">
        <f>F93+G93</f>
        <v>1000</v>
      </c>
      <c r="I93" s="237"/>
    </row>
    <row r="94" spans="1:9" ht="15" customHeight="1">
      <c r="A94" s="260"/>
      <c r="B94" s="238"/>
      <c r="C94" s="279"/>
      <c r="D94" s="120" t="s">
        <v>296</v>
      </c>
      <c r="E94" s="248"/>
      <c r="F94" s="241"/>
      <c r="G94" s="248"/>
      <c r="H94" s="241"/>
      <c r="I94" s="237"/>
    </row>
    <row r="95" spans="1:9" ht="15" customHeight="1">
      <c r="A95" s="260"/>
      <c r="B95" s="238"/>
      <c r="C95" s="279"/>
      <c r="D95" s="120"/>
      <c r="E95" s="240"/>
      <c r="F95" s="241"/>
      <c r="G95" s="248"/>
      <c r="H95" s="241"/>
      <c r="I95" s="237"/>
    </row>
    <row r="96" spans="1:9" ht="15" customHeight="1">
      <c r="A96" s="231">
        <v>756</v>
      </c>
      <c r="B96" s="238"/>
      <c r="C96" s="239"/>
      <c r="D96" s="118" t="s">
        <v>298</v>
      </c>
      <c r="E96" s="240"/>
      <c r="F96" s="241"/>
      <c r="G96" s="248"/>
      <c r="H96" s="241"/>
      <c r="I96" s="237"/>
    </row>
    <row r="97" spans="1:9" s="230" customFormat="1" ht="15" customHeight="1" thickBot="1">
      <c r="A97" s="258"/>
      <c r="B97" s="225"/>
      <c r="C97" s="225"/>
      <c r="D97" s="119" t="s">
        <v>299</v>
      </c>
      <c r="E97" s="227" t="e">
        <f>E98</f>
        <v>#REF!</v>
      </c>
      <c r="F97" s="228">
        <f>F98</f>
        <v>3561796</v>
      </c>
      <c r="G97" s="251">
        <f>G98</f>
        <v>0</v>
      </c>
      <c r="H97" s="251">
        <f>H98</f>
        <v>3561796</v>
      </c>
      <c r="I97" s="229"/>
    </row>
    <row r="98" spans="1:9" ht="15" customHeight="1">
      <c r="A98" s="260"/>
      <c r="B98" s="238">
        <v>75622</v>
      </c>
      <c r="C98" s="238"/>
      <c r="D98" s="120" t="s">
        <v>300</v>
      </c>
      <c r="E98" s="270" t="e">
        <f>E100+#REF!</f>
        <v>#REF!</v>
      </c>
      <c r="F98" s="249">
        <f>SUM(F100:F101)</f>
        <v>3561796</v>
      </c>
      <c r="G98" s="249">
        <f>SUM(G100:G101)</f>
        <v>0</v>
      </c>
      <c r="H98" s="249">
        <f>SUM(H100:H101)</f>
        <v>3561796</v>
      </c>
      <c r="I98" s="237"/>
    </row>
    <row r="99" spans="1:9" ht="15" customHeight="1" thickBot="1">
      <c r="A99" s="260"/>
      <c r="B99" s="267"/>
      <c r="C99" s="267"/>
      <c r="D99" s="246" t="s">
        <v>301</v>
      </c>
      <c r="E99" s="271"/>
      <c r="F99" s="272"/>
      <c r="G99" s="247"/>
      <c r="H99" s="265"/>
      <c r="I99" s="237"/>
    </row>
    <row r="100" spans="1:9" ht="15" customHeight="1">
      <c r="A100" s="260"/>
      <c r="B100" s="238"/>
      <c r="C100" s="239" t="s">
        <v>302</v>
      </c>
      <c r="D100" s="120" t="s">
        <v>303</v>
      </c>
      <c r="E100" s="240">
        <v>2855856</v>
      </c>
      <c r="F100" s="241">
        <v>3461796</v>
      </c>
      <c r="G100" s="248"/>
      <c r="H100" s="241">
        <f>F100+G100</f>
        <v>3461796</v>
      </c>
      <c r="I100" s="237"/>
    </row>
    <row r="101" spans="1:9" ht="15" customHeight="1">
      <c r="A101" s="260"/>
      <c r="B101" s="238"/>
      <c r="C101" s="239" t="s">
        <v>741</v>
      </c>
      <c r="D101" s="120" t="s">
        <v>742</v>
      </c>
      <c r="E101" s="240"/>
      <c r="F101" s="241">
        <v>100000</v>
      </c>
      <c r="G101" s="248"/>
      <c r="H101" s="241">
        <f>F101+G101</f>
        <v>100000</v>
      </c>
      <c r="I101" s="237"/>
    </row>
    <row r="102" spans="1:9" ht="15" customHeight="1">
      <c r="A102" s="260"/>
      <c r="B102" s="238"/>
      <c r="C102" s="239"/>
      <c r="D102" s="120"/>
      <c r="E102" s="240"/>
      <c r="F102" s="241"/>
      <c r="G102" s="248"/>
      <c r="H102" s="241"/>
      <c r="I102" s="237"/>
    </row>
    <row r="103" spans="1:9" s="230" customFormat="1" ht="15" customHeight="1" thickBot="1">
      <c r="A103" s="258">
        <v>758</v>
      </c>
      <c r="B103" s="225"/>
      <c r="C103" s="225"/>
      <c r="D103" s="119" t="s">
        <v>139</v>
      </c>
      <c r="E103" s="227" t="e">
        <f>E104+E111+E114+E117+#REF!</f>
        <v>#REF!</v>
      </c>
      <c r="F103" s="228">
        <f>F104+F111+F114+F117+F107</f>
        <v>18864711</v>
      </c>
      <c r="G103" s="228">
        <f>G104+G111+G114+G117+G107</f>
        <v>1009953</v>
      </c>
      <c r="H103" s="228">
        <f>H104+H111+H114+H117+H107</f>
        <v>19874664</v>
      </c>
      <c r="I103" s="229"/>
    </row>
    <row r="104" spans="1:9" ht="15" customHeight="1" thickBot="1">
      <c r="A104" s="260"/>
      <c r="B104" s="261">
        <v>75801</v>
      </c>
      <c r="C104" s="233"/>
      <c r="D104" s="254" t="s">
        <v>304</v>
      </c>
      <c r="E104" s="235">
        <f>E105</f>
        <v>10509635</v>
      </c>
      <c r="F104" s="236">
        <f>F105</f>
        <v>11143801</v>
      </c>
      <c r="G104" s="236">
        <f>G105</f>
        <v>0</v>
      </c>
      <c r="H104" s="236">
        <f>H105</f>
        <v>11143801</v>
      </c>
      <c r="I104" s="237"/>
    </row>
    <row r="105" spans="1:9" ht="15" customHeight="1">
      <c r="A105" s="260"/>
      <c r="B105" s="238"/>
      <c r="C105" s="238">
        <v>2920</v>
      </c>
      <c r="D105" s="120" t="s">
        <v>305</v>
      </c>
      <c r="E105" s="240">
        <v>10509635</v>
      </c>
      <c r="F105" s="241">
        <v>11143801</v>
      </c>
      <c r="G105" s="248"/>
      <c r="H105" s="241">
        <f>F105+G105</f>
        <v>11143801</v>
      </c>
      <c r="I105" s="237"/>
    </row>
    <row r="106" spans="1:9" ht="15" customHeight="1">
      <c r="A106" s="260"/>
      <c r="B106" s="238"/>
      <c r="C106" s="238"/>
      <c r="D106" s="120"/>
      <c r="E106" s="240"/>
      <c r="F106" s="241"/>
      <c r="G106" s="248"/>
      <c r="H106" s="241"/>
      <c r="I106" s="237"/>
    </row>
    <row r="107" spans="1:9" ht="15" customHeight="1" thickBot="1">
      <c r="A107" s="260"/>
      <c r="B107" s="263">
        <v>75802</v>
      </c>
      <c r="C107" s="267"/>
      <c r="D107" s="246" t="s">
        <v>776</v>
      </c>
      <c r="E107" s="264"/>
      <c r="F107" s="265">
        <f>F108</f>
        <v>0</v>
      </c>
      <c r="G107" s="247">
        <f>G108</f>
        <v>981731</v>
      </c>
      <c r="H107" s="265">
        <f>H108</f>
        <v>981731</v>
      </c>
      <c r="I107" s="237"/>
    </row>
    <row r="108" spans="1:9" ht="15" customHeight="1">
      <c r="A108" s="260"/>
      <c r="B108" s="238"/>
      <c r="C108" s="238">
        <v>2760</v>
      </c>
      <c r="D108" s="120" t="s">
        <v>777</v>
      </c>
      <c r="E108" s="240"/>
      <c r="F108" s="241">
        <v>0</v>
      </c>
      <c r="G108" s="248">
        <v>981731</v>
      </c>
      <c r="H108" s="241">
        <f>F108+G108</f>
        <v>981731</v>
      </c>
      <c r="I108" s="237"/>
    </row>
    <row r="109" spans="1:9" ht="15" customHeight="1">
      <c r="A109" s="260"/>
      <c r="B109" s="238"/>
      <c r="C109" s="238"/>
      <c r="D109" s="243"/>
      <c r="E109" s="240"/>
      <c r="F109" s="241"/>
      <c r="G109" s="248"/>
      <c r="H109" s="241"/>
      <c r="I109" s="237"/>
    </row>
    <row r="110" spans="1:9" ht="15" customHeight="1">
      <c r="A110" s="260"/>
      <c r="B110" s="238"/>
      <c r="C110" s="238"/>
      <c r="D110" s="243"/>
      <c r="E110" s="240"/>
      <c r="F110" s="241"/>
      <c r="G110" s="248"/>
      <c r="H110" s="241"/>
      <c r="I110" s="237"/>
    </row>
    <row r="111" spans="1:9" ht="15" customHeight="1" thickBot="1">
      <c r="A111" s="260"/>
      <c r="B111" s="263">
        <v>75803</v>
      </c>
      <c r="C111" s="267"/>
      <c r="D111" s="246" t="s">
        <v>306</v>
      </c>
      <c r="E111" s="264">
        <f>E112</f>
        <v>3563513</v>
      </c>
      <c r="F111" s="265">
        <f>F112</f>
        <v>4612480</v>
      </c>
      <c r="G111" s="265">
        <f>G112</f>
        <v>0</v>
      </c>
      <c r="H111" s="265">
        <f>H112</f>
        <v>4612480</v>
      </c>
      <c r="I111" s="237"/>
    </row>
    <row r="112" spans="1:9" ht="15" customHeight="1">
      <c r="A112" s="260"/>
      <c r="B112" s="238"/>
      <c r="C112" s="238">
        <v>2920</v>
      </c>
      <c r="D112" s="120" t="s">
        <v>305</v>
      </c>
      <c r="E112" s="240">
        <v>3563513</v>
      </c>
      <c r="F112" s="241">
        <v>4612480</v>
      </c>
      <c r="G112" s="248"/>
      <c r="H112" s="241">
        <f>F112+G112</f>
        <v>4612480</v>
      </c>
      <c r="I112" s="237"/>
    </row>
    <row r="113" spans="1:9" ht="15" customHeight="1">
      <c r="A113" s="260"/>
      <c r="B113" s="238"/>
      <c r="C113" s="238"/>
      <c r="D113" s="243"/>
      <c r="E113" s="240"/>
      <c r="F113" s="241"/>
      <c r="G113" s="248"/>
      <c r="H113" s="241"/>
      <c r="I113" s="237"/>
    </row>
    <row r="114" spans="1:9" ht="15" customHeight="1" thickBot="1">
      <c r="A114" s="260"/>
      <c r="B114" s="263">
        <v>75814</v>
      </c>
      <c r="C114" s="245"/>
      <c r="D114" s="246" t="s">
        <v>78</v>
      </c>
      <c r="E114" s="264">
        <f>E115</f>
        <v>42324</v>
      </c>
      <c r="F114" s="241">
        <f>F115</f>
        <v>42416</v>
      </c>
      <c r="G114" s="265">
        <f>G115</f>
        <v>28222</v>
      </c>
      <c r="H114" s="265">
        <f>H115</f>
        <v>70638</v>
      </c>
      <c r="I114" s="237"/>
    </row>
    <row r="115" spans="1:9" ht="15" customHeight="1">
      <c r="A115" s="260"/>
      <c r="B115" s="238"/>
      <c r="C115" s="239" t="s">
        <v>253</v>
      </c>
      <c r="D115" s="120" t="s">
        <v>102</v>
      </c>
      <c r="E115" s="240">
        <v>42324</v>
      </c>
      <c r="F115" s="249">
        <v>42416</v>
      </c>
      <c r="G115" s="248">
        <f>20+28000+202</f>
        <v>28222</v>
      </c>
      <c r="H115" s="241">
        <f>F115+G115</f>
        <v>70638</v>
      </c>
      <c r="I115" s="237"/>
    </row>
    <row r="116" spans="1:9" ht="15" customHeight="1">
      <c r="A116" s="260"/>
      <c r="B116" s="238"/>
      <c r="C116" s="239"/>
      <c r="D116" s="243"/>
      <c r="E116" s="240"/>
      <c r="F116" s="241"/>
      <c r="G116" s="248"/>
      <c r="H116" s="241"/>
      <c r="I116" s="237"/>
    </row>
    <row r="117" spans="1:9" ht="15" customHeight="1" thickBot="1">
      <c r="A117" s="260"/>
      <c r="B117" s="263">
        <v>75832</v>
      </c>
      <c r="C117" s="245"/>
      <c r="D117" s="246" t="s">
        <v>307</v>
      </c>
      <c r="E117" s="264">
        <f>E118</f>
        <v>1849238</v>
      </c>
      <c r="F117" s="265">
        <f>F118</f>
        <v>3066014</v>
      </c>
      <c r="G117" s="265">
        <f>G118</f>
        <v>0</v>
      </c>
      <c r="H117" s="265">
        <f>H118</f>
        <v>3066014</v>
      </c>
      <c r="I117" s="237"/>
    </row>
    <row r="118" spans="1:9" ht="15" customHeight="1">
      <c r="A118" s="260"/>
      <c r="B118" s="238"/>
      <c r="C118" s="239" t="s">
        <v>308</v>
      </c>
      <c r="D118" s="256" t="s">
        <v>305</v>
      </c>
      <c r="E118" s="240">
        <v>1849238</v>
      </c>
      <c r="F118" s="241">
        <v>3066014</v>
      </c>
      <c r="G118" s="248"/>
      <c r="H118" s="241">
        <f>F118+G118</f>
        <v>3066014</v>
      </c>
      <c r="I118" s="237"/>
    </row>
    <row r="119" spans="1:9" ht="15" customHeight="1">
      <c r="A119" s="260"/>
      <c r="B119" s="238"/>
      <c r="C119" s="239"/>
      <c r="D119" s="243"/>
      <c r="E119" s="240"/>
      <c r="F119" s="241"/>
      <c r="G119" s="248"/>
      <c r="H119" s="241"/>
      <c r="I119" s="237"/>
    </row>
    <row r="120" spans="1:9" s="230" customFormat="1" ht="15" customHeight="1" thickBot="1">
      <c r="A120" s="258">
        <v>801</v>
      </c>
      <c r="B120" s="274"/>
      <c r="C120" s="274"/>
      <c r="D120" s="275" t="s">
        <v>142</v>
      </c>
      <c r="E120" s="276" t="e">
        <f>E121+#REF!+E145+#REF!+#REF!</f>
        <v>#REF!</v>
      </c>
      <c r="F120" s="277">
        <f>F121+F145+F137+F125+F141</f>
        <v>109674</v>
      </c>
      <c r="G120" s="277">
        <f>G121+G145+G137+G125+G141</f>
        <v>60543</v>
      </c>
      <c r="H120" s="277">
        <f>H121+H145+H137+H125+H141</f>
        <v>170217</v>
      </c>
      <c r="I120" s="229"/>
    </row>
    <row r="121" spans="1:9" ht="15" customHeight="1" thickBot="1">
      <c r="A121" s="231"/>
      <c r="B121" s="263">
        <v>80120</v>
      </c>
      <c r="C121" s="263"/>
      <c r="D121" s="272" t="s">
        <v>147</v>
      </c>
      <c r="E121" s="264">
        <f>SUM(E122:E122)</f>
        <v>1600</v>
      </c>
      <c r="F121" s="265">
        <f>SUM(F122:F123)</f>
        <v>15657</v>
      </c>
      <c r="G121" s="265">
        <f>SUM(G122:G123)</f>
        <v>0</v>
      </c>
      <c r="H121" s="265">
        <f>SUM(H122:H123)</f>
        <v>15657</v>
      </c>
      <c r="I121" s="237"/>
    </row>
    <row r="122" spans="1:9" ht="15" customHeight="1">
      <c r="A122" s="231"/>
      <c r="B122" s="278"/>
      <c r="C122" s="279" t="s">
        <v>252</v>
      </c>
      <c r="D122" s="242" t="s">
        <v>247</v>
      </c>
      <c r="E122" s="240">
        <v>1600</v>
      </c>
      <c r="F122" s="241">
        <v>1000</v>
      </c>
      <c r="G122" s="248"/>
      <c r="H122" s="241">
        <f>F122+G122</f>
        <v>1000</v>
      </c>
      <c r="I122" s="237"/>
    </row>
    <row r="123" spans="1:9" ht="15" customHeight="1">
      <c r="A123" s="231"/>
      <c r="B123" s="278"/>
      <c r="C123" s="279" t="s">
        <v>269</v>
      </c>
      <c r="D123" s="120" t="s">
        <v>270</v>
      </c>
      <c r="E123" s="240"/>
      <c r="F123" s="241">
        <v>14657</v>
      </c>
      <c r="G123" s="248"/>
      <c r="H123" s="241">
        <f>F123+G123</f>
        <v>14657</v>
      </c>
      <c r="I123" s="237"/>
    </row>
    <row r="124" spans="1:9" ht="15" customHeight="1">
      <c r="A124" s="231"/>
      <c r="B124" s="278"/>
      <c r="C124" s="257"/>
      <c r="D124" s="280"/>
      <c r="E124" s="240"/>
      <c r="F124" s="241"/>
      <c r="G124" s="248"/>
      <c r="H124" s="241"/>
      <c r="I124" s="237"/>
    </row>
    <row r="125" spans="1:9" ht="15" customHeight="1">
      <c r="A125" s="231"/>
      <c r="B125" s="833">
        <v>80130</v>
      </c>
      <c r="C125" s="834"/>
      <c r="D125" s="835" t="s">
        <v>149</v>
      </c>
      <c r="E125" s="659"/>
      <c r="F125" s="662">
        <f>SUM(F126:F134)</f>
        <v>64010</v>
      </c>
      <c r="G125" s="662">
        <f>SUM(G126:G134)</f>
        <v>45543</v>
      </c>
      <c r="H125" s="662">
        <f>SUM(H126:H134)</f>
        <v>109553</v>
      </c>
      <c r="I125" s="237"/>
    </row>
    <row r="126" spans="1:9" ht="15" customHeight="1">
      <c r="A126" s="231"/>
      <c r="B126" s="278"/>
      <c r="C126" s="239" t="s">
        <v>262</v>
      </c>
      <c r="D126" s="120" t="s">
        <v>263</v>
      </c>
      <c r="E126" s="240"/>
      <c r="F126" s="241">
        <v>35173</v>
      </c>
      <c r="G126" s="248">
        <v>22124</v>
      </c>
      <c r="H126" s="287">
        <f>F126+G126</f>
        <v>57297</v>
      </c>
      <c r="I126" s="237"/>
    </row>
    <row r="127" spans="1:9" ht="15" customHeight="1">
      <c r="A127" s="231"/>
      <c r="B127" s="278"/>
      <c r="C127" s="239"/>
      <c r="D127" s="120" t="s">
        <v>264</v>
      </c>
      <c r="E127" s="240"/>
      <c r="F127" s="241"/>
      <c r="G127" s="248"/>
      <c r="H127" s="287"/>
      <c r="I127" s="237"/>
    </row>
    <row r="128" spans="1:9" ht="15" customHeight="1">
      <c r="A128" s="231"/>
      <c r="B128" s="278"/>
      <c r="C128" s="239" t="s">
        <v>252</v>
      </c>
      <c r="D128" s="813" t="s">
        <v>247</v>
      </c>
      <c r="E128" s="830"/>
      <c r="F128" s="287">
        <v>5594</v>
      </c>
      <c r="G128" s="288">
        <v>2050</v>
      </c>
      <c r="H128" s="287">
        <f>F128+G128</f>
        <v>7644</v>
      </c>
      <c r="I128" s="237"/>
    </row>
    <row r="129" spans="1:9" ht="15" customHeight="1">
      <c r="A129" s="231"/>
      <c r="B129" s="278"/>
      <c r="C129" s="239" t="s">
        <v>292</v>
      </c>
      <c r="D129" s="120" t="s">
        <v>293</v>
      </c>
      <c r="E129" s="830"/>
      <c r="F129" s="287">
        <v>482</v>
      </c>
      <c r="G129" s="288"/>
      <c r="H129" s="287">
        <f>F129+G129</f>
        <v>482</v>
      </c>
      <c r="I129" s="237"/>
    </row>
    <row r="130" spans="1:9" ht="15" customHeight="1">
      <c r="A130" s="231"/>
      <c r="B130" s="278"/>
      <c r="C130" s="239" t="s">
        <v>295</v>
      </c>
      <c r="D130" s="120" t="s">
        <v>309</v>
      </c>
      <c r="E130" s="830"/>
      <c r="F130" s="287">
        <v>0</v>
      </c>
      <c r="G130" s="288">
        <v>5000</v>
      </c>
      <c r="H130" s="287">
        <f>F130+G130</f>
        <v>5000</v>
      </c>
      <c r="I130" s="237"/>
    </row>
    <row r="131" spans="1:9" ht="15" customHeight="1">
      <c r="A131" s="231"/>
      <c r="B131" s="278"/>
      <c r="C131" s="239" t="s">
        <v>269</v>
      </c>
      <c r="D131" s="120" t="s">
        <v>270</v>
      </c>
      <c r="E131" s="830"/>
      <c r="F131" s="287">
        <v>1342</v>
      </c>
      <c r="G131" s="288">
        <v>3861</v>
      </c>
      <c r="H131" s="287">
        <f>F131+G131</f>
        <v>5203</v>
      </c>
      <c r="I131" s="237"/>
    </row>
    <row r="132" spans="1:9" ht="15" customHeight="1">
      <c r="A132" s="231"/>
      <c r="B132" s="278"/>
      <c r="C132" s="239" t="s">
        <v>738</v>
      </c>
      <c r="D132" s="120" t="s">
        <v>716</v>
      </c>
      <c r="E132" s="830"/>
      <c r="F132" s="287">
        <v>21419</v>
      </c>
      <c r="G132" s="288">
        <v>2508</v>
      </c>
      <c r="H132" s="287">
        <f>F132+G132</f>
        <v>23927</v>
      </c>
      <c r="I132" s="237"/>
    </row>
    <row r="133" spans="1:9" ht="15" customHeight="1">
      <c r="A133" s="231"/>
      <c r="B133" s="278"/>
      <c r="C133" s="239"/>
      <c r="D133" s="120" t="s">
        <v>717</v>
      </c>
      <c r="E133" s="830"/>
      <c r="F133" s="287"/>
      <c r="G133" s="288"/>
      <c r="H133" s="287"/>
      <c r="I133" s="237"/>
    </row>
    <row r="134" spans="1:9" ht="15" customHeight="1">
      <c r="A134" s="231"/>
      <c r="B134" s="278"/>
      <c r="C134" s="239" t="s">
        <v>780</v>
      </c>
      <c r="D134" s="120" t="s">
        <v>781</v>
      </c>
      <c r="E134" s="830"/>
      <c r="F134" s="287">
        <v>0</v>
      </c>
      <c r="G134" s="288">
        <v>10000</v>
      </c>
      <c r="H134" s="287">
        <f>F134+G134</f>
        <v>10000</v>
      </c>
      <c r="I134" s="237"/>
    </row>
    <row r="135" spans="1:9" ht="15" customHeight="1">
      <c r="A135" s="231"/>
      <c r="B135" s="278"/>
      <c r="C135" s="239"/>
      <c r="D135" s="120" t="s">
        <v>782</v>
      </c>
      <c r="E135" s="830"/>
      <c r="F135" s="287"/>
      <c r="G135" s="288"/>
      <c r="H135" s="287"/>
      <c r="I135" s="237"/>
    </row>
    <row r="136" spans="1:9" ht="15" customHeight="1">
      <c r="A136" s="231"/>
      <c r="B136" s="278"/>
      <c r="C136" s="239"/>
      <c r="D136" s="120"/>
      <c r="E136" s="830"/>
      <c r="F136" s="831"/>
      <c r="G136" s="832"/>
      <c r="H136" s="831"/>
      <c r="I136" s="237"/>
    </row>
    <row r="137" spans="1:9" ht="15" customHeight="1" thickBot="1">
      <c r="A137" s="231"/>
      <c r="B137" s="263">
        <v>80146</v>
      </c>
      <c r="C137" s="225"/>
      <c r="D137" s="246" t="s">
        <v>715</v>
      </c>
      <c r="E137" s="264"/>
      <c r="F137" s="265">
        <f>F138</f>
        <v>2695</v>
      </c>
      <c r="G137" s="265">
        <f>G138</f>
        <v>0</v>
      </c>
      <c r="H137" s="265">
        <f>H138</f>
        <v>2695</v>
      </c>
      <c r="I137" s="237"/>
    </row>
    <row r="138" spans="1:9" ht="15" customHeight="1">
      <c r="A138" s="231"/>
      <c r="B138" s="238"/>
      <c r="C138" s="238">
        <v>2708</v>
      </c>
      <c r="D138" s="120" t="s">
        <v>716</v>
      </c>
      <c r="E138" s="240"/>
      <c r="F138" s="241">
        <v>2695</v>
      </c>
      <c r="G138" s="248"/>
      <c r="H138" s="241">
        <f>F138+G138</f>
        <v>2695</v>
      </c>
      <c r="I138" s="237"/>
    </row>
    <row r="139" spans="1:9" ht="15" customHeight="1">
      <c r="A139" s="231"/>
      <c r="B139" s="238"/>
      <c r="C139" s="238"/>
      <c r="D139" s="120" t="s">
        <v>717</v>
      </c>
      <c r="E139" s="240"/>
      <c r="F139" s="241"/>
      <c r="G139" s="248"/>
      <c r="H139" s="241"/>
      <c r="I139" s="237"/>
    </row>
    <row r="140" spans="1:9" ht="15" customHeight="1">
      <c r="A140" s="231"/>
      <c r="B140" s="238"/>
      <c r="C140" s="250"/>
      <c r="D140" s="118"/>
      <c r="E140" s="240"/>
      <c r="F140" s="241"/>
      <c r="G140" s="248"/>
      <c r="H140" s="241"/>
      <c r="I140" s="237"/>
    </row>
    <row r="141" spans="1:9" ht="15" customHeight="1">
      <c r="A141" s="231"/>
      <c r="B141" s="833">
        <v>80195</v>
      </c>
      <c r="C141" s="865"/>
      <c r="D141" s="835" t="s">
        <v>60</v>
      </c>
      <c r="E141" s="659"/>
      <c r="F141" s="667">
        <f>F142</f>
        <v>8312</v>
      </c>
      <c r="G141" s="667">
        <f>G142</f>
        <v>15000</v>
      </c>
      <c r="H141" s="667">
        <f>H142</f>
        <v>23312</v>
      </c>
      <c r="I141" s="237"/>
    </row>
    <row r="142" spans="1:9" ht="15" customHeight="1">
      <c r="A142" s="231"/>
      <c r="B142" s="238"/>
      <c r="C142" s="238">
        <v>2130</v>
      </c>
      <c r="D142" s="120" t="s">
        <v>311</v>
      </c>
      <c r="E142" s="240"/>
      <c r="F142" s="287">
        <v>8312</v>
      </c>
      <c r="G142" s="288">
        <f>15000</f>
        <v>15000</v>
      </c>
      <c r="H142" s="287">
        <f>F142+G142</f>
        <v>23312</v>
      </c>
      <c r="I142" s="237"/>
    </row>
    <row r="143" spans="1:9" ht="15" customHeight="1">
      <c r="A143" s="231"/>
      <c r="B143" s="238"/>
      <c r="C143" s="238"/>
      <c r="D143" s="120" t="s">
        <v>312</v>
      </c>
      <c r="E143" s="240"/>
      <c r="F143" s="287"/>
      <c r="G143" s="288"/>
      <c r="H143" s="287"/>
      <c r="I143" s="237"/>
    </row>
    <row r="144" spans="1:9" ht="15" customHeight="1">
      <c r="A144" s="231"/>
      <c r="B144" s="238"/>
      <c r="C144" s="238"/>
      <c r="D144" s="120"/>
      <c r="E144" s="240"/>
      <c r="F144" s="287"/>
      <c r="G144" s="288"/>
      <c r="H144" s="287"/>
      <c r="I144" s="237"/>
    </row>
    <row r="145" spans="1:9" ht="15" customHeight="1" thickBot="1">
      <c r="A145" s="260"/>
      <c r="B145" s="245" t="s">
        <v>236</v>
      </c>
      <c r="C145" s="281"/>
      <c r="D145" s="246" t="s">
        <v>600</v>
      </c>
      <c r="E145" s="264">
        <f>E146</f>
        <v>21314</v>
      </c>
      <c r="F145" s="265">
        <f>F146</f>
        <v>19000</v>
      </c>
      <c r="G145" s="265">
        <f>G146</f>
        <v>0</v>
      </c>
      <c r="H145" s="265">
        <f>H146</f>
        <v>19000</v>
      </c>
      <c r="I145" s="237"/>
    </row>
    <row r="146" spans="1:9" ht="15" customHeight="1">
      <c r="A146" s="260"/>
      <c r="B146" s="239"/>
      <c r="C146" s="239" t="s">
        <v>313</v>
      </c>
      <c r="D146" s="120" t="s">
        <v>314</v>
      </c>
      <c r="E146" s="240">
        <v>21314</v>
      </c>
      <c r="F146" s="241">
        <v>19000</v>
      </c>
      <c r="G146" s="248"/>
      <c r="H146" s="241">
        <f>F146+G146</f>
        <v>19000</v>
      </c>
      <c r="I146" s="237"/>
    </row>
    <row r="147" spans="1:9" ht="15" customHeight="1">
      <c r="A147" s="260"/>
      <c r="B147" s="239"/>
      <c r="C147" s="239"/>
      <c r="D147" s="120"/>
      <c r="E147" s="240"/>
      <c r="F147" s="241"/>
      <c r="G147" s="248"/>
      <c r="H147" s="241"/>
      <c r="I147" s="237"/>
    </row>
    <row r="148" spans="1:9" s="230" customFormat="1" ht="15" customHeight="1" thickBot="1">
      <c r="A148" s="258">
        <v>803</v>
      </c>
      <c r="B148" s="259"/>
      <c r="C148" s="259"/>
      <c r="D148" s="119" t="s">
        <v>153</v>
      </c>
      <c r="E148" s="227">
        <f>E149</f>
        <v>0</v>
      </c>
      <c r="F148" s="251">
        <f>F149</f>
        <v>571098</v>
      </c>
      <c r="G148" s="251">
        <f>G149</f>
        <v>0</v>
      </c>
      <c r="H148" s="251">
        <f>H149</f>
        <v>571098</v>
      </c>
      <c r="I148" s="229"/>
    </row>
    <row r="149" spans="1:9" ht="15" customHeight="1" thickBot="1">
      <c r="A149" s="260"/>
      <c r="B149" s="232" t="s">
        <v>237</v>
      </c>
      <c r="C149" s="262"/>
      <c r="D149" s="254" t="s">
        <v>154</v>
      </c>
      <c r="E149" s="235">
        <f>SUM(E150:E152)</f>
        <v>0</v>
      </c>
      <c r="F149" s="236">
        <f>SUM(F150:F152)</f>
        <v>571098</v>
      </c>
      <c r="G149" s="236">
        <f>SUM(G150:G152)</f>
        <v>0</v>
      </c>
      <c r="H149" s="236">
        <f>SUM(H150:H152)</f>
        <v>571098</v>
      </c>
      <c r="I149" s="237"/>
    </row>
    <row r="150" spans="1:9" ht="15" customHeight="1">
      <c r="A150" s="260"/>
      <c r="B150" s="239"/>
      <c r="C150" s="239" t="s">
        <v>462</v>
      </c>
      <c r="D150" s="120" t="s">
        <v>464</v>
      </c>
      <c r="E150" s="240">
        <v>0</v>
      </c>
      <c r="F150" s="241">
        <v>428324</v>
      </c>
      <c r="G150" s="248"/>
      <c r="H150" s="241">
        <f>F150+G150</f>
        <v>428324</v>
      </c>
      <c r="I150" s="237"/>
    </row>
    <row r="151" spans="1:9" ht="15" customHeight="1">
      <c r="A151" s="260"/>
      <c r="B151" s="239"/>
      <c r="C151" s="239"/>
      <c r="D151" s="120" t="s">
        <v>465</v>
      </c>
      <c r="E151" s="240"/>
      <c r="F151" s="241"/>
      <c r="G151" s="248"/>
      <c r="H151" s="241"/>
      <c r="I151" s="237"/>
    </row>
    <row r="152" spans="1:9" ht="15" customHeight="1">
      <c r="A152" s="260"/>
      <c r="B152" s="239"/>
      <c r="C152" s="239" t="s">
        <v>463</v>
      </c>
      <c r="D152" s="120" t="s">
        <v>464</v>
      </c>
      <c r="E152" s="240">
        <v>0</v>
      </c>
      <c r="F152" s="241">
        <v>142774</v>
      </c>
      <c r="G152" s="248"/>
      <c r="H152" s="241">
        <f>F152+G152</f>
        <v>142774</v>
      </c>
      <c r="I152" s="237"/>
    </row>
    <row r="153" spans="1:9" ht="15" customHeight="1">
      <c r="A153" s="260"/>
      <c r="B153" s="239"/>
      <c r="C153" s="239"/>
      <c r="D153" s="120" t="s">
        <v>465</v>
      </c>
      <c r="E153" s="240"/>
      <c r="F153" s="241"/>
      <c r="G153" s="248"/>
      <c r="H153" s="241"/>
      <c r="I153" s="237"/>
    </row>
    <row r="154" spans="1:9" ht="15" customHeight="1">
      <c r="A154" s="260"/>
      <c r="B154" s="239"/>
      <c r="C154" s="239"/>
      <c r="D154" s="120"/>
      <c r="E154" s="240"/>
      <c r="F154" s="241"/>
      <c r="G154" s="248"/>
      <c r="H154" s="241"/>
      <c r="I154" s="237"/>
    </row>
    <row r="155" spans="1:9" s="230" customFormat="1" ht="15" customHeight="1" thickBot="1">
      <c r="A155" s="258">
        <v>851</v>
      </c>
      <c r="B155" s="225"/>
      <c r="C155" s="225"/>
      <c r="D155" s="119" t="s">
        <v>156</v>
      </c>
      <c r="E155" s="227" t="e">
        <f>E165+E161+#REF!</f>
        <v>#REF!</v>
      </c>
      <c r="F155" s="251">
        <f>F165+F161+F156</f>
        <v>83342</v>
      </c>
      <c r="G155" s="251">
        <f>G165+G161+G156</f>
        <v>0</v>
      </c>
      <c r="H155" s="251">
        <f>H165+H161+H156</f>
        <v>83342</v>
      </c>
      <c r="I155" s="229"/>
    </row>
    <row r="156" spans="1:9" s="230" customFormat="1" ht="15" customHeight="1">
      <c r="A156" s="231"/>
      <c r="B156" s="787">
        <v>85111</v>
      </c>
      <c r="C156" s="793"/>
      <c r="D156" s="794" t="s">
        <v>703</v>
      </c>
      <c r="E156" s="795"/>
      <c r="F156" s="796">
        <f>F157</f>
        <v>13000</v>
      </c>
      <c r="G156" s="796">
        <f>G157</f>
        <v>0</v>
      </c>
      <c r="H156" s="796">
        <f>H157</f>
        <v>13000</v>
      </c>
      <c r="I156" s="229"/>
    </row>
    <row r="157" spans="1:9" s="230" customFormat="1" ht="15" customHeight="1">
      <c r="A157" s="231"/>
      <c r="B157" s="278"/>
      <c r="C157" s="238">
        <v>6610</v>
      </c>
      <c r="D157" s="90" t="s">
        <v>708</v>
      </c>
      <c r="E157" s="240"/>
      <c r="F157" s="241">
        <v>13000</v>
      </c>
      <c r="G157" s="241"/>
      <c r="H157" s="241">
        <f>F157+G157</f>
        <v>13000</v>
      </c>
      <c r="I157" s="229"/>
    </row>
    <row r="158" spans="1:9" s="230" customFormat="1" ht="15" customHeight="1">
      <c r="A158" s="231"/>
      <c r="B158" s="278"/>
      <c r="C158" s="238"/>
      <c r="D158" s="242" t="s">
        <v>709</v>
      </c>
      <c r="E158" s="240"/>
      <c r="F158" s="241"/>
      <c r="G158" s="241"/>
      <c r="H158" s="241"/>
      <c r="I158" s="229"/>
    </row>
    <row r="159" spans="1:9" s="230" customFormat="1" ht="15" customHeight="1">
      <c r="A159" s="231"/>
      <c r="B159" s="278"/>
      <c r="C159" s="238"/>
      <c r="D159" s="120" t="s">
        <v>710</v>
      </c>
      <c r="E159" s="240"/>
      <c r="F159" s="241"/>
      <c r="G159" s="241"/>
      <c r="H159" s="241"/>
      <c r="I159" s="229"/>
    </row>
    <row r="160" spans="1:9" s="230" customFormat="1" ht="15" customHeight="1">
      <c r="A160" s="231"/>
      <c r="B160" s="278"/>
      <c r="C160" s="238"/>
      <c r="D160" s="120"/>
      <c r="E160" s="240"/>
      <c r="F160" s="241"/>
      <c r="G160" s="241"/>
      <c r="H160" s="241"/>
      <c r="I160" s="229"/>
    </row>
    <row r="161" spans="1:9" ht="15" customHeight="1" thickBot="1">
      <c r="A161" s="231"/>
      <c r="B161" s="263">
        <v>85154</v>
      </c>
      <c r="C161" s="225"/>
      <c r="D161" s="246" t="s">
        <v>316</v>
      </c>
      <c r="E161" s="264">
        <f>E162</f>
        <v>15425</v>
      </c>
      <c r="F161" s="265">
        <f>F162</f>
        <v>13925</v>
      </c>
      <c r="G161" s="265">
        <f>G162</f>
        <v>0</v>
      </c>
      <c r="H161" s="265">
        <f>H162</f>
        <v>13925</v>
      </c>
      <c r="I161" s="237"/>
    </row>
    <row r="162" spans="1:9" ht="15" customHeight="1">
      <c r="A162" s="231"/>
      <c r="B162" s="250"/>
      <c r="C162" s="238">
        <v>2330</v>
      </c>
      <c r="D162" s="120" t="s">
        <v>317</v>
      </c>
      <c r="E162" s="240">
        <v>15425</v>
      </c>
      <c r="F162" s="241">
        <v>13925</v>
      </c>
      <c r="G162" s="248"/>
      <c r="H162" s="241">
        <f>F162+G162</f>
        <v>13925</v>
      </c>
      <c r="I162" s="237"/>
    </row>
    <row r="163" spans="1:9" ht="15" customHeight="1">
      <c r="A163" s="231"/>
      <c r="B163" s="257"/>
      <c r="C163" s="238"/>
      <c r="D163" s="120" t="s">
        <v>318</v>
      </c>
      <c r="E163" s="282"/>
      <c r="F163" s="228"/>
      <c r="G163" s="248"/>
      <c r="H163" s="241"/>
      <c r="I163" s="237"/>
    </row>
    <row r="164" spans="1:9" ht="15" customHeight="1">
      <c r="A164" s="231"/>
      <c r="B164" s="250"/>
      <c r="C164" s="238"/>
      <c r="D164" s="243"/>
      <c r="E164" s="282"/>
      <c r="F164" s="228"/>
      <c r="G164" s="248"/>
      <c r="H164" s="241"/>
      <c r="I164" s="237"/>
    </row>
    <row r="165" spans="1:9" ht="15" customHeight="1">
      <c r="A165" s="231"/>
      <c r="B165" s="238">
        <v>85156</v>
      </c>
      <c r="C165" s="283"/>
      <c r="D165" s="242" t="s">
        <v>319</v>
      </c>
      <c r="E165" s="240">
        <f>E167</f>
        <v>2529000</v>
      </c>
      <c r="F165" s="241">
        <f>F167</f>
        <v>56417</v>
      </c>
      <c r="G165" s="241">
        <f>G167</f>
        <v>0</v>
      </c>
      <c r="H165" s="241">
        <f>H167</f>
        <v>56417</v>
      </c>
      <c r="I165" s="237"/>
    </row>
    <row r="166" spans="1:9" ht="15" customHeight="1" thickBot="1">
      <c r="A166" s="231"/>
      <c r="B166" s="263"/>
      <c r="C166" s="284"/>
      <c r="D166" s="246" t="s">
        <v>320</v>
      </c>
      <c r="E166" s="264"/>
      <c r="F166" s="241"/>
      <c r="G166" s="247"/>
      <c r="H166" s="265"/>
      <c r="I166" s="237"/>
    </row>
    <row r="167" spans="1:9" ht="15" customHeight="1">
      <c r="A167" s="231"/>
      <c r="B167" s="250"/>
      <c r="C167" s="238">
        <v>2110</v>
      </c>
      <c r="D167" s="120" t="s">
        <v>260</v>
      </c>
      <c r="E167" s="240">
        <v>2529000</v>
      </c>
      <c r="F167" s="249">
        <v>56417</v>
      </c>
      <c r="G167" s="248"/>
      <c r="H167" s="241">
        <f>F167+G167</f>
        <v>56417</v>
      </c>
      <c r="I167" s="237"/>
    </row>
    <row r="168" spans="1:9" ht="15" customHeight="1">
      <c r="A168" s="231"/>
      <c r="B168" s="250"/>
      <c r="C168" s="238"/>
      <c r="D168" s="242" t="s">
        <v>288</v>
      </c>
      <c r="E168" s="282"/>
      <c r="F168" s="228"/>
      <c r="G168" s="248"/>
      <c r="H168" s="241"/>
      <c r="I168" s="237"/>
    </row>
    <row r="169" spans="1:9" ht="15" customHeight="1">
      <c r="A169" s="231"/>
      <c r="B169" s="250"/>
      <c r="C169" s="238"/>
      <c r="D169" s="120"/>
      <c r="E169" s="240"/>
      <c r="F169" s="241"/>
      <c r="G169" s="248"/>
      <c r="H169" s="241"/>
      <c r="I169" s="237"/>
    </row>
    <row r="170" spans="1:9" s="230" customFormat="1" ht="15" customHeight="1" thickBot="1">
      <c r="A170" s="258">
        <v>852</v>
      </c>
      <c r="B170" s="225"/>
      <c r="C170" s="225"/>
      <c r="D170" s="275" t="s">
        <v>162</v>
      </c>
      <c r="E170" s="227" t="e">
        <f>E171+E181+E196+E200+E207+E190+#REF!</f>
        <v>#REF!</v>
      </c>
      <c r="F170" s="251">
        <f>F171+F181+F196+F200+F207+F190+F210</f>
        <v>5913559</v>
      </c>
      <c r="G170" s="251">
        <f>G171+G181+G196+G200+G207+G190+G210</f>
        <v>453576</v>
      </c>
      <c r="H170" s="251">
        <f>H171+H181+H196+H200+H207+H190+H210</f>
        <v>6367135</v>
      </c>
      <c r="I170" s="229"/>
    </row>
    <row r="171" spans="1:9" ht="15" customHeight="1" thickBot="1">
      <c r="A171" s="260"/>
      <c r="B171" s="261">
        <v>85201</v>
      </c>
      <c r="C171" s="261"/>
      <c r="D171" s="246" t="s">
        <v>163</v>
      </c>
      <c r="E171" s="235">
        <f>SUM(E172:E179)</f>
        <v>461458</v>
      </c>
      <c r="F171" s="285">
        <f>SUM(F172:F179)</f>
        <v>419081</v>
      </c>
      <c r="G171" s="285">
        <f>SUM(G172:G179)</f>
        <v>51650</v>
      </c>
      <c r="H171" s="285">
        <f>SUM(H172:H179)</f>
        <v>470731</v>
      </c>
      <c r="I171" s="237"/>
    </row>
    <row r="172" spans="1:9" ht="15" customHeight="1">
      <c r="A172" s="260"/>
      <c r="B172" s="238"/>
      <c r="C172" s="239" t="s">
        <v>295</v>
      </c>
      <c r="D172" s="120" t="s">
        <v>309</v>
      </c>
      <c r="E172" s="240">
        <v>20615</v>
      </c>
      <c r="F172" s="241">
        <v>11000</v>
      </c>
      <c r="G172" s="248">
        <v>2000</v>
      </c>
      <c r="H172" s="241">
        <f>F172+G172</f>
        <v>13000</v>
      </c>
      <c r="I172" s="237"/>
    </row>
    <row r="173" spans="1:9" ht="15" customHeight="1">
      <c r="A173" s="260"/>
      <c r="B173" s="238"/>
      <c r="C173" s="239" t="s">
        <v>269</v>
      </c>
      <c r="D173" s="120" t="s">
        <v>270</v>
      </c>
      <c r="E173" s="240">
        <v>1883</v>
      </c>
      <c r="F173" s="241">
        <v>0</v>
      </c>
      <c r="G173" s="248"/>
      <c r="H173" s="241">
        <f>F173+G173</f>
        <v>0</v>
      </c>
      <c r="I173" s="237"/>
    </row>
    <row r="174" spans="1:9" ht="15" customHeight="1">
      <c r="A174" s="260"/>
      <c r="B174" s="238"/>
      <c r="C174" s="239" t="s">
        <v>760</v>
      </c>
      <c r="D174" s="90" t="s">
        <v>547</v>
      </c>
      <c r="E174" s="240"/>
      <c r="F174" s="241">
        <v>0</v>
      </c>
      <c r="G174" s="248"/>
      <c r="H174" s="241">
        <f>F174+G174</f>
        <v>0</v>
      </c>
      <c r="I174" s="237"/>
    </row>
    <row r="175" spans="1:9" ht="15" customHeight="1">
      <c r="A175" s="260"/>
      <c r="B175" s="238"/>
      <c r="C175" s="239"/>
      <c r="D175" s="90" t="s">
        <v>761</v>
      </c>
      <c r="E175" s="240"/>
      <c r="F175" s="241"/>
      <c r="G175" s="248"/>
      <c r="H175" s="241"/>
      <c r="I175" s="237"/>
    </row>
    <row r="176" spans="1:9" ht="15" customHeight="1">
      <c r="A176" s="260"/>
      <c r="B176" s="238"/>
      <c r="C176" s="239" t="s">
        <v>310</v>
      </c>
      <c r="D176" s="120" t="s">
        <v>311</v>
      </c>
      <c r="E176" s="240">
        <v>3000</v>
      </c>
      <c r="F176" s="241">
        <v>96777</v>
      </c>
      <c r="G176" s="248">
        <v>49650</v>
      </c>
      <c r="H176" s="241">
        <f>F176+G176</f>
        <v>146427</v>
      </c>
      <c r="I176" s="237"/>
    </row>
    <row r="177" spans="1:9" ht="15" customHeight="1">
      <c r="A177" s="260"/>
      <c r="B177" s="238"/>
      <c r="C177" s="239"/>
      <c r="D177" s="120" t="s">
        <v>312</v>
      </c>
      <c r="E177" s="240"/>
      <c r="F177" s="241"/>
      <c r="G177" s="248"/>
      <c r="H177" s="241">
        <f>F177+G177</f>
        <v>0</v>
      </c>
      <c r="I177" s="237"/>
    </row>
    <row r="178" spans="1:9" ht="15" customHeight="1">
      <c r="A178" s="260"/>
      <c r="B178" s="238"/>
      <c r="C178" s="239" t="s">
        <v>271</v>
      </c>
      <c r="D178" s="90" t="s">
        <v>272</v>
      </c>
      <c r="E178" s="240">
        <v>435960</v>
      </c>
      <c r="F178" s="241">
        <v>311304</v>
      </c>
      <c r="G178" s="248"/>
      <c r="H178" s="241">
        <f>F178+G178</f>
        <v>311304</v>
      </c>
      <c r="I178" s="237"/>
    </row>
    <row r="179" spans="1:9" ht="15" customHeight="1">
      <c r="A179" s="260"/>
      <c r="B179" s="238"/>
      <c r="C179" s="239"/>
      <c r="D179" s="242" t="s">
        <v>273</v>
      </c>
      <c r="E179" s="240"/>
      <c r="F179" s="241"/>
      <c r="G179" s="248"/>
      <c r="H179" s="241"/>
      <c r="I179" s="237"/>
    </row>
    <row r="180" spans="1:9" ht="15" customHeight="1">
      <c r="A180" s="260"/>
      <c r="B180" s="238"/>
      <c r="C180" s="238"/>
      <c r="D180" s="243"/>
      <c r="E180" s="240"/>
      <c r="F180" s="241"/>
      <c r="G180" s="248"/>
      <c r="H180" s="241"/>
      <c r="I180" s="237"/>
    </row>
    <row r="181" spans="1:9" ht="15" customHeight="1" thickBot="1">
      <c r="A181" s="260"/>
      <c r="B181" s="263">
        <v>85202</v>
      </c>
      <c r="C181" s="267"/>
      <c r="D181" s="246" t="s">
        <v>166</v>
      </c>
      <c r="E181" s="264">
        <f>SUM(E182:E187)</f>
        <v>4271052</v>
      </c>
      <c r="F181" s="265">
        <f>SUM(F182:F187)</f>
        <v>4838031</v>
      </c>
      <c r="G181" s="265">
        <f>SUM(G182:G187)</f>
        <v>239500</v>
      </c>
      <c r="H181" s="265">
        <f>SUM(H182:H187)</f>
        <v>5077531</v>
      </c>
      <c r="I181" s="237"/>
    </row>
    <row r="182" spans="1:9" ht="15" customHeight="1">
      <c r="A182" s="260"/>
      <c r="B182" s="238"/>
      <c r="C182" s="239" t="s">
        <v>252</v>
      </c>
      <c r="D182" s="120" t="s">
        <v>247</v>
      </c>
      <c r="E182" s="240">
        <v>1680708</v>
      </c>
      <c r="F182" s="241">
        <v>2058302</v>
      </c>
      <c r="G182" s="248">
        <f>60000+8000</f>
        <v>68000</v>
      </c>
      <c r="H182" s="241">
        <f aca="true" t="shared" si="3" ref="H182:H187">F182+G182</f>
        <v>2126302</v>
      </c>
      <c r="I182" s="237"/>
    </row>
    <row r="183" spans="1:9" ht="15" customHeight="1">
      <c r="A183" s="260"/>
      <c r="B183" s="238"/>
      <c r="C183" s="239" t="s">
        <v>292</v>
      </c>
      <c r="D183" s="120" t="s">
        <v>293</v>
      </c>
      <c r="E183" s="240"/>
      <c r="F183" s="241">
        <v>0</v>
      </c>
      <c r="G183" s="248">
        <v>35</v>
      </c>
      <c r="H183" s="241">
        <f t="shared" si="3"/>
        <v>35</v>
      </c>
      <c r="I183" s="237"/>
    </row>
    <row r="184" spans="1:9" ht="15" customHeight="1">
      <c r="A184" s="260"/>
      <c r="B184" s="238"/>
      <c r="C184" s="239" t="s">
        <v>321</v>
      </c>
      <c r="D184" s="120" t="s">
        <v>322</v>
      </c>
      <c r="E184" s="240"/>
      <c r="F184" s="241">
        <v>35</v>
      </c>
      <c r="G184" s="248">
        <v>-35</v>
      </c>
      <c r="H184" s="241">
        <f t="shared" si="3"/>
        <v>0</v>
      </c>
      <c r="I184" s="237"/>
    </row>
    <row r="185" spans="1:9" ht="15" customHeight="1">
      <c r="A185" s="260"/>
      <c r="B185" s="238"/>
      <c r="C185" s="239" t="s">
        <v>295</v>
      </c>
      <c r="D185" s="120" t="s">
        <v>309</v>
      </c>
      <c r="E185" s="240"/>
      <c r="F185" s="241">
        <v>1500</v>
      </c>
      <c r="G185" s="248"/>
      <c r="H185" s="241">
        <f t="shared" si="3"/>
        <v>1500</v>
      </c>
      <c r="I185" s="237"/>
    </row>
    <row r="186" spans="1:9" ht="15" customHeight="1">
      <c r="A186" s="260"/>
      <c r="B186" s="238"/>
      <c r="C186" s="239" t="s">
        <v>269</v>
      </c>
      <c r="D186" s="120" t="s">
        <v>270</v>
      </c>
      <c r="E186" s="240">
        <v>23420</v>
      </c>
      <c r="F186" s="241">
        <v>101892</v>
      </c>
      <c r="G186" s="248">
        <v>6000</v>
      </c>
      <c r="H186" s="241">
        <f t="shared" si="3"/>
        <v>107892</v>
      </c>
      <c r="I186" s="237"/>
    </row>
    <row r="187" spans="1:9" ht="15" customHeight="1">
      <c r="A187" s="260"/>
      <c r="B187" s="238"/>
      <c r="C187" s="238">
        <v>2130</v>
      </c>
      <c r="D187" s="120" t="s">
        <v>311</v>
      </c>
      <c r="E187" s="240">
        <v>2566924</v>
      </c>
      <c r="F187" s="241">
        <v>2676302</v>
      </c>
      <c r="G187" s="248">
        <v>165500</v>
      </c>
      <c r="H187" s="241">
        <f t="shared" si="3"/>
        <v>2841802</v>
      </c>
      <c r="I187" s="237"/>
    </row>
    <row r="188" spans="1:9" ht="15" customHeight="1">
      <c r="A188" s="260"/>
      <c r="B188" s="238"/>
      <c r="C188" s="238"/>
      <c r="D188" s="120" t="s">
        <v>312</v>
      </c>
      <c r="E188" s="266"/>
      <c r="F188" s="242"/>
      <c r="G188" s="248"/>
      <c r="H188" s="241"/>
      <c r="I188" s="237"/>
    </row>
    <row r="189" spans="1:9" ht="12.75">
      <c r="A189" s="260"/>
      <c r="B189" s="238"/>
      <c r="C189" s="238"/>
      <c r="D189" s="243"/>
      <c r="E189" s="266"/>
      <c r="F189" s="242"/>
      <c r="G189" s="248"/>
      <c r="H189" s="241"/>
      <c r="I189" s="237"/>
    </row>
    <row r="190" spans="1:9" ht="13.5" thickBot="1">
      <c r="A190" s="260"/>
      <c r="B190" s="263">
        <v>85203</v>
      </c>
      <c r="C190" s="267"/>
      <c r="D190" s="246" t="s">
        <v>169</v>
      </c>
      <c r="E190" s="286">
        <f>SUM(E191:E193)</f>
        <v>253094</v>
      </c>
      <c r="F190" s="287">
        <f>SUM(F191:F193)</f>
        <v>288735</v>
      </c>
      <c r="G190" s="293">
        <f>SUM(G191:G193)</f>
        <v>43200</v>
      </c>
      <c r="H190" s="293">
        <f>SUM(H191:H193)</f>
        <v>331935</v>
      </c>
      <c r="I190" s="237"/>
    </row>
    <row r="191" spans="1:9" ht="12.75">
      <c r="A191" s="260"/>
      <c r="B191" s="238"/>
      <c r="C191" s="239" t="s">
        <v>252</v>
      </c>
      <c r="D191" s="120" t="s">
        <v>247</v>
      </c>
      <c r="E191" s="288">
        <v>8704</v>
      </c>
      <c r="F191" s="289">
        <v>8704</v>
      </c>
      <c r="G191" s="248"/>
      <c r="H191" s="241">
        <f>F191+G191</f>
        <v>8704</v>
      </c>
      <c r="I191" s="237"/>
    </row>
    <row r="192" spans="1:9" ht="12.75">
      <c r="A192" s="260"/>
      <c r="B192" s="238"/>
      <c r="C192" s="239" t="s">
        <v>269</v>
      </c>
      <c r="D192" s="120" t="s">
        <v>270</v>
      </c>
      <c r="E192" s="288">
        <v>2890</v>
      </c>
      <c r="F192" s="287">
        <v>131</v>
      </c>
      <c r="G192" s="248"/>
      <c r="H192" s="241">
        <f>F192+G192</f>
        <v>131</v>
      </c>
      <c r="I192" s="237"/>
    </row>
    <row r="193" spans="1:9" ht="12.75">
      <c r="A193" s="260"/>
      <c r="B193" s="238"/>
      <c r="C193" s="238">
        <v>2110</v>
      </c>
      <c r="D193" s="242" t="s">
        <v>260</v>
      </c>
      <c r="E193" s="240">
        <v>241500</v>
      </c>
      <c r="F193" s="241">
        <v>279900</v>
      </c>
      <c r="G193" s="248">
        <v>43200</v>
      </c>
      <c r="H193" s="241">
        <f>F193+G193</f>
        <v>323100</v>
      </c>
      <c r="I193" s="237"/>
    </row>
    <row r="194" spans="1:9" ht="12.75" customHeight="1">
      <c r="A194" s="260"/>
      <c r="B194" s="238"/>
      <c r="C194" s="238"/>
      <c r="D194" s="242" t="s">
        <v>289</v>
      </c>
      <c r="E194" s="240"/>
      <c r="F194" s="241"/>
      <c r="G194" s="248"/>
      <c r="H194" s="241"/>
      <c r="I194" s="237"/>
    </row>
    <row r="195" spans="1:9" ht="12.75" customHeight="1">
      <c r="A195" s="260"/>
      <c r="B195" s="238"/>
      <c r="C195" s="238"/>
      <c r="D195" s="120"/>
      <c r="E195" s="240"/>
      <c r="F195" s="241"/>
      <c r="G195" s="248"/>
      <c r="H195" s="241"/>
      <c r="I195" s="237"/>
    </row>
    <row r="196" spans="1:9" ht="13.5" thickBot="1">
      <c r="A196" s="260"/>
      <c r="B196" s="263">
        <v>85204</v>
      </c>
      <c r="C196" s="267"/>
      <c r="D196" s="246" t="s">
        <v>171</v>
      </c>
      <c r="E196" s="264">
        <f>SUM(E197:E197)</f>
        <v>56600</v>
      </c>
      <c r="F196" s="265">
        <f>SUM(F197:F197)</f>
        <v>56600</v>
      </c>
      <c r="G196" s="265">
        <f>SUM(G197:G197)</f>
        <v>0</v>
      </c>
      <c r="H196" s="265">
        <f>SUM(H197:H197)</f>
        <v>56600</v>
      </c>
      <c r="I196" s="237"/>
    </row>
    <row r="197" spans="1:9" ht="12.75">
      <c r="A197" s="260"/>
      <c r="B197" s="238"/>
      <c r="C197" s="239" t="s">
        <v>271</v>
      </c>
      <c r="D197" s="90" t="s">
        <v>272</v>
      </c>
      <c r="E197" s="240">
        <v>56600</v>
      </c>
      <c r="F197" s="241">
        <v>56600</v>
      </c>
      <c r="G197" s="248"/>
      <c r="H197" s="241">
        <f>F197+G197</f>
        <v>56600</v>
      </c>
      <c r="I197" s="237"/>
    </row>
    <row r="198" spans="1:9" ht="12.75">
      <c r="A198" s="260"/>
      <c r="B198" s="238"/>
      <c r="C198" s="239"/>
      <c r="D198" s="242" t="s">
        <v>273</v>
      </c>
      <c r="E198" s="240"/>
      <c r="F198" s="241"/>
      <c r="G198" s="248"/>
      <c r="H198" s="241"/>
      <c r="I198" s="237"/>
    </row>
    <row r="199" spans="1:9" ht="12.75" customHeight="1">
      <c r="A199" s="260"/>
      <c r="B199" s="238"/>
      <c r="C199" s="239"/>
      <c r="D199" s="120"/>
      <c r="E199" s="240"/>
      <c r="F199" s="241"/>
      <c r="G199" s="248"/>
      <c r="H199" s="241"/>
      <c r="I199" s="237"/>
    </row>
    <row r="200" spans="1:9" ht="13.5" thickBot="1">
      <c r="A200" s="260"/>
      <c r="B200" s="263">
        <v>85218</v>
      </c>
      <c r="C200" s="267"/>
      <c r="D200" s="246" t="s">
        <v>172</v>
      </c>
      <c r="E200" s="264">
        <f>SUM(E201:E201)</f>
        <v>10700</v>
      </c>
      <c r="F200" s="241">
        <f>SUM(F201:F204)</f>
        <v>20000</v>
      </c>
      <c r="G200" s="265">
        <f>SUM(G201:G204)</f>
        <v>29700</v>
      </c>
      <c r="H200" s="265">
        <f>SUM(H201:H204)</f>
        <v>49700</v>
      </c>
      <c r="I200" s="237"/>
    </row>
    <row r="201" spans="1:9" ht="12.75">
      <c r="A201" s="260"/>
      <c r="B201" s="238"/>
      <c r="C201" s="239" t="s">
        <v>269</v>
      </c>
      <c r="D201" s="120" t="s">
        <v>270</v>
      </c>
      <c r="E201" s="240">
        <v>10700</v>
      </c>
      <c r="F201" s="249">
        <v>5000</v>
      </c>
      <c r="G201" s="248"/>
      <c r="H201" s="241">
        <f>F201+G201</f>
        <v>5000</v>
      </c>
      <c r="I201" s="237"/>
    </row>
    <row r="202" spans="1:9" ht="12.75">
      <c r="A202" s="260"/>
      <c r="B202" s="238"/>
      <c r="C202" s="238">
        <v>2110</v>
      </c>
      <c r="D202" s="242" t="s">
        <v>260</v>
      </c>
      <c r="E202" s="240"/>
      <c r="F202" s="241">
        <v>9000</v>
      </c>
      <c r="G202" s="248"/>
      <c r="H202" s="241">
        <f>F202+G202</f>
        <v>9000</v>
      </c>
      <c r="I202" s="237"/>
    </row>
    <row r="203" spans="1:9" ht="12.75">
      <c r="A203" s="260"/>
      <c r="B203" s="238"/>
      <c r="C203" s="238"/>
      <c r="D203" s="242" t="s">
        <v>289</v>
      </c>
      <c r="E203" s="240"/>
      <c r="F203" s="241"/>
      <c r="G203" s="248"/>
      <c r="H203" s="241"/>
      <c r="I203" s="237"/>
    </row>
    <row r="204" spans="1:9" ht="12.75">
      <c r="A204" s="260"/>
      <c r="B204" s="238"/>
      <c r="C204" s="238">
        <v>2130</v>
      </c>
      <c r="D204" s="120" t="s">
        <v>311</v>
      </c>
      <c r="E204" s="240"/>
      <c r="F204" s="241">
        <v>6000</v>
      </c>
      <c r="G204" s="248">
        <v>29700</v>
      </c>
      <c r="H204" s="241">
        <f>F204+G204</f>
        <v>35700</v>
      </c>
      <c r="I204" s="237"/>
    </row>
    <row r="205" spans="1:9" ht="12.75">
      <c r="A205" s="260"/>
      <c r="B205" s="238"/>
      <c r="C205" s="238"/>
      <c r="D205" s="120" t="s">
        <v>312</v>
      </c>
      <c r="E205" s="240"/>
      <c r="F205" s="241"/>
      <c r="G205" s="248"/>
      <c r="H205" s="241"/>
      <c r="I205" s="237"/>
    </row>
    <row r="206" spans="1:9" ht="14.25" customHeight="1">
      <c r="A206" s="260"/>
      <c r="B206" s="238"/>
      <c r="C206" s="238"/>
      <c r="D206" s="243"/>
      <c r="E206" s="240"/>
      <c r="F206" s="241"/>
      <c r="G206" s="248"/>
      <c r="H206" s="241"/>
      <c r="I206" s="237"/>
    </row>
    <row r="207" spans="1:9" ht="14.25" customHeight="1" thickBot="1">
      <c r="A207" s="260"/>
      <c r="B207" s="263">
        <v>85220</v>
      </c>
      <c r="C207" s="267"/>
      <c r="D207" s="246" t="s">
        <v>325</v>
      </c>
      <c r="E207" s="264" t="e">
        <f>E208+#REF!</f>
        <v>#REF!</v>
      </c>
      <c r="F207" s="265">
        <f>F208</f>
        <v>21112</v>
      </c>
      <c r="G207" s="265">
        <f>G208</f>
        <v>0</v>
      </c>
      <c r="H207" s="265">
        <f>H208</f>
        <v>21112</v>
      </c>
      <c r="I207" s="237"/>
    </row>
    <row r="208" spans="1:9" ht="14.25" customHeight="1">
      <c r="A208" s="260"/>
      <c r="B208" s="238"/>
      <c r="C208" s="239" t="s">
        <v>252</v>
      </c>
      <c r="D208" s="120" t="s">
        <v>247</v>
      </c>
      <c r="E208" s="240">
        <v>34216</v>
      </c>
      <c r="F208" s="241">
        <v>21112</v>
      </c>
      <c r="G208" s="248"/>
      <c r="H208" s="241">
        <f>F208+G208</f>
        <v>21112</v>
      </c>
      <c r="I208" s="237"/>
    </row>
    <row r="209" spans="1:9" ht="14.25" customHeight="1">
      <c r="A209" s="260"/>
      <c r="B209" s="238"/>
      <c r="C209" s="239"/>
      <c r="D209" s="120"/>
      <c r="E209" s="240"/>
      <c r="F209" s="241"/>
      <c r="G209" s="248"/>
      <c r="H209" s="241"/>
      <c r="I209" s="237"/>
    </row>
    <row r="210" spans="1:9" ht="14.25" customHeight="1" thickBot="1">
      <c r="A210" s="260"/>
      <c r="B210" s="263">
        <v>85295</v>
      </c>
      <c r="C210" s="245"/>
      <c r="D210" s="246" t="s">
        <v>60</v>
      </c>
      <c r="E210" s="264"/>
      <c r="F210" s="265">
        <f>SUM(F211:F213)</f>
        <v>270000</v>
      </c>
      <c r="G210" s="265">
        <f>SUM(G211:G213)</f>
        <v>89526</v>
      </c>
      <c r="H210" s="265">
        <f>SUM(H211:H213)</f>
        <v>359526</v>
      </c>
      <c r="I210" s="237"/>
    </row>
    <row r="211" spans="1:9" ht="14.25" customHeight="1">
      <c r="A211" s="260"/>
      <c r="B211" s="238"/>
      <c r="C211" s="239" t="s">
        <v>760</v>
      </c>
      <c r="D211" s="90" t="s">
        <v>547</v>
      </c>
      <c r="E211" s="240"/>
      <c r="F211" s="241">
        <v>130000</v>
      </c>
      <c r="G211" s="248">
        <v>89526</v>
      </c>
      <c r="H211" s="241">
        <f>F211+G211</f>
        <v>219526</v>
      </c>
      <c r="I211" s="237"/>
    </row>
    <row r="212" spans="1:9" ht="14.25" customHeight="1">
      <c r="A212" s="260"/>
      <c r="B212" s="238"/>
      <c r="C212" s="239"/>
      <c r="D212" s="90" t="s">
        <v>761</v>
      </c>
      <c r="E212" s="240"/>
      <c r="F212" s="241"/>
      <c r="G212" s="248"/>
      <c r="H212" s="241"/>
      <c r="I212" s="237"/>
    </row>
    <row r="213" spans="1:9" ht="14.25" customHeight="1">
      <c r="A213" s="260"/>
      <c r="B213" s="238"/>
      <c r="C213" s="239" t="s">
        <v>271</v>
      </c>
      <c r="D213" s="90" t="s">
        <v>272</v>
      </c>
      <c r="E213" s="240"/>
      <c r="F213" s="241">
        <v>140000</v>
      </c>
      <c r="G213" s="248"/>
      <c r="H213" s="241">
        <f>F213+G213</f>
        <v>140000</v>
      </c>
      <c r="I213" s="237"/>
    </row>
    <row r="214" spans="1:9" ht="14.25" customHeight="1">
      <c r="A214" s="260"/>
      <c r="B214" s="238"/>
      <c r="C214" s="239"/>
      <c r="D214" s="242" t="s">
        <v>273</v>
      </c>
      <c r="E214" s="240"/>
      <c r="F214" s="241"/>
      <c r="G214" s="248"/>
      <c r="H214" s="241"/>
      <c r="I214" s="237"/>
    </row>
    <row r="215" spans="1:9" ht="14.25" customHeight="1">
      <c r="A215" s="260"/>
      <c r="B215" s="238"/>
      <c r="C215" s="238"/>
      <c r="D215" s="120"/>
      <c r="E215" s="240"/>
      <c r="F215" s="241"/>
      <c r="G215" s="248"/>
      <c r="H215" s="241"/>
      <c r="I215" s="237"/>
    </row>
    <row r="216" spans="1:9" s="230" customFormat="1" ht="13.5" thickBot="1">
      <c r="A216" s="258">
        <v>853</v>
      </c>
      <c r="B216" s="225"/>
      <c r="C216" s="225"/>
      <c r="D216" s="119" t="s">
        <v>176</v>
      </c>
      <c r="E216" s="277" t="e">
        <f>E217+E221+#REF!+E224+#REF!</f>
        <v>#REF!</v>
      </c>
      <c r="F216" s="277">
        <f>F217+F221+F224</f>
        <v>735935</v>
      </c>
      <c r="G216" s="277">
        <f>G217+G221+G224</f>
        <v>8622</v>
      </c>
      <c r="H216" s="277">
        <f>H217+H221+H224</f>
        <v>744557</v>
      </c>
      <c r="I216" s="229"/>
    </row>
    <row r="217" spans="1:9" ht="13.5" thickBot="1">
      <c r="A217" s="260"/>
      <c r="B217" s="267">
        <v>85321</v>
      </c>
      <c r="C217" s="267"/>
      <c r="D217" s="246" t="s">
        <v>326</v>
      </c>
      <c r="E217" s="264">
        <f>E218</f>
        <v>274325</v>
      </c>
      <c r="F217" s="236">
        <f>F218</f>
        <v>332175</v>
      </c>
      <c r="G217" s="236">
        <f>G218</f>
        <v>0</v>
      </c>
      <c r="H217" s="236">
        <f>H218</f>
        <v>332175</v>
      </c>
      <c r="I217" s="237"/>
    </row>
    <row r="218" spans="1:9" ht="12.75">
      <c r="A218" s="260"/>
      <c r="B218" s="238"/>
      <c r="C218" s="238">
        <v>2110</v>
      </c>
      <c r="D218" s="120" t="s">
        <v>260</v>
      </c>
      <c r="E218" s="240">
        <v>274325</v>
      </c>
      <c r="F218" s="241">
        <v>332175</v>
      </c>
      <c r="G218" s="248"/>
      <c r="H218" s="241">
        <f>F218+G218</f>
        <v>332175</v>
      </c>
      <c r="I218" s="237"/>
    </row>
    <row r="219" spans="1:9" ht="12.75">
      <c r="A219" s="260"/>
      <c r="B219" s="238"/>
      <c r="C219" s="238"/>
      <c r="D219" s="242" t="s">
        <v>288</v>
      </c>
      <c r="E219" s="240"/>
      <c r="F219" s="241"/>
      <c r="G219" s="248"/>
      <c r="H219" s="241"/>
      <c r="I219" s="237"/>
    </row>
    <row r="220" spans="1:9" ht="12.75">
      <c r="A220" s="260"/>
      <c r="B220" s="238"/>
      <c r="C220" s="238"/>
      <c r="D220" s="243"/>
      <c r="E220" s="240"/>
      <c r="F220" s="241"/>
      <c r="G220" s="248"/>
      <c r="H220" s="241"/>
      <c r="I220" s="237"/>
    </row>
    <row r="221" spans="1:9" ht="13.5" thickBot="1">
      <c r="A221" s="260"/>
      <c r="B221" s="267">
        <v>85324</v>
      </c>
      <c r="C221" s="267"/>
      <c r="D221" s="246" t="s">
        <v>327</v>
      </c>
      <c r="E221" s="264">
        <f>SUM(E222:E222)</f>
        <v>51225</v>
      </c>
      <c r="F221" s="241">
        <f>SUM(F222:F222)</f>
        <v>45000</v>
      </c>
      <c r="G221" s="265">
        <f>SUM(G222:G222)</f>
        <v>8622</v>
      </c>
      <c r="H221" s="265">
        <f>SUM(H222:H222)</f>
        <v>53622</v>
      </c>
      <c r="I221" s="237"/>
    </row>
    <row r="222" spans="1:9" ht="12.75">
      <c r="A222" s="260"/>
      <c r="B222" s="238"/>
      <c r="C222" s="239" t="s">
        <v>269</v>
      </c>
      <c r="D222" s="120" t="s">
        <v>270</v>
      </c>
      <c r="E222" s="240">
        <v>51225</v>
      </c>
      <c r="F222" s="249">
        <v>45000</v>
      </c>
      <c r="G222" s="248">
        <v>8622</v>
      </c>
      <c r="H222" s="241">
        <f>F222+G222</f>
        <v>53622</v>
      </c>
      <c r="I222" s="237"/>
    </row>
    <row r="223" spans="1:9" ht="12.75">
      <c r="A223" s="260"/>
      <c r="B223" s="238"/>
      <c r="C223" s="239"/>
      <c r="D223" s="243"/>
      <c r="E223" s="240"/>
      <c r="F223" s="241"/>
      <c r="G223" s="248"/>
      <c r="H223" s="241"/>
      <c r="I223" s="237"/>
    </row>
    <row r="224" spans="1:9" ht="13.5" thickBot="1">
      <c r="A224" s="260"/>
      <c r="B224" s="263">
        <v>85395</v>
      </c>
      <c r="C224" s="245"/>
      <c r="D224" s="272" t="s">
        <v>60</v>
      </c>
      <c r="E224" s="264">
        <f>SUM(E225:E228)</f>
        <v>1244852</v>
      </c>
      <c r="F224" s="265">
        <f>SUM(F225:F228)</f>
        <v>358760</v>
      </c>
      <c r="G224" s="265">
        <f>SUM(G225:G228)</f>
        <v>0</v>
      </c>
      <c r="H224" s="265">
        <f>SUM(H225:H228)</f>
        <v>358760</v>
      </c>
      <c r="I224" s="237"/>
    </row>
    <row r="225" spans="1:9" ht="12.75">
      <c r="A225" s="260"/>
      <c r="B225" s="238"/>
      <c r="C225" s="239" t="s">
        <v>328</v>
      </c>
      <c r="D225" s="120" t="s">
        <v>323</v>
      </c>
      <c r="E225" s="240">
        <v>973417</v>
      </c>
      <c r="F225" s="241">
        <v>308849</v>
      </c>
      <c r="G225" s="248"/>
      <c r="H225" s="241">
        <f>F225+G225</f>
        <v>308849</v>
      </c>
      <c r="I225" s="237"/>
    </row>
    <row r="226" spans="1:9" ht="12.75">
      <c r="A226" s="260"/>
      <c r="B226" s="238"/>
      <c r="C226" s="239"/>
      <c r="D226" s="120" t="s">
        <v>324</v>
      </c>
      <c r="E226" s="240"/>
      <c r="F226" s="241"/>
      <c r="G226" s="248"/>
      <c r="H226" s="241"/>
      <c r="I226" s="237"/>
    </row>
    <row r="227" spans="1:9" ht="12.75">
      <c r="A227" s="260"/>
      <c r="B227" s="238"/>
      <c r="C227" s="239" t="s">
        <v>329</v>
      </c>
      <c r="D227" s="120" t="s">
        <v>323</v>
      </c>
      <c r="E227" s="240">
        <v>271435</v>
      </c>
      <c r="F227" s="241">
        <v>49911</v>
      </c>
      <c r="G227" s="248"/>
      <c r="H227" s="241">
        <f>F227+G227</f>
        <v>49911</v>
      </c>
      <c r="I227" s="237"/>
    </row>
    <row r="228" spans="1:9" ht="12.75">
      <c r="A228" s="260"/>
      <c r="B228" s="238"/>
      <c r="C228" s="239"/>
      <c r="D228" s="120" t="s">
        <v>324</v>
      </c>
      <c r="E228" s="240"/>
      <c r="F228" s="241"/>
      <c r="G228" s="248"/>
      <c r="H228" s="241"/>
      <c r="I228" s="237"/>
    </row>
    <row r="229" spans="1:9" ht="12.75">
      <c r="A229" s="260"/>
      <c r="B229" s="238"/>
      <c r="C229" s="239"/>
      <c r="D229" s="242"/>
      <c r="E229" s="240"/>
      <c r="F229" s="241"/>
      <c r="G229" s="248"/>
      <c r="H229" s="241"/>
      <c r="I229" s="237"/>
    </row>
    <row r="230" spans="1:9" s="230" customFormat="1" ht="14.25" customHeight="1" thickBot="1">
      <c r="A230" s="291">
        <v>854</v>
      </c>
      <c r="B230" s="274"/>
      <c r="C230" s="274"/>
      <c r="D230" s="275" t="s">
        <v>180</v>
      </c>
      <c r="E230" s="290" t="e">
        <f>E236+E239+E248+#REF!</f>
        <v>#REF!</v>
      </c>
      <c r="F230" s="277">
        <f>F236+F239+F248+F231</f>
        <v>436682</v>
      </c>
      <c r="G230" s="277">
        <f>G236+G239+G248+G231</f>
        <v>26315</v>
      </c>
      <c r="H230" s="277">
        <f>H236+H239+H248+H231</f>
        <v>462997</v>
      </c>
      <c r="I230" s="229"/>
    </row>
    <row r="231" spans="1:9" s="230" customFormat="1" ht="14.25" customHeight="1">
      <c r="A231" s="292"/>
      <c r="B231" s="787">
        <v>85406</v>
      </c>
      <c r="C231" s="787"/>
      <c r="D231" s="788" t="s">
        <v>699</v>
      </c>
      <c r="E231" s="789"/>
      <c r="F231" s="790">
        <f>SUM(F232:F233)</f>
        <v>1250</v>
      </c>
      <c r="G231" s="790">
        <f>SUM(G232:G233)</f>
        <v>5515</v>
      </c>
      <c r="H231" s="790">
        <f>SUM(H232:H233)</f>
        <v>6765</v>
      </c>
      <c r="I231" s="229"/>
    </row>
    <row r="232" spans="1:9" s="230" customFormat="1" ht="14.25" customHeight="1">
      <c r="A232" s="292"/>
      <c r="B232" s="278"/>
      <c r="C232" s="279" t="s">
        <v>269</v>
      </c>
      <c r="D232" s="242" t="s">
        <v>270</v>
      </c>
      <c r="E232" s="288"/>
      <c r="F232" s="287">
        <v>1250</v>
      </c>
      <c r="G232" s="287"/>
      <c r="H232" s="287">
        <f>F232+G232</f>
        <v>1250</v>
      </c>
      <c r="I232" s="229"/>
    </row>
    <row r="233" spans="1:9" s="230" customFormat="1" ht="14.25" customHeight="1">
      <c r="A233" s="292"/>
      <c r="B233" s="278"/>
      <c r="C233" s="238">
        <v>2130</v>
      </c>
      <c r="D233" s="120" t="s">
        <v>746</v>
      </c>
      <c r="E233" s="288"/>
      <c r="F233" s="287">
        <v>0</v>
      </c>
      <c r="G233" s="287">
        <v>5515</v>
      </c>
      <c r="H233" s="287">
        <f>F233+G233</f>
        <v>5515</v>
      </c>
      <c r="I233" s="229"/>
    </row>
    <row r="234" spans="1:9" s="230" customFormat="1" ht="14.25" customHeight="1">
      <c r="A234" s="292"/>
      <c r="B234" s="278"/>
      <c r="C234" s="238"/>
      <c r="D234" s="120" t="s">
        <v>747</v>
      </c>
      <c r="E234" s="288"/>
      <c r="F234" s="287"/>
      <c r="G234" s="287"/>
      <c r="H234" s="287"/>
      <c r="I234" s="229"/>
    </row>
    <row r="235" spans="1:9" s="230" customFormat="1" ht="14.25" customHeight="1">
      <c r="A235" s="292"/>
      <c r="B235" s="278"/>
      <c r="C235" s="278"/>
      <c r="D235" s="242"/>
      <c r="E235" s="288"/>
      <c r="F235" s="287"/>
      <c r="G235" s="287"/>
      <c r="H235" s="287"/>
      <c r="I235" s="229"/>
    </row>
    <row r="236" spans="1:9" ht="14.25" customHeight="1" thickBot="1">
      <c r="A236" s="292"/>
      <c r="B236" s="263">
        <v>85410</v>
      </c>
      <c r="C236" s="263"/>
      <c r="D236" s="272" t="s">
        <v>183</v>
      </c>
      <c r="E236" s="264">
        <f>E237</f>
        <v>139793</v>
      </c>
      <c r="F236" s="265">
        <f>F237</f>
        <v>111580</v>
      </c>
      <c r="G236" s="265">
        <f>G237</f>
        <v>0</v>
      </c>
      <c r="H236" s="265">
        <f>H237</f>
        <v>111580</v>
      </c>
      <c r="I236" s="237"/>
    </row>
    <row r="237" spans="1:9" ht="14.25" customHeight="1">
      <c r="A237" s="292"/>
      <c r="B237" s="257"/>
      <c r="C237" s="279" t="s">
        <v>252</v>
      </c>
      <c r="D237" s="242" t="s">
        <v>247</v>
      </c>
      <c r="E237" s="240">
        <v>139793</v>
      </c>
      <c r="F237" s="241">
        <v>111580</v>
      </c>
      <c r="G237" s="248"/>
      <c r="H237" s="241">
        <f>F237+G237</f>
        <v>111580</v>
      </c>
      <c r="I237" s="237"/>
    </row>
    <row r="238" spans="1:9" ht="14.25" customHeight="1">
      <c r="A238" s="292"/>
      <c r="B238" s="257"/>
      <c r="C238" s="278"/>
      <c r="D238" s="242"/>
      <c r="E238" s="240"/>
      <c r="F238" s="241"/>
      <c r="G238" s="248"/>
      <c r="H238" s="241"/>
      <c r="I238" s="237"/>
    </row>
    <row r="239" spans="1:9" ht="14.25" customHeight="1" thickBot="1">
      <c r="A239" s="292"/>
      <c r="B239" s="263">
        <v>85415</v>
      </c>
      <c r="C239" s="267"/>
      <c r="D239" s="246" t="s">
        <v>185</v>
      </c>
      <c r="E239" s="264">
        <f>SUM(E243:E246)</f>
        <v>0</v>
      </c>
      <c r="F239" s="265">
        <f>SUM(F240:F246)</f>
        <v>227000</v>
      </c>
      <c r="G239" s="265">
        <f>SUM(G240:G246)</f>
        <v>20800</v>
      </c>
      <c r="H239" s="265">
        <f>SUM(H240:H245)</f>
        <v>247800</v>
      </c>
      <c r="I239" s="237"/>
    </row>
    <row r="240" spans="1:9" ht="14.25" customHeight="1">
      <c r="A240" s="292"/>
      <c r="B240" s="278"/>
      <c r="C240" s="279" t="s">
        <v>269</v>
      </c>
      <c r="D240" s="242" t="s">
        <v>270</v>
      </c>
      <c r="E240" s="240"/>
      <c r="F240" s="241">
        <v>1920</v>
      </c>
      <c r="G240" s="248"/>
      <c r="H240" s="241">
        <f>F240+G240</f>
        <v>1920</v>
      </c>
      <c r="I240" s="237"/>
    </row>
    <row r="241" spans="1:9" ht="14.25" customHeight="1">
      <c r="A241" s="292"/>
      <c r="B241" s="278"/>
      <c r="C241" s="238">
        <v>2130</v>
      </c>
      <c r="D241" s="120" t="s">
        <v>746</v>
      </c>
      <c r="E241" s="240"/>
      <c r="F241" s="241">
        <v>71200</v>
      </c>
      <c r="G241" s="248">
        <v>20800</v>
      </c>
      <c r="H241" s="241">
        <f>F241+G241</f>
        <v>92000</v>
      </c>
      <c r="I241" s="237"/>
    </row>
    <row r="242" spans="1:9" ht="14.25" customHeight="1">
      <c r="A242" s="292"/>
      <c r="B242" s="278"/>
      <c r="C242" s="238"/>
      <c r="D242" s="120" t="s">
        <v>747</v>
      </c>
      <c r="E242" s="240"/>
      <c r="F242" s="241"/>
      <c r="G242" s="248"/>
      <c r="H242" s="241"/>
      <c r="I242" s="237"/>
    </row>
    <row r="243" spans="1:9" ht="14.25" customHeight="1">
      <c r="A243" s="292"/>
      <c r="B243" s="278"/>
      <c r="C243" s="239" t="s">
        <v>462</v>
      </c>
      <c r="D243" s="120" t="s">
        <v>464</v>
      </c>
      <c r="E243" s="240">
        <v>0</v>
      </c>
      <c r="F243" s="241">
        <v>104638</v>
      </c>
      <c r="G243" s="248"/>
      <c r="H243" s="241">
        <f>F243+G243</f>
        <v>104638</v>
      </c>
      <c r="I243" s="237"/>
    </row>
    <row r="244" spans="1:9" ht="14.25" customHeight="1">
      <c r="A244" s="292"/>
      <c r="B244" s="278"/>
      <c r="C244" s="239"/>
      <c r="D244" s="120" t="s">
        <v>465</v>
      </c>
      <c r="E244" s="240"/>
      <c r="F244" s="241"/>
      <c r="G244" s="248"/>
      <c r="H244" s="241"/>
      <c r="I244" s="237"/>
    </row>
    <row r="245" spans="1:9" ht="14.25" customHeight="1">
      <c r="A245" s="292"/>
      <c r="B245" s="278"/>
      <c r="C245" s="239" t="s">
        <v>463</v>
      </c>
      <c r="D245" s="120" t="s">
        <v>464</v>
      </c>
      <c r="E245" s="240">
        <v>0</v>
      </c>
      <c r="F245" s="241">
        <v>49242</v>
      </c>
      <c r="G245" s="248"/>
      <c r="H245" s="241">
        <f>F245+G245</f>
        <v>49242</v>
      </c>
      <c r="I245" s="237"/>
    </row>
    <row r="246" spans="1:9" ht="14.25" customHeight="1">
      <c r="A246" s="292"/>
      <c r="B246" s="278"/>
      <c r="C246" s="239"/>
      <c r="D246" s="120" t="s">
        <v>465</v>
      </c>
      <c r="E246" s="240"/>
      <c r="F246" s="241"/>
      <c r="G246" s="248"/>
      <c r="H246" s="241"/>
      <c r="I246" s="237"/>
    </row>
    <row r="247" spans="1:9" ht="14.25" customHeight="1">
      <c r="A247" s="292"/>
      <c r="B247" s="257"/>
      <c r="C247" s="238"/>
      <c r="D247" s="243"/>
      <c r="E247" s="240"/>
      <c r="F247" s="241"/>
      <c r="G247" s="248"/>
      <c r="H247" s="241"/>
      <c r="I247" s="237"/>
    </row>
    <row r="248" spans="1:9" ht="14.25" customHeight="1" thickBot="1">
      <c r="A248" s="292"/>
      <c r="B248" s="263">
        <v>85420</v>
      </c>
      <c r="C248" s="267"/>
      <c r="D248" s="246" t="s">
        <v>188</v>
      </c>
      <c r="E248" s="264">
        <f>SUM(E252:E253)</f>
        <v>71633</v>
      </c>
      <c r="F248" s="265">
        <f>SUM(F249:F255)</f>
        <v>96852</v>
      </c>
      <c r="G248" s="265">
        <f>SUM(G249:G255)</f>
        <v>0</v>
      </c>
      <c r="H248" s="265">
        <f>SUM(H249:H255)</f>
        <v>96852</v>
      </c>
      <c r="I248" s="237"/>
    </row>
    <row r="249" spans="1:9" ht="14.25" customHeight="1">
      <c r="A249" s="292"/>
      <c r="B249" s="278"/>
      <c r="C249" s="239" t="s">
        <v>267</v>
      </c>
      <c r="D249" s="120" t="s">
        <v>268</v>
      </c>
      <c r="E249" s="240"/>
      <c r="F249" s="241">
        <v>28</v>
      </c>
      <c r="G249" s="248"/>
      <c r="H249" s="241">
        <f>F249+G249</f>
        <v>28</v>
      </c>
      <c r="I249" s="237"/>
    </row>
    <row r="250" spans="1:9" ht="14.25" customHeight="1">
      <c r="A250" s="292"/>
      <c r="B250" s="278"/>
      <c r="C250" s="239" t="s">
        <v>262</v>
      </c>
      <c r="D250" s="813" t="s">
        <v>719</v>
      </c>
      <c r="E250" s="240"/>
      <c r="F250" s="241">
        <v>16000</v>
      </c>
      <c r="G250" s="248"/>
      <c r="H250" s="241">
        <f>F250+G250</f>
        <v>16000</v>
      </c>
      <c r="I250" s="237"/>
    </row>
    <row r="251" spans="1:9" ht="14.25" customHeight="1">
      <c r="A251" s="292"/>
      <c r="B251" s="278"/>
      <c r="C251" s="239"/>
      <c r="D251" s="813" t="s">
        <v>720</v>
      </c>
      <c r="E251" s="240"/>
      <c r="F251" s="241"/>
      <c r="G251" s="248"/>
      <c r="H251" s="241"/>
      <c r="I251" s="237"/>
    </row>
    <row r="252" spans="1:9" ht="14.25" customHeight="1">
      <c r="A252" s="292"/>
      <c r="B252" s="257"/>
      <c r="C252" s="239" t="s">
        <v>252</v>
      </c>
      <c r="D252" s="120" t="s">
        <v>247</v>
      </c>
      <c r="E252" s="240">
        <v>62000</v>
      </c>
      <c r="F252" s="241">
        <v>46000</v>
      </c>
      <c r="G252" s="248"/>
      <c r="H252" s="241">
        <f>F252+G252</f>
        <v>46000</v>
      </c>
      <c r="I252" s="237"/>
    </row>
    <row r="253" spans="1:9" ht="14.25" customHeight="1">
      <c r="A253" s="292"/>
      <c r="B253" s="257"/>
      <c r="C253" s="239" t="s">
        <v>321</v>
      </c>
      <c r="D253" s="120" t="s">
        <v>322</v>
      </c>
      <c r="E253" s="240">
        <v>9633</v>
      </c>
      <c r="F253" s="241">
        <v>8540</v>
      </c>
      <c r="G253" s="248"/>
      <c r="H253" s="241">
        <f>F253+G253</f>
        <v>8540</v>
      </c>
      <c r="I253" s="237"/>
    </row>
    <row r="254" spans="1:9" ht="14.25" customHeight="1">
      <c r="A254" s="292"/>
      <c r="B254" s="257"/>
      <c r="C254" s="239" t="s">
        <v>295</v>
      </c>
      <c r="D254" s="120" t="s">
        <v>309</v>
      </c>
      <c r="E254" s="240"/>
      <c r="F254" s="241">
        <v>13000</v>
      </c>
      <c r="G254" s="248"/>
      <c r="H254" s="241">
        <f>F254+G254</f>
        <v>13000</v>
      </c>
      <c r="I254" s="237"/>
    </row>
    <row r="255" spans="1:9" ht="14.25" customHeight="1">
      <c r="A255" s="292"/>
      <c r="B255" s="257"/>
      <c r="C255" s="239" t="s">
        <v>269</v>
      </c>
      <c r="D255" s="120" t="s">
        <v>270</v>
      </c>
      <c r="E255" s="240"/>
      <c r="F255" s="241">
        <v>13284</v>
      </c>
      <c r="G255" s="248"/>
      <c r="H255" s="241">
        <f>F255+G255</f>
        <v>13284</v>
      </c>
      <c r="I255" s="237"/>
    </row>
    <row r="256" spans="1:9" ht="13.5" customHeight="1" thickBot="1">
      <c r="A256" s="292"/>
      <c r="B256" s="257"/>
      <c r="C256" s="239"/>
      <c r="D256" s="120"/>
      <c r="E256" s="240"/>
      <c r="F256" s="241"/>
      <c r="G256" s="248"/>
      <c r="H256" s="241"/>
      <c r="I256" s="237"/>
    </row>
    <row r="257" spans="1:9" s="230" customFormat="1" ht="13.5" thickBot="1">
      <c r="A257" s="895" t="s">
        <v>330</v>
      </c>
      <c r="B257" s="896"/>
      <c r="C257" s="896"/>
      <c r="D257" s="897"/>
      <c r="E257" s="294" t="e">
        <f>E230+E216+E170+E155+E120+E103+E97+E64+E51+E32+E25+E21+E12+E91+E148+#REF!</f>
        <v>#REF!</v>
      </c>
      <c r="F257" s="295">
        <f>F230+F216+F170+F155+F120+F103+F97+F64+F51+F32+F25+F21+F12+F91+F148+F87</f>
        <v>33993858</v>
      </c>
      <c r="G257" s="295">
        <f>G230+G216+G170+G155+G120+G103+G97+G64+G51+G32+G25+G21+G12+G91+G148+G87</f>
        <v>1563009</v>
      </c>
      <c r="H257" s="855">
        <f>H230+H216+H170+H155+H120+H103+H97+H64+H51+H32+H25+H21+H12+H91+H148+H87</f>
        <v>35556867</v>
      </c>
      <c r="I257" s="229"/>
    </row>
    <row r="258" spans="1:9" s="230" customFormat="1" ht="12.75">
      <c r="A258" s="296"/>
      <c r="B258" s="296"/>
      <c r="C258" s="296"/>
      <c r="D258" s="579" t="s">
        <v>331</v>
      </c>
      <c r="E258" s="593" t="e">
        <f>SUM(E259:E261)</f>
        <v>#REF!</v>
      </c>
      <c r="F258" s="593">
        <f>SUM(F259:F261)</f>
        <v>9131767</v>
      </c>
      <c r="G258" s="593">
        <f>SUM(G259:G261)</f>
        <v>149879</v>
      </c>
      <c r="H258" s="856">
        <f>SUM(H259:H261)</f>
        <v>9281646</v>
      </c>
      <c r="I258" s="229"/>
    </row>
    <row r="259" spans="1:9" s="230" customFormat="1" ht="12.75">
      <c r="A259" s="296"/>
      <c r="B259" s="296"/>
      <c r="C259" s="296"/>
      <c r="D259" s="580" t="s">
        <v>332</v>
      </c>
      <c r="E259" s="581" t="e">
        <f>E100+#REF!</f>
        <v>#REF!</v>
      </c>
      <c r="F259" s="581">
        <f>F100+F101</f>
        <v>3561796</v>
      </c>
      <c r="G259" s="581">
        <f>G100+G101</f>
        <v>0</v>
      </c>
      <c r="H259" s="851">
        <f>H100+H101</f>
        <v>3561796</v>
      </c>
      <c r="I259" s="229"/>
    </row>
    <row r="260" spans="1:9" s="230" customFormat="1" ht="12.75">
      <c r="A260" s="296"/>
      <c r="B260" s="296"/>
      <c r="C260" s="296"/>
      <c r="D260" s="580" t="s">
        <v>333</v>
      </c>
      <c r="E260" s="581" t="e">
        <f>#REF!+#REF!+E39+E37+E34+E28+E18</f>
        <v>#REF!</v>
      </c>
      <c r="F260" s="581">
        <f>F39+F37+F34+F28+F18+F250+F253+F184+F126+F72</f>
        <v>1672001</v>
      </c>
      <c r="G260" s="581">
        <f>G39+G37+G34+G28+G18+G250+G253+G184+G126+G72</f>
        <v>26089</v>
      </c>
      <c r="H260" s="850">
        <f>H39+H37+H34+H28+H18+H250+H253+H184+H126+H72</f>
        <v>1698090</v>
      </c>
      <c r="I260" s="229"/>
    </row>
    <row r="261" spans="1:9" s="230" customFormat="1" ht="13.5" thickBot="1">
      <c r="A261" s="296"/>
      <c r="B261" s="296"/>
      <c r="C261" s="296"/>
      <c r="D261" s="580" t="s">
        <v>334</v>
      </c>
      <c r="E261" s="581" t="e">
        <f>E257-E259-E260-E262-E267-#REF!-E268</f>
        <v>#REF!</v>
      </c>
      <c r="F261" s="581">
        <f>F257-F259-F260-F262-F267-F268</f>
        <v>3897970</v>
      </c>
      <c r="G261" s="581">
        <f>G257-G259-G260-G262-G267-G268</f>
        <v>123790</v>
      </c>
      <c r="H261" s="850">
        <f>H257-H259-H260-H262-H267-H268</f>
        <v>4021760</v>
      </c>
      <c r="I261" s="229"/>
    </row>
    <row r="262" spans="1:9" ht="12.75">
      <c r="A262" s="90"/>
      <c r="B262" s="90"/>
      <c r="C262" s="762"/>
      <c r="D262" s="582" t="s">
        <v>335</v>
      </c>
      <c r="E262" s="583" t="e">
        <f>SUM(E263:E266)</f>
        <v>#REF!</v>
      </c>
      <c r="F262" s="583">
        <f>SUM(F263:F266)</f>
        <v>5825244</v>
      </c>
      <c r="G262" s="583">
        <f>SUM(G263:G266)</f>
        <v>428891</v>
      </c>
      <c r="H262" s="852">
        <f>SUM(H263:H266)</f>
        <v>6254135</v>
      </c>
      <c r="I262" s="237"/>
    </row>
    <row r="263" spans="1:9" ht="12.75">
      <c r="A263" s="90"/>
      <c r="B263" s="90"/>
      <c r="C263" s="762"/>
      <c r="D263" s="584" t="s">
        <v>336</v>
      </c>
      <c r="E263" s="585" t="e">
        <f>E187+#REF!+#REF!+#REF!+#REF!+E176</f>
        <v>#REF!</v>
      </c>
      <c r="F263" s="585">
        <f>F187+F176+F241+F204+F142+F233</f>
        <v>2858591</v>
      </c>
      <c r="G263" s="585">
        <f>G187+G176+G241+G204+G142+G233</f>
        <v>286165</v>
      </c>
      <c r="H263" s="585">
        <f>H187+H176+H241+H204+H142+H233</f>
        <v>3144756</v>
      </c>
      <c r="I263" s="273"/>
    </row>
    <row r="264" spans="1:9" ht="12.75">
      <c r="A264" s="90"/>
      <c r="B264" s="90"/>
      <c r="C264" s="762"/>
      <c r="D264" s="584" t="s">
        <v>337</v>
      </c>
      <c r="E264" s="586" t="e">
        <f>E193+E167+E81+E66+#REF!+E61+E57+E53+E41+E14+E218+E93+#REF!+#REF!</f>
        <v>#REF!</v>
      </c>
      <c r="F264" s="586">
        <f>F193+F167+F81+F66+F61+F57+F53+F41+F14+F218+F93+F202</f>
        <v>1218086</v>
      </c>
      <c r="G264" s="586">
        <f>G193+G167+G81+G66+G61+G57+G53+G41+G14+G218+G93+G202</f>
        <v>43200</v>
      </c>
      <c r="H264" s="853">
        <f>H193+H167+H81+H66+H61+H57+H53+H41+H14+H218+H93+H202</f>
        <v>1261286</v>
      </c>
      <c r="I264" s="237"/>
    </row>
    <row r="265" spans="1:9" ht="12.75">
      <c r="A265" s="90"/>
      <c r="B265" s="90"/>
      <c r="C265" s="762"/>
      <c r="D265" s="584" t="s">
        <v>338</v>
      </c>
      <c r="E265" s="586" t="e">
        <f>E197+E162+E178+#REF!+#REF!+#REF!+#REF!+#REF!+#REF!+#REF!+#REF!+#REF!+E243+E245+E150+E152+#REF!</f>
        <v>#REF!</v>
      </c>
      <c r="F265" s="586">
        <f>F197+F162+F178+F243+F245+F150+F152+F213+F157+F134</f>
        <v>1259807</v>
      </c>
      <c r="G265" s="586">
        <f>G197+G162+G178+G243+G245+G150+G152+G213+G157+G134</f>
        <v>10000</v>
      </c>
      <c r="H265" s="586">
        <f>H197+H162+H178+H243+H245+H150+H152+H213+H157+H134</f>
        <v>1269807</v>
      </c>
      <c r="I265" s="237"/>
    </row>
    <row r="266" spans="1:9" ht="13.5" thickBot="1">
      <c r="A266" s="90"/>
      <c r="B266" s="90"/>
      <c r="C266" s="762"/>
      <c r="D266" s="587" t="s">
        <v>339</v>
      </c>
      <c r="E266" s="588" t="e">
        <f>#REF!+#REF!+#REF!+E225+E227</f>
        <v>#REF!</v>
      </c>
      <c r="F266" s="588">
        <f>F225+F227+F211+F174</f>
        <v>488760</v>
      </c>
      <c r="G266" s="588">
        <f>G225+G227+G211+G174</f>
        <v>89526</v>
      </c>
      <c r="H266" s="857">
        <f>H225+H227+H211+H174</f>
        <v>578286</v>
      </c>
      <c r="I266" s="237"/>
    </row>
    <row r="267" spans="1:9" ht="13.5" thickBot="1">
      <c r="A267" s="90"/>
      <c r="B267" s="90"/>
      <c r="C267" s="762"/>
      <c r="D267" s="589" t="s">
        <v>340</v>
      </c>
      <c r="E267" s="590" t="e">
        <f>E105+#REF!+E112+E118</f>
        <v>#REF!</v>
      </c>
      <c r="F267" s="590">
        <f>F105+F112+F118+F107</f>
        <v>18822295</v>
      </c>
      <c r="G267" s="590">
        <f>G105+G112+G118+G107</f>
        <v>981731</v>
      </c>
      <c r="H267" s="590">
        <f>H105+H112+H118+H107</f>
        <v>19804026</v>
      </c>
      <c r="I267" s="237"/>
    </row>
    <row r="268" spans="1:8" ht="13.5" thickBot="1">
      <c r="A268" s="109"/>
      <c r="B268" s="109"/>
      <c r="C268" s="130"/>
      <c r="D268" s="591" t="s">
        <v>369</v>
      </c>
      <c r="E268" s="592" t="e">
        <f>#REF!+E23</f>
        <v>#REF!</v>
      </c>
      <c r="F268" s="592">
        <f>F23+F138+F45+F47+F132</f>
        <v>214552</v>
      </c>
      <c r="G268" s="592">
        <f>G23+G138+G45+G47+G132</f>
        <v>2508</v>
      </c>
      <c r="H268" s="858">
        <f>H23+H138+H45+H47+H132</f>
        <v>217060</v>
      </c>
    </row>
    <row r="269" spans="1:5" ht="12.75">
      <c r="A269" s="92"/>
      <c r="B269" s="92"/>
      <c r="C269" s="135"/>
      <c r="D269" s="92"/>
      <c r="E269" s="92"/>
    </row>
    <row r="270" spans="1:5" ht="12.75">
      <c r="A270" s="92"/>
      <c r="B270" s="92"/>
      <c r="C270" s="135"/>
      <c r="D270" s="92"/>
      <c r="E270" s="92"/>
    </row>
    <row r="271" spans="1:5" ht="12.75">
      <c r="A271" s="92"/>
      <c r="B271" s="92"/>
      <c r="C271" s="135"/>
      <c r="D271" s="92"/>
      <c r="E271" s="91"/>
    </row>
    <row r="272" spans="1:5" ht="12.75">
      <c r="A272" s="92"/>
      <c r="B272" s="92"/>
      <c r="C272" s="135"/>
      <c r="D272" s="92"/>
      <c r="E272" s="92"/>
    </row>
    <row r="273" spans="1:5" ht="12.75">
      <c r="A273" s="92"/>
      <c r="B273" s="92"/>
      <c r="C273" s="135"/>
      <c r="D273" s="92"/>
      <c r="E273" s="92">
        <v>31274520</v>
      </c>
    </row>
    <row r="274" spans="1:5" ht="12.75">
      <c r="A274" s="92"/>
      <c r="B274" s="92"/>
      <c r="C274" s="135"/>
      <c r="D274" s="92"/>
      <c r="E274" s="92"/>
    </row>
    <row r="275" spans="1:5" ht="12.75">
      <c r="A275" s="92"/>
      <c r="B275" s="92"/>
      <c r="C275" s="135"/>
      <c r="D275" s="92"/>
      <c r="E275" s="92"/>
    </row>
    <row r="276" spans="1:5" ht="12.75">
      <c r="A276" s="92"/>
      <c r="B276" s="92"/>
      <c r="C276" s="135"/>
      <c r="D276" s="92"/>
      <c r="E276" s="92"/>
    </row>
    <row r="277" spans="1:5" ht="12.75">
      <c r="A277" s="92"/>
      <c r="B277" s="92"/>
      <c r="C277" s="135"/>
      <c r="D277" s="92"/>
      <c r="E277" s="92"/>
    </row>
    <row r="278" spans="1:5" ht="12.75">
      <c r="A278" s="92"/>
      <c r="B278" s="92"/>
      <c r="C278" s="135"/>
      <c r="D278" s="92"/>
      <c r="E278" s="92"/>
    </row>
    <row r="279" spans="1:5" ht="12.75">
      <c r="A279" s="92"/>
      <c r="B279" s="92"/>
      <c r="C279" s="135"/>
      <c r="D279" s="92"/>
      <c r="E279" s="92"/>
    </row>
    <row r="280" spans="1:5" ht="12.75">
      <c r="A280" s="92"/>
      <c r="B280" s="92"/>
      <c r="C280" s="135"/>
      <c r="D280" s="92"/>
      <c r="E280" s="92"/>
    </row>
    <row r="281" spans="1:5" ht="12.75">
      <c r="A281" s="92"/>
      <c r="B281" s="92"/>
      <c r="C281" s="135"/>
      <c r="D281" s="92"/>
      <c r="E281" s="92"/>
    </row>
    <row r="282" spans="1:5" ht="12.75">
      <c r="A282" s="92"/>
      <c r="B282" s="92"/>
      <c r="C282" s="135"/>
      <c r="D282" s="92"/>
      <c r="E282" s="92"/>
    </row>
    <row r="283" spans="1:5" ht="12.75">
      <c r="A283" s="92"/>
      <c r="B283" s="92"/>
      <c r="C283" s="135"/>
      <c r="D283" s="92"/>
      <c r="E283" s="92"/>
    </row>
    <row r="284" spans="1:5" ht="12.75">
      <c r="A284" s="92"/>
      <c r="B284" s="92"/>
      <c r="C284" s="135"/>
      <c r="D284" s="92"/>
      <c r="E284" s="92"/>
    </row>
    <row r="285" spans="1:5" ht="12.75">
      <c r="A285" s="92"/>
      <c r="B285" s="92"/>
      <c r="C285" s="135"/>
      <c r="D285" s="92"/>
      <c r="E285" s="92"/>
    </row>
    <row r="286" spans="1:5" ht="12.75">
      <c r="A286" s="92"/>
      <c r="B286" s="92"/>
      <c r="C286" s="135"/>
      <c r="D286" s="92"/>
      <c r="E286" s="92"/>
    </row>
    <row r="287" spans="1:5" ht="12.75">
      <c r="A287" s="92"/>
      <c r="B287" s="92"/>
      <c r="C287" s="135"/>
      <c r="D287" s="92"/>
      <c r="E287" s="92"/>
    </row>
    <row r="288" spans="1:5" ht="12.75">
      <c r="A288" s="92"/>
      <c r="B288" s="92"/>
      <c r="C288" s="135"/>
      <c r="D288" s="92"/>
      <c r="E288" s="92"/>
    </row>
    <row r="289" spans="1:5" ht="12.75">
      <c r="A289" s="92"/>
      <c r="B289" s="92"/>
      <c r="C289" s="135"/>
      <c r="D289" s="92"/>
      <c r="E289" s="92"/>
    </row>
    <row r="290" spans="1:5" ht="12.75">
      <c r="A290" s="92"/>
      <c r="B290" s="92"/>
      <c r="C290" s="135"/>
      <c r="D290" s="92"/>
      <c r="E290" s="92"/>
    </row>
    <row r="291" spans="1:5" ht="12.75">
      <c r="A291" s="92"/>
      <c r="B291" s="92"/>
      <c r="C291" s="135"/>
      <c r="D291" s="92"/>
      <c r="E291" s="92"/>
    </row>
    <row r="292" spans="1:5" ht="12.75">
      <c r="A292" s="92"/>
      <c r="B292" s="92"/>
      <c r="C292" s="135"/>
      <c r="D292" s="92"/>
      <c r="E292" s="92"/>
    </row>
    <row r="293" spans="1:5" ht="12.75">
      <c r="A293" s="92"/>
      <c r="B293" s="92"/>
      <c r="C293" s="135"/>
      <c r="D293" s="92"/>
      <c r="E293" s="92"/>
    </row>
    <row r="294" spans="1:5" ht="12.75">
      <c r="A294" s="92"/>
      <c r="B294" s="92"/>
      <c r="C294" s="135"/>
      <c r="D294" s="92"/>
      <c r="E294" s="92"/>
    </row>
    <row r="295" spans="1:5" ht="12.75">
      <c r="A295" s="92"/>
      <c r="B295" s="92"/>
      <c r="C295" s="135"/>
      <c r="D295" s="92"/>
      <c r="E295" s="92"/>
    </row>
    <row r="296" spans="1:5" ht="12.75">
      <c r="A296" s="92"/>
      <c r="B296" s="92"/>
      <c r="C296" s="135"/>
      <c r="D296" s="92"/>
      <c r="E296" s="92"/>
    </row>
    <row r="297" spans="1:5" ht="12.75">
      <c r="A297" s="92"/>
      <c r="B297" s="92"/>
      <c r="C297" s="135"/>
      <c r="D297" s="92"/>
      <c r="E297" s="92"/>
    </row>
    <row r="298" spans="1:5" ht="12.75">
      <c r="A298" s="92"/>
      <c r="B298" s="92"/>
      <c r="C298" s="135"/>
      <c r="D298" s="92"/>
      <c r="E298" s="92"/>
    </row>
    <row r="299" spans="1:5" ht="12.75">
      <c r="A299" s="92"/>
      <c r="B299" s="92"/>
      <c r="C299" s="135"/>
      <c r="D299" s="92"/>
      <c r="E299" s="92"/>
    </row>
    <row r="300" spans="1:5" ht="12.75">
      <c r="A300" s="92"/>
      <c r="B300" s="92"/>
      <c r="C300" s="135"/>
      <c r="D300" s="92"/>
      <c r="E300" s="92"/>
    </row>
    <row r="301" spans="1:5" ht="12.75">
      <c r="A301" s="92"/>
      <c r="B301" s="92"/>
      <c r="C301" s="135"/>
      <c r="D301" s="92"/>
      <c r="E301" s="92"/>
    </row>
    <row r="302" spans="1:5" ht="12.75">
      <c r="A302" s="92"/>
      <c r="B302" s="92"/>
      <c r="C302" s="135"/>
      <c r="D302" s="92"/>
      <c r="E302" s="92"/>
    </row>
    <row r="303" spans="1:5" ht="12.75">
      <c r="A303" s="92"/>
      <c r="B303" s="92"/>
      <c r="C303" s="135"/>
      <c r="D303" s="92"/>
      <c r="E303" s="92"/>
    </row>
    <row r="304" spans="1:5" ht="12.75">
      <c r="A304" s="92"/>
      <c r="B304" s="92"/>
      <c r="C304" s="135"/>
      <c r="D304" s="92"/>
      <c r="E304" s="92"/>
    </row>
    <row r="305" spans="1:5" ht="12.75">
      <c r="A305" s="92"/>
      <c r="B305" s="92"/>
      <c r="C305" s="135"/>
      <c r="D305" s="92"/>
      <c r="E305" s="92"/>
    </row>
    <row r="306" spans="1:5" ht="12.75">
      <c r="A306" s="92"/>
      <c r="B306" s="92"/>
      <c r="C306" s="135"/>
      <c r="D306" s="92"/>
      <c r="E306" s="92"/>
    </row>
    <row r="307" spans="1:5" ht="12.75">
      <c r="A307" s="92"/>
      <c r="B307" s="92"/>
      <c r="C307" s="135"/>
      <c r="D307" s="92"/>
      <c r="E307" s="92"/>
    </row>
    <row r="308" spans="1:5" ht="12.75">
      <c r="A308" s="92"/>
      <c r="B308" s="92"/>
      <c r="C308" s="135"/>
      <c r="D308" s="92"/>
      <c r="E308" s="92"/>
    </row>
    <row r="309" spans="1:5" ht="12.75">
      <c r="A309" s="92"/>
      <c r="B309" s="92"/>
      <c r="C309" s="135"/>
      <c r="D309" s="92"/>
      <c r="E309" s="92"/>
    </row>
    <row r="310" spans="1:5" ht="12.75">
      <c r="A310" s="92"/>
      <c r="B310" s="92"/>
      <c r="C310" s="135"/>
      <c r="D310" s="92"/>
      <c r="E310" s="92"/>
    </row>
    <row r="311" spans="1:5" ht="12.75">
      <c r="A311" s="92"/>
      <c r="B311" s="92"/>
      <c r="C311" s="135"/>
      <c r="D311" s="92"/>
      <c r="E311" s="92"/>
    </row>
    <row r="312" spans="1:5" ht="12.75">
      <c r="A312" s="92"/>
      <c r="B312" s="92"/>
      <c r="C312" s="135"/>
      <c r="D312" s="92"/>
      <c r="E312" s="92"/>
    </row>
    <row r="313" spans="1:5" ht="12.75">
      <c r="A313" s="92"/>
      <c r="B313" s="92"/>
      <c r="C313" s="135"/>
      <c r="D313" s="92"/>
      <c r="E313" s="92"/>
    </row>
    <row r="314" spans="1:5" ht="12.75">
      <c r="A314" s="92"/>
      <c r="B314" s="92"/>
      <c r="C314" s="135"/>
      <c r="D314" s="92"/>
      <c r="E314" s="92"/>
    </row>
    <row r="315" spans="1:5" ht="12.75">
      <c r="A315" s="92"/>
      <c r="B315" s="92"/>
      <c r="C315" s="135"/>
      <c r="D315" s="92"/>
      <c r="E315" s="92"/>
    </row>
    <row r="316" spans="1:5" ht="12.75">
      <c r="A316" s="92"/>
      <c r="B316" s="92"/>
      <c r="C316" s="135"/>
      <c r="D316" s="92"/>
      <c r="E316" s="92"/>
    </row>
    <row r="317" spans="1:5" ht="12.75">
      <c r="A317" s="92"/>
      <c r="B317" s="92"/>
      <c r="C317" s="135"/>
      <c r="D317" s="92"/>
      <c r="E317" s="92"/>
    </row>
    <row r="318" spans="1:5" ht="12.75">
      <c r="A318" s="92"/>
      <c r="B318" s="92"/>
      <c r="C318" s="135"/>
      <c r="D318" s="92"/>
      <c r="E318" s="92"/>
    </row>
    <row r="319" spans="1:5" ht="12.75">
      <c r="A319" s="92"/>
      <c r="B319" s="92"/>
      <c r="C319" s="135"/>
      <c r="D319" s="92"/>
      <c r="E319" s="92"/>
    </row>
    <row r="320" spans="1:5" ht="12.75">
      <c r="A320" s="92"/>
      <c r="B320" s="92"/>
      <c r="C320" s="135"/>
      <c r="D320" s="92"/>
      <c r="E320" s="92"/>
    </row>
    <row r="321" spans="1:5" ht="12.75">
      <c r="A321" s="92"/>
      <c r="B321" s="92"/>
      <c r="C321" s="135"/>
      <c r="D321" s="92"/>
      <c r="E321" s="92"/>
    </row>
    <row r="322" spans="1:5" ht="12.75">
      <c r="A322" s="92"/>
      <c r="B322" s="92"/>
      <c r="C322" s="135"/>
      <c r="D322" s="92"/>
      <c r="E322" s="92"/>
    </row>
    <row r="323" spans="1:5" ht="12.75">
      <c r="A323" s="92"/>
      <c r="B323" s="92"/>
      <c r="C323" s="135"/>
      <c r="D323" s="92"/>
      <c r="E323" s="92"/>
    </row>
    <row r="324" spans="1:5" ht="12.75">
      <c r="A324" s="92"/>
      <c r="B324" s="92"/>
      <c r="C324" s="135"/>
      <c r="D324" s="92"/>
      <c r="E324" s="92"/>
    </row>
    <row r="325" spans="1:5" ht="12.75">
      <c r="A325" s="92"/>
      <c r="B325" s="92"/>
      <c r="C325" s="135"/>
      <c r="D325" s="92"/>
      <c r="E325" s="92"/>
    </row>
    <row r="326" spans="1:5" ht="12.75">
      <c r="A326" s="92"/>
      <c r="B326" s="92"/>
      <c r="C326" s="135"/>
      <c r="D326" s="92"/>
      <c r="E326" s="92"/>
    </row>
    <row r="327" spans="1:5" ht="12.75">
      <c r="A327" s="92"/>
      <c r="B327" s="92"/>
      <c r="C327" s="135"/>
      <c r="D327" s="92"/>
      <c r="E327" s="92"/>
    </row>
    <row r="328" spans="1:5" ht="12.75">
      <c r="A328" s="92"/>
      <c r="B328" s="92"/>
      <c r="C328" s="135"/>
      <c r="D328" s="92"/>
      <c r="E328" s="92"/>
    </row>
    <row r="329" spans="1:5" ht="12.75">
      <c r="A329" s="92"/>
      <c r="B329" s="92"/>
      <c r="C329" s="135"/>
      <c r="D329" s="92"/>
      <c r="E329" s="92"/>
    </row>
    <row r="330" spans="1:5" ht="12.75">
      <c r="A330" s="92"/>
      <c r="B330" s="92"/>
      <c r="C330" s="135"/>
      <c r="D330" s="92"/>
      <c r="E330" s="92"/>
    </row>
    <row r="331" spans="1:5" ht="12.75">
      <c r="A331" s="92"/>
      <c r="B331" s="92"/>
      <c r="C331" s="135"/>
      <c r="D331" s="92"/>
      <c r="E331" s="92"/>
    </row>
    <row r="332" spans="1:5" ht="12.75">
      <c r="A332" s="92"/>
      <c r="B332" s="92"/>
      <c r="C332" s="135"/>
      <c r="D332" s="92"/>
      <c r="E332" s="92"/>
    </row>
    <row r="333" spans="1:5" ht="12.75">
      <c r="A333" s="92"/>
      <c r="B333" s="92"/>
      <c r="C333" s="135"/>
      <c r="D333" s="92"/>
      <c r="E333" s="92"/>
    </row>
    <row r="334" spans="1:5" ht="12.75">
      <c r="A334" s="92"/>
      <c r="B334" s="92"/>
      <c r="C334" s="135"/>
      <c r="D334" s="92"/>
      <c r="E334" s="92"/>
    </row>
    <row r="335" spans="1:5" ht="12.75">
      <c r="A335" s="92"/>
      <c r="B335" s="92"/>
      <c r="C335" s="135"/>
      <c r="D335" s="92"/>
      <c r="E335" s="92"/>
    </row>
    <row r="336" spans="1:5" ht="12.75">
      <c r="A336" s="92"/>
      <c r="B336" s="92"/>
      <c r="C336" s="135"/>
      <c r="D336" s="92"/>
      <c r="E336" s="92"/>
    </row>
    <row r="337" spans="1:5" ht="12.75">
      <c r="A337" s="92"/>
      <c r="B337" s="92"/>
      <c r="C337" s="135"/>
      <c r="D337" s="92"/>
      <c r="E337" s="92"/>
    </row>
    <row r="338" spans="1:5" ht="12.75">
      <c r="A338" s="92"/>
      <c r="B338" s="92"/>
      <c r="C338" s="135"/>
      <c r="D338" s="92"/>
      <c r="E338" s="92"/>
    </row>
    <row r="339" spans="1:5" ht="12.75">
      <c r="A339" s="92"/>
      <c r="B339" s="92"/>
      <c r="C339" s="135"/>
      <c r="D339" s="92"/>
      <c r="E339" s="92"/>
    </row>
    <row r="340" spans="1:5" ht="12.75">
      <c r="A340" s="92"/>
      <c r="B340" s="92"/>
      <c r="C340" s="135"/>
      <c r="D340" s="92"/>
      <c r="E340" s="92"/>
    </row>
    <row r="341" spans="1:5" ht="12.75">
      <c r="A341" s="92"/>
      <c r="B341" s="92"/>
      <c r="C341" s="135"/>
      <c r="D341" s="92"/>
      <c r="E341" s="92"/>
    </row>
    <row r="342" spans="1:5" ht="12.75">
      <c r="A342" s="92"/>
      <c r="B342" s="92"/>
      <c r="C342" s="135"/>
      <c r="D342" s="92"/>
      <c r="E342" s="92"/>
    </row>
    <row r="343" spans="1:5" ht="12.75">
      <c r="A343" s="92"/>
      <c r="B343" s="92"/>
      <c r="C343" s="135"/>
      <c r="D343" s="92"/>
      <c r="E343" s="92"/>
    </row>
    <row r="344" spans="1:5" ht="12.75">
      <c r="A344" s="92"/>
      <c r="B344" s="92"/>
      <c r="C344" s="135"/>
      <c r="D344" s="92"/>
      <c r="E344" s="92"/>
    </row>
    <row r="345" spans="1:5" ht="12.75">
      <c r="A345" s="92"/>
      <c r="B345" s="92"/>
      <c r="C345" s="135"/>
      <c r="D345" s="92"/>
      <c r="E345" s="92"/>
    </row>
    <row r="346" spans="1:5" ht="12.75">
      <c r="A346" s="92"/>
      <c r="B346" s="92"/>
      <c r="C346" s="135"/>
      <c r="D346" s="92"/>
      <c r="E346" s="92"/>
    </row>
    <row r="347" spans="1:5" ht="12.75">
      <c r="A347" s="92"/>
      <c r="B347" s="92"/>
      <c r="C347" s="135"/>
      <c r="D347" s="92"/>
      <c r="E347" s="92"/>
    </row>
    <row r="348" spans="1:5" ht="12.75">
      <c r="A348" s="92"/>
      <c r="B348" s="92"/>
      <c r="C348" s="135"/>
      <c r="D348" s="92"/>
      <c r="E348" s="92"/>
    </row>
    <row r="349" spans="1:5" ht="12.75">
      <c r="A349" s="92"/>
      <c r="B349" s="92"/>
      <c r="C349" s="135"/>
      <c r="D349" s="92"/>
      <c r="E349" s="92"/>
    </row>
    <row r="350" spans="1:5" ht="12.75">
      <c r="A350" s="92"/>
      <c r="B350" s="92"/>
      <c r="C350" s="135"/>
      <c r="D350" s="92"/>
      <c r="E350" s="92"/>
    </row>
    <row r="351" spans="1:5" ht="12.75">
      <c r="A351" s="92"/>
      <c r="B351" s="92"/>
      <c r="C351" s="135"/>
      <c r="D351" s="92"/>
      <c r="E351" s="92"/>
    </row>
    <row r="352" spans="1:5" ht="12.75">
      <c r="A352" s="92"/>
      <c r="B352" s="92"/>
      <c r="C352" s="135"/>
      <c r="D352" s="92"/>
      <c r="E352" s="92"/>
    </row>
    <row r="353" spans="1:5" ht="12.75">
      <c r="A353" s="92"/>
      <c r="B353" s="92"/>
      <c r="C353" s="135"/>
      <c r="D353" s="92"/>
      <c r="E353" s="92"/>
    </row>
    <row r="354" spans="1:5" ht="12.75">
      <c r="A354" s="92"/>
      <c r="B354" s="92"/>
      <c r="C354" s="135"/>
      <c r="D354" s="92"/>
      <c r="E354" s="92"/>
    </row>
    <row r="355" spans="1:5" ht="12.75">
      <c r="A355" s="92"/>
      <c r="B355" s="92"/>
      <c r="C355" s="135"/>
      <c r="D355" s="92"/>
      <c r="E355" s="92"/>
    </row>
    <row r="356" spans="1:5" ht="12.75">
      <c r="A356" s="92"/>
      <c r="B356" s="92"/>
      <c r="C356" s="135"/>
      <c r="D356" s="92"/>
      <c r="E356" s="92"/>
    </row>
    <row r="357" spans="1:5" ht="12.75">
      <c r="A357" s="92"/>
      <c r="B357" s="92"/>
      <c r="C357" s="135"/>
      <c r="D357" s="92"/>
      <c r="E357" s="92"/>
    </row>
    <row r="358" spans="1:5" ht="12.75">
      <c r="A358" s="92"/>
      <c r="B358" s="92"/>
      <c r="C358" s="135"/>
      <c r="D358" s="92"/>
      <c r="E358" s="92"/>
    </row>
    <row r="359" spans="1:5" ht="12.75">
      <c r="A359" s="92"/>
      <c r="B359" s="92"/>
      <c r="C359" s="135"/>
      <c r="D359" s="92"/>
      <c r="E359" s="92"/>
    </row>
    <row r="360" spans="1:5" ht="12.75">
      <c r="A360" s="92"/>
      <c r="B360" s="92"/>
      <c r="C360" s="135"/>
      <c r="D360" s="92"/>
      <c r="E360" s="92"/>
    </row>
    <row r="361" spans="1:5" ht="12.75">
      <c r="A361" s="92"/>
      <c r="B361" s="92"/>
      <c r="C361" s="135"/>
      <c r="D361" s="92"/>
      <c r="E361" s="92"/>
    </row>
    <row r="362" spans="1:5" ht="12.75">
      <c r="A362" s="92"/>
      <c r="B362" s="92"/>
      <c r="C362" s="135"/>
      <c r="D362" s="92"/>
      <c r="E362" s="92"/>
    </row>
    <row r="363" spans="1:5" ht="12.75">
      <c r="A363" s="92"/>
      <c r="B363" s="92"/>
      <c r="C363" s="135"/>
      <c r="D363" s="92"/>
      <c r="E363" s="92"/>
    </row>
    <row r="364" spans="1:5" ht="12.75">
      <c r="A364" s="92"/>
      <c r="B364" s="92"/>
      <c r="C364" s="135"/>
      <c r="D364" s="92"/>
      <c r="E364" s="92"/>
    </row>
    <row r="365" spans="1:5" ht="12.75">
      <c r="A365" s="92"/>
      <c r="B365" s="92"/>
      <c r="C365" s="135"/>
      <c r="D365" s="92"/>
      <c r="E365" s="92"/>
    </row>
    <row r="366" spans="1:5" ht="12.75">
      <c r="A366" s="92"/>
      <c r="B366" s="92"/>
      <c r="C366" s="135"/>
      <c r="D366" s="92"/>
      <c r="E366" s="92"/>
    </row>
    <row r="367" spans="1:5" ht="12.75">
      <c r="A367" s="92"/>
      <c r="B367" s="92"/>
      <c r="C367" s="135"/>
      <c r="D367" s="92"/>
      <c r="E367" s="92"/>
    </row>
    <row r="368" spans="1:5" ht="12.75">
      <c r="A368" s="92"/>
      <c r="B368" s="92"/>
      <c r="C368" s="135"/>
      <c r="D368" s="92"/>
      <c r="E368" s="92"/>
    </row>
    <row r="369" spans="1:5" ht="12.75">
      <c r="A369" s="92"/>
      <c r="B369" s="92"/>
      <c r="C369" s="135"/>
      <c r="D369" s="92"/>
      <c r="E369" s="92"/>
    </row>
    <row r="370" spans="1:5" ht="12.75">
      <c r="A370" s="92"/>
      <c r="B370" s="92"/>
      <c r="C370" s="135"/>
      <c r="D370" s="92"/>
      <c r="E370" s="92"/>
    </row>
    <row r="371" spans="1:5" ht="12.75">
      <c r="A371" s="92"/>
      <c r="B371" s="92"/>
      <c r="C371" s="135"/>
      <c r="D371" s="92"/>
      <c r="E371" s="92"/>
    </row>
    <row r="372" spans="1:5" ht="12.75">
      <c r="A372" s="92"/>
      <c r="B372" s="92"/>
      <c r="C372" s="135"/>
      <c r="D372" s="92"/>
      <c r="E372" s="92"/>
    </row>
    <row r="373" spans="1:5" ht="12.75">
      <c r="A373" s="92"/>
      <c r="B373" s="92"/>
      <c r="C373" s="135"/>
      <c r="D373" s="92"/>
      <c r="E373" s="92"/>
    </row>
    <row r="374" spans="1:5" ht="12.75">
      <c r="A374" s="92"/>
      <c r="B374" s="92"/>
      <c r="C374" s="135"/>
      <c r="D374" s="92"/>
      <c r="E374" s="92"/>
    </row>
    <row r="375" spans="1:5" ht="12.75">
      <c r="A375" s="92"/>
      <c r="B375" s="92"/>
      <c r="C375" s="135"/>
      <c r="D375" s="92"/>
      <c r="E375" s="92"/>
    </row>
    <row r="376" spans="1:5" ht="12.75">
      <c r="A376" s="92"/>
      <c r="B376" s="92"/>
      <c r="C376" s="135"/>
      <c r="D376" s="92"/>
      <c r="E376" s="92"/>
    </row>
    <row r="377" spans="1:5" ht="12.75">
      <c r="A377" s="92"/>
      <c r="B377" s="92"/>
      <c r="C377" s="135"/>
      <c r="D377" s="92"/>
      <c r="E377" s="92"/>
    </row>
    <row r="378" spans="1:5" ht="12.75">
      <c r="A378" s="92"/>
      <c r="B378" s="92"/>
      <c r="C378" s="135"/>
      <c r="D378" s="92"/>
      <c r="E378" s="92"/>
    </row>
    <row r="379" spans="1:5" ht="12.75">
      <c r="A379" s="92"/>
      <c r="B379" s="92"/>
      <c r="C379" s="135"/>
      <c r="D379" s="92"/>
      <c r="E379" s="92"/>
    </row>
    <row r="380" spans="1:5" ht="12.75">
      <c r="A380" s="92"/>
      <c r="B380" s="92"/>
      <c r="C380" s="135"/>
      <c r="D380" s="92"/>
      <c r="E380" s="92"/>
    </row>
    <row r="381" spans="1:5" ht="12.75">
      <c r="A381" s="92"/>
      <c r="B381" s="92"/>
      <c r="C381" s="135"/>
      <c r="D381" s="92"/>
      <c r="E381" s="92"/>
    </row>
    <row r="382" spans="1:5" ht="12.75">
      <c r="A382" s="92"/>
      <c r="B382" s="92"/>
      <c r="C382" s="135"/>
      <c r="D382" s="92"/>
      <c r="E382" s="92"/>
    </row>
    <row r="383" spans="1:5" ht="12.75">
      <c r="A383" s="92"/>
      <c r="B383" s="92"/>
      <c r="C383" s="135"/>
      <c r="D383" s="92"/>
      <c r="E383" s="92"/>
    </row>
    <row r="384" spans="1:5" ht="12.75">
      <c r="A384" s="92"/>
      <c r="B384" s="92"/>
      <c r="C384" s="135"/>
      <c r="D384" s="92"/>
      <c r="E384" s="92"/>
    </row>
    <row r="385" spans="1:5" ht="12.75">
      <c r="A385" s="92"/>
      <c r="B385" s="92"/>
      <c r="C385" s="135"/>
      <c r="D385" s="92"/>
      <c r="E385" s="92"/>
    </row>
    <row r="386" spans="1:5" ht="12.75">
      <c r="A386" s="92"/>
      <c r="B386" s="92"/>
      <c r="C386" s="135"/>
      <c r="D386" s="92"/>
      <c r="E386" s="92"/>
    </row>
    <row r="387" spans="1:5" ht="12.75">
      <c r="A387" s="92"/>
      <c r="B387" s="92"/>
      <c r="C387" s="135"/>
      <c r="D387" s="92"/>
      <c r="E387" s="92"/>
    </row>
    <row r="388" spans="1:5" ht="12.75">
      <c r="A388" s="92"/>
      <c r="B388" s="92"/>
      <c r="C388" s="135"/>
      <c r="D388" s="92"/>
      <c r="E388" s="92"/>
    </row>
    <row r="389" spans="1:5" ht="12.75">
      <c r="A389" s="92"/>
      <c r="B389" s="92"/>
      <c r="C389" s="135"/>
      <c r="D389" s="92"/>
      <c r="E389" s="92"/>
    </row>
    <row r="390" spans="1:5" ht="12.75">
      <c r="A390" s="92"/>
      <c r="B390" s="92"/>
      <c r="C390" s="135"/>
      <c r="D390" s="92"/>
      <c r="E390" s="92"/>
    </row>
    <row r="391" spans="1:5" ht="12.75">
      <c r="A391" s="92"/>
      <c r="B391" s="92"/>
      <c r="C391" s="135"/>
      <c r="D391" s="92"/>
      <c r="E391" s="92"/>
    </row>
    <row r="392" spans="1:5" ht="12.75">
      <c r="A392" s="92"/>
      <c r="B392" s="92"/>
      <c r="C392" s="135"/>
      <c r="D392" s="92"/>
      <c r="E392" s="92"/>
    </row>
    <row r="393" spans="1:5" ht="12.75">
      <c r="A393" s="92"/>
      <c r="B393" s="92"/>
      <c r="C393" s="135"/>
      <c r="D393" s="92"/>
      <c r="E393" s="92"/>
    </row>
    <row r="394" spans="1:5" ht="12.75">
      <c r="A394" s="92"/>
      <c r="B394" s="92"/>
      <c r="C394" s="135"/>
      <c r="D394" s="92"/>
      <c r="E394" s="92"/>
    </row>
    <row r="395" spans="1:5" ht="12.75">
      <c r="A395" s="92"/>
      <c r="B395" s="92"/>
      <c r="C395" s="135"/>
      <c r="D395" s="92"/>
      <c r="E395" s="92"/>
    </row>
    <row r="396" spans="1:5" ht="12.75">
      <c r="A396" s="92"/>
      <c r="B396" s="92"/>
      <c r="C396" s="135"/>
      <c r="D396" s="92"/>
      <c r="E396" s="92"/>
    </row>
    <row r="397" spans="1:5" ht="12.75">
      <c r="A397" s="92"/>
      <c r="B397" s="92"/>
      <c r="C397" s="135"/>
      <c r="D397" s="92"/>
      <c r="E397" s="92"/>
    </row>
    <row r="398" spans="1:5" ht="12.75">
      <c r="A398" s="92"/>
      <c r="B398" s="92"/>
      <c r="C398" s="135"/>
      <c r="D398" s="92"/>
      <c r="E398" s="92"/>
    </row>
    <row r="399" spans="1:5" ht="12.75">
      <c r="A399" s="92"/>
      <c r="B399" s="92"/>
      <c r="C399" s="135"/>
      <c r="D399" s="92"/>
      <c r="E399" s="92"/>
    </row>
    <row r="400" spans="1:5" ht="12.75">
      <c r="A400" s="92"/>
      <c r="B400" s="92"/>
      <c r="C400" s="135"/>
      <c r="D400" s="92"/>
      <c r="E400" s="92"/>
    </row>
    <row r="401" spans="1:5" ht="12.75">
      <c r="A401" s="92"/>
      <c r="B401" s="92"/>
      <c r="C401" s="135"/>
      <c r="D401" s="92"/>
      <c r="E401" s="92"/>
    </row>
    <row r="402" spans="1:5" ht="12.75">
      <c r="A402" s="92"/>
      <c r="B402" s="92"/>
      <c r="C402" s="135"/>
      <c r="D402" s="92"/>
      <c r="E402" s="92"/>
    </row>
    <row r="403" spans="1:5" ht="12.75">
      <c r="A403" s="92"/>
      <c r="B403" s="92"/>
      <c r="C403" s="135"/>
      <c r="D403" s="92"/>
      <c r="E403" s="92"/>
    </row>
    <row r="404" spans="1:5" ht="12.75">
      <c r="A404" s="92"/>
      <c r="B404" s="92"/>
      <c r="C404" s="135"/>
      <c r="D404" s="92"/>
      <c r="E404" s="92"/>
    </row>
    <row r="405" spans="1:5" ht="12.75">
      <c r="A405" s="92"/>
      <c r="B405" s="92"/>
      <c r="C405" s="135"/>
      <c r="D405" s="92"/>
      <c r="E405" s="92"/>
    </row>
    <row r="406" spans="1:5" ht="12.75">
      <c r="A406" s="92"/>
      <c r="B406" s="92"/>
      <c r="C406" s="135"/>
      <c r="D406" s="92"/>
      <c r="E406" s="92"/>
    </row>
    <row r="407" spans="1:5" ht="12.75">
      <c r="A407" s="92"/>
      <c r="B407" s="92"/>
      <c r="C407" s="135"/>
      <c r="D407" s="92"/>
      <c r="E407" s="92"/>
    </row>
    <row r="408" spans="1:5" ht="12.75">
      <c r="A408" s="92"/>
      <c r="B408" s="92"/>
      <c r="C408" s="135"/>
      <c r="D408" s="92"/>
      <c r="E408" s="92"/>
    </row>
    <row r="409" spans="2:5" ht="12.75">
      <c r="B409" s="237"/>
      <c r="C409" s="297"/>
      <c r="D409" s="237"/>
      <c r="E409" s="237"/>
    </row>
    <row r="410" spans="2:5" ht="12.75">
      <c r="B410" s="237"/>
      <c r="C410" s="297"/>
      <c r="D410" s="237"/>
      <c r="E410" s="237"/>
    </row>
    <row r="411" spans="2:5" ht="12.75">
      <c r="B411" s="237"/>
      <c r="C411" s="297"/>
      <c r="D411" s="237"/>
      <c r="E411" s="237"/>
    </row>
    <row r="412" spans="2:5" ht="12.75">
      <c r="B412" s="237"/>
      <c r="C412" s="297"/>
      <c r="D412" s="237"/>
      <c r="E412" s="237"/>
    </row>
    <row r="413" spans="2:5" ht="12.75">
      <c r="B413" s="237"/>
      <c r="C413" s="297"/>
      <c r="D413" s="237"/>
      <c r="E413" s="237"/>
    </row>
    <row r="414" spans="2:5" ht="12.75">
      <c r="B414" s="237"/>
      <c r="C414" s="297"/>
      <c r="D414" s="237"/>
      <c r="E414" s="237"/>
    </row>
    <row r="415" spans="2:5" ht="12.75">
      <c r="B415" s="237"/>
      <c r="C415" s="297"/>
      <c r="D415" s="237"/>
      <c r="E415" s="237"/>
    </row>
    <row r="416" spans="2:5" ht="12.75">
      <c r="B416" s="237"/>
      <c r="C416" s="297"/>
      <c r="D416" s="237"/>
      <c r="E416" s="237"/>
    </row>
    <row r="417" spans="2:5" ht="12.75">
      <c r="B417" s="237"/>
      <c r="C417" s="297"/>
      <c r="D417" s="237"/>
      <c r="E417" s="237"/>
    </row>
    <row r="418" spans="2:5" ht="12.75">
      <c r="B418" s="237"/>
      <c r="C418" s="297"/>
      <c r="D418" s="237"/>
      <c r="E418" s="237"/>
    </row>
    <row r="419" spans="2:5" ht="12.75">
      <c r="B419" s="237"/>
      <c r="C419" s="297"/>
      <c r="D419" s="237"/>
      <c r="E419" s="237"/>
    </row>
    <row r="420" spans="2:5" ht="12.75">
      <c r="B420" s="237"/>
      <c r="C420" s="297"/>
      <c r="D420" s="237"/>
      <c r="E420" s="237"/>
    </row>
    <row r="421" spans="2:5" ht="12.75">
      <c r="B421" s="237"/>
      <c r="C421" s="297"/>
      <c r="D421" s="237"/>
      <c r="E421" s="237"/>
    </row>
    <row r="422" spans="2:5" ht="12.75">
      <c r="B422" s="237"/>
      <c r="C422" s="297"/>
      <c r="D422" s="237"/>
      <c r="E422" s="237"/>
    </row>
    <row r="423" spans="2:5" ht="12.75">
      <c r="B423" s="237"/>
      <c r="C423" s="297"/>
      <c r="D423" s="237"/>
      <c r="E423" s="237"/>
    </row>
    <row r="424" spans="2:5" ht="12.75">
      <c r="B424" s="237"/>
      <c r="C424" s="297"/>
      <c r="D424" s="237"/>
      <c r="E424" s="237"/>
    </row>
    <row r="425" spans="2:5" ht="12.75">
      <c r="B425" s="237"/>
      <c r="C425" s="297"/>
      <c r="D425" s="237"/>
      <c r="E425" s="237"/>
    </row>
    <row r="426" spans="2:5" ht="12.75">
      <c r="B426" s="237"/>
      <c r="C426" s="297"/>
      <c r="D426" s="237"/>
      <c r="E426" s="237"/>
    </row>
    <row r="427" spans="2:5" ht="12.75">
      <c r="B427" s="237"/>
      <c r="C427" s="297"/>
      <c r="D427" s="237"/>
      <c r="E427" s="237"/>
    </row>
    <row r="428" spans="2:5" ht="12.75">
      <c r="B428" s="237"/>
      <c r="C428" s="297"/>
      <c r="D428" s="237"/>
      <c r="E428" s="237"/>
    </row>
    <row r="429" spans="2:5" ht="12.75">
      <c r="B429" s="237"/>
      <c r="C429" s="297"/>
      <c r="D429" s="237"/>
      <c r="E429" s="237"/>
    </row>
    <row r="430" spans="2:5" ht="12.75">
      <c r="B430" s="237"/>
      <c r="C430" s="297"/>
      <c r="D430" s="237"/>
      <c r="E430" s="237"/>
    </row>
    <row r="431" spans="2:5" ht="12.75">
      <c r="B431" s="237"/>
      <c r="C431" s="297"/>
      <c r="D431" s="237"/>
      <c r="E431" s="237"/>
    </row>
    <row r="432" spans="2:5" ht="12.75">
      <c r="B432" s="237"/>
      <c r="C432" s="297"/>
      <c r="D432" s="237"/>
      <c r="E432" s="237"/>
    </row>
    <row r="433" spans="2:5" ht="12.75">
      <c r="B433" s="237"/>
      <c r="C433" s="297"/>
      <c r="D433" s="237"/>
      <c r="E433" s="237"/>
    </row>
    <row r="434" spans="2:5" ht="12.75">
      <c r="B434" s="237"/>
      <c r="C434" s="297"/>
      <c r="D434" s="237"/>
      <c r="E434" s="237"/>
    </row>
    <row r="435" spans="2:5" ht="12.75">
      <c r="B435" s="237"/>
      <c r="C435" s="297"/>
      <c r="D435" s="237"/>
      <c r="E435" s="237"/>
    </row>
    <row r="436" spans="2:5" ht="12.75">
      <c r="B436" s="237"/>
      <c r="C436" s="297"/>
      <c r="D436" s="237"/>
      <c r="E436" s="237"/>
    </row>
    <row r="437" spans="2:5" ht="12.75">
      <c r="B437" s="237"/>
      <c r="C437" s="297"/>
      <c r="D437" s="237"/>
      <c r="E437" s="237"/>
    </row>
    <row r="438" spans="2:5" ht="12.75">
      <c r="B438" s="237"/>
      <c r="C438" s="297"/>
      <c r="D438" s="237"/>
      <c r="E438" s="237"/>
    </row>
    <row r="439" spans="2:5" ht="12.75">
      <c r="B439" s="237"/>
      <c r="C439" s="297"/>
      <c r="D439" s="237"/>
      <c r="E439" s="237"/>
    </row>
    <row r="440" spans="2:5" ht="12.75">
      <c r="B440" s="237"/>
      <c r="C440" s="297"/>
      <c r="D440" s="237"/>
      <c r="E440" s="237"/>
    </row>
    <row r="441" spans="2:5" ht="12.75">
      <c r="B441" s="237"/>
      <c r="C441" s="297"/>
      <c r="D441" s="237"/>
      <c r="E441" s="237"/>
    </row>
    <row r="442" spans="2:5" ht="12.75">
      <c r="B442" s="237"/>
      <c r="C442" s="297"/>
      <c r="D442" s="237"/>
      <c r="E442" s="237"/>
    </row>
    <row r="443" spans="2:5" ht="12.75">
      <c r="B443" s="237"/>
      <c r="C443" s="297"/>
      <c r="D443" s="237"/>
      <c r="E443" s="237"/>
    </row>
    <row r="444" spans="2:5" ht="12.75">
      <c r="B444" s="237"/>
      <c r="C444" s="297"/>
      <c r="D444" s="237"/>
      <c r="E444" s="237"/>
    </row>
    <row r="445" spans="2:5" ht="12.75">
      <c r="B445" s="237"/>
      <c r="C445" s="297"/>
      <c r="D445" s="237"/>
      <c r="E445" s="237"/>
    </row>
    <row r="446" spans="2:5" ht="12.75">
      <c r="B446" s="237"/>
      <c r="C446" s="297"/>
      <c r="D446" s="237"/>
      <c r="E446" s="237"/>
    </row>
    <row r="447" spans="2:5" ht="12.75">
      <c r="B447" s="237"/>
      <c r="C447" s="297"/>
      <c r="D447" s="237"/>
      <c r="E447" s="237"/>
    </row>
    <row r="448" spans="2:5" ht="12.75">
      <c r="B448" s="237"/>
      <c r="C448" s="297"/>
      <c r="D448" s="237"/>
      <c r="E448" s="237"/>
    </row>
    <row r="449" spans="2:5" ht="12.75">
      <c r="B449" s="237"/>
      <c r="C449" s="297"/>
      <c r="D449" s="237"/>
      <c r="E449" s="237"/>
    </row>
    <row r="450" spans="2:5" ht="12.75">
      <c r="B450" s="237"/>
      <c r="C450" s="297"/>
      <c r="D450" s="237"/>
      <c r="E450" s="237"/>
    </row>
    <row r="451" spans="2:5" ht="12.75">
      <c r="B451" s="237"/>
      <c r="C451" s="297"/>
      <c r="D451" s="237"/>
      <c r="E451" s="237"/>
    </row>
    <row r="452" spans="2:5" ht="12.75">
      <c r="B452" s="237"/>
      <c r="C452" s="297"/>
      <c r="D452" s="237"/>
      <c r="E452" s="237"/>
    </row>
    <row r="453" spans="2:5" ht="12.75">
      <c r="B453" s="237"/>
      <c r="C453" s="297"/>
      <c r="D453" s="237"/>
      <c r="E453" s="237"/>
    </row>
    <row r="454" spans="2:5" ht="12.75">
      <c r="B454" s="237"/>
      <c r="C454" s="297"/>
      <c r="D454" s="237"/>
      <c r="E454" s="237"/>
    </row>
    <row r="455" spans="2:5" ht="12.75">
      <c r="B455" s="237"/>
      <c r="C455" s="297"/>
      <c r="D455" s="237"/>
      <c r="E455" s="237"/>
    </row>
    <row r="456" spans="2:5" ht="12.75">
      <c r="B456" s="237"/>
      <c r="C456" s="297"/>
      <c r="D456" s="237"/>
      <c r="E456" s="237"/>
    </row>
    <row r="457" spans="2:5" ht="12.75">
      <c r="B457" s="237"/>
      <c r="C457" s="297"/>
      <c r="D457" s="237"/>
      <c r="E457" s="237"/>
    </row>
    <row r="458" spans="2:5" ht="12.75">
      <c r="B458" s="237"/>
      <c r="C458" s="297"/>
      <c r="D458" s="237"/>
      <c r="E458" s="237"/>
    </row>
    <row r="459" spans="2:5" ht="12.75">
      <c r="B459" s="237"/>
      <c r="C459" s="297"/>
      <c r="D459" s="237"/>
      <c r="E459" s="237"/>
    </row>
    <row r="460" spans="2:5" ht="12.75">
      <c r="B460" s="237"/>
      <c r="C460" s="297"/>
      <c r="D460" s="237"/>
      <c r="E460" s="237"/>
    </row>
    <row r="461" spans="2:5" ht="12.75">
      <c r="B461" s="237"/>
      <c r="C461" s="297"/>
      <c r="D461" s="237"/>
      <c r="E461" s="237"/>
    </row>
    <row r="462" spans="2:5" ht="12.75">
      <c r="B462" s="237"/>
      <c r="C462" s="297"/>
      <c r="D462" s="237"/>
      <c r="E462" s="237"/>
    </row>
    <row r="463" spans="2:5" ht="12.75">
      <c r="B463" s="237"/>
      <c r="C463" s="297"/>
      <c r="D463" s="237"/>
      <c r="E463" s="237"/>
    </row>
    <row r="464" spans="2:5" ht="12.75">
      <c r="B464" s="237"/>
      <c r="C464" s="297"/>
      <c r="D464" s="237"/>
      <c r="E464" s="237"/>
    </row>
    <row r="465" spans="2:5" ht="12.75">
      <c r="B465" s="237"/>
      <c r="C465" s="297"/>
      <c r="D465" s="237"/>
      <c r="E465" s="237"/>
    </row>
    <row r="466" spans="2:5" ht="12.75">
      <c r="B466" s="237"/>
      <c r="C466" s="297"/>
      <c r="D466" s="237"/>
      <c r="E466" s="237"/>
    </row>
    <row r="467" spans="2:5" ht="12.75">
      <c r="B467" s="237"/>
      <c r="C467" s="297"/>
      <c r="D467" s="237"/>
      <c r="E467" s="237"/>
    </row>
    <row r="468" spans="2:5" ht="12.75">
      <c r="B468" s="237"/>
      <c r="C468" s="297"/>
      <c r="D468" s="237"/>
      <c r="E468" s="237"/>
    </row>
    <row r="469" spans="2:5" ht="12.75">
      <c r="B469" s="237"/>
      <c r="C469" s="297"/>
      <c r="D469" s="237"/>
      <c r="E469" s="237"/>
    </row>
    <row r="470" spans="2:5" ht="12.75">
      <c r="B470" s="237"/>
      <c r="C470" s="297"/>
      <c r="D470" s="237"/>
      <c r="E470" s="237"/>
    </row>
    <row r="471" spans="2:5" ht="12.75">
      <c r="B471" s="237"/>
      <c r="C471" s="297"/>
      <c r="D471" s="237"/>
      <c r="E471" s="237"/>
    </row>
    <row r="472" spans="2:5" ht="12.75">
      <c r="B472" s="237"/>
      <c r="C472" s="297"/>
      <c r="D472" s="237"/>
      <c r="E472" s="237"/>
    </row>
    <row r="473" spans="2:5" ht="12.75">
      <c r="B473" s="237"/>
      <c r="C473" s="297"/>
      <c r="D473" s="237"/>
      <c r="E473" s="237"/>
    </row>
    <row r="474" spans="2:5" ht="12.75">
      <c r="B474" s="237"/>
      <c r="C474" s="297"/>
      <c r="D474" s="237"/>
      <c r="E474" s="237"/>
    </row>
    <row r="475" spans="2:5" ht="12.75">
      <c r="B475" s="237"/>
      <c r="C475" s="297"/>
      <c r="D475" s="237"/>
      <c r="E475" s="237"/>
    </row>
    <row r="476" spans="2:5" ht="12.75">
      <c r="B476" s="237"/>
      <c r="C476" s="297"/>
      <c r="D476" s="237"/>
      <c r="E476" s="237"/>
    </row>
    <row r="477" spans="2:5" ht="12.75">
      <c r="B477" s="237"/>
      <c r="C477" s="297"/>
      <c r="D477" s="237"/>
      <c r="E477" s="237"/>
    </row>
    <row r="478" spans="2:5" ht="12.75">
      <c r="B478" s="237"/>
      <c r="C478" s="297"/>
      <c r="D478" s="237"/>
      <c r="E478" s="237"/>
    </row>
    <row r="479" spans="2:5" ht="12.75">
      <c r="B479" s="237"/>
      <c r="C479" s="297"/>
      <c r="D479" s="237"/>
      <c r="E479" s="237"/>
    </row>
    <row r="480" spans="2:5" ht="12.75">
      <c r="B480" s="237"/>
      <c r="C480" s="297"/>
      <c r="D480" s="237"/>
      <c r="E480" s="237"/>
    </row>
    <row r="481" spans="2:5" ht="12.75">
      <c r="B481" s="237"/>
      <c r="C481" s="297"/>
      <c r="D481" s="237"/>
      <c r="E481" s="237"/>
    </row>
    <row r="482" spans="2:5" ht="12.75">
      <c r="B482" s="237"/>
      <c r="C482" s="297"/>
      <c r="D482" s="237"/>
      <c r="E482" s="237"/>
    </row>
    <row r="483" spans="2:5" ht="12.75">
      <c r="B483" s="237"/>
      <c r="C483" s="297"/>
      <c r="D483" s="237"/>
      <c r="E483" s="237"/>
    </row>
    <row r="484" spans="2:5" ht="12.75">
      <c r="B484" s="237"/>
      <c r="C484" s="297"/>
      <c r="D484" s="237"/>
      <c r="E484" s="237"/>
    </row>
    <row r="485" spans="2:5" ht="12.75">
      <c r="B485" s="237"/>
      <c r="C485" s="297"/>
      <c r="D485" s="237"/>
      <c r="E485" s="237"/>
    </row>
    <row r="486" spans="2:5" ht="12.75">
      <c r="B486" s="237"/>
      <c r="C486" s="297"/>
      <c r="D486" s="237"/>
      <c r="E486" s="237"/>
    </row>
    <row r="487" spans="2:5" ht="12.75">
      <c r="B487" s="237"/>
      <c r="C487" s="297"/>
      <c r="D487" s="237"/>
      <c r="E487" s="237"/>
    </row>
    <row r="488" spans="2:5" ht="12.75">
      <c r="B488" s="237"/>
      <c r="C488" s="297"/>
      <c r="D488" s="237"/>
      <c r="E488" s="237"/>
    </row>
    <row r="489" spans="2:5" ht="12.75">
      <c r="B489" s="237"/>
      <c r="C489" s="297"/>
      <c r="D489" s="237"/>
      <c r="E489" s="237"/>
    </row>
    <row r="490" spans="2:5" ht="12.75">
      <c r="B490" s="237"/>
      <c r="C490" s="297"/>
      <c r="D490" s="237"/>
      <c r="E490" s="237"/>
    </row>
    <row r="491" spans="2:5" ht="12.75">
      <c r="B491" s="237"/>
      <c r="C491" s="297"/>
      <c r="D491" s="237"/>
      <c r="E491" s="237"/>
    </row>
    <row r="492" spans="2:5" ht="12.75">
      <c r="B492" s="237"/>
      <c r="C492" s="297"/>
      <c r="D492" s="237"/>
      <c r="E492" s="237"/>
    </row>
    <row r="493" spans="2:5" ht="12.75">
      <c r="B493" s="237"/>
      <c r="C493" s="297"/>
      <c r="D493" s="237"/>
      <c r="E493" s="237"/>
    </row>
    <row r="494" spans="2:5" ht="12.75">
      <c r="B494" s="237"/>
      <c r="C494" s="297"/>
      <c r="D494" s="237"/>
      <c r="E494" s="237"/>
    </row>
    <row r="495" spans="2:5" ht="12.75">
      <c r="B495" s="237"/>
      <c r="C495" s="297"/>
      <c r="D495" s="237"/>
      <c r="E495" s="237"/>
    </row>
    <row r="496" spans="2:5" ht="12.75">
      <c r="B496" s="237"/>
      <c r="C496" s="297"/>
      <c r="D496" s="237"/>
      <c r="E496" s="237"/>
    </row>
    <row r="497" spans="2:5" ht="12.75">
      <c r="B497" s="237"/>
      <c r="C497" s="297"/>
      <c r="D497" s="237"/>
      <c r="E497" s="237"/>
    </row>
    <row r="498" spans="2:5" ht="12.75">
      <c r="B498" s="237"/>
      <c r="C498" s="297"/>
      <c r="D498" s="237"/>
      <c r="E498" s="237"/>
    </row>
    <row r="499" spans="2:5" ht="12.75">
      <c r="B499" s="237"/>
      <c r="C499" s="297"/>
      <c r="D499" s="237"/>
      <c r="E499" s="237"/>
    </row>
    <row r="500" spans="2:5" ht="12.75">
      <c r="B500" s="237"/>
      <c r="C500" s="297"/>
      <c r="D500" s="237"/>
      <c r="E500" s="237"/>
    </row>
    <row r="501" spans="2:5" ht="12.75">
      <c r="B501" s="237"/>
      <c r="C501" s="297"/>
      <c r="D501" s="237"/>
      <c r="E501" s="237"/>
    </row>
    <row r="502" spans="2:5" ht="12.75">
      <c r="B502" s="237"/>
      <c r="C502" s="297"/>
      <c r="D502" s="237"/>
      <c r="E502" s="237"/>
    </row>
    <row r="503" spans="2:5" ht="12.75">
      <c r="B503" s="237"/>
      <c r="C503" s="297"/>
      <c r="D503" s="237"/>
      <c r="E503" s="237"/>
    </row>
    <row r="504" spans="2:5" ht="12.75">
      <c r="B504" s="237"/>
      <c r="C504" s="297"/>
      <c r="D504" s="237"/>
      <c r="E504" s="237"/>
    </row>
    <row r="505" spans="2:5" ht="12.75">
      <c r="B505" s="237"/>
      <c r="C505" s="297"/>
      <c r="D505" s="237"/>
      <c r="E505" s="237"/>
    </row>
    <row r="506" spans="2:5" ht="12.75">
      <c r="B506" s="237"/>
      <c r="C506" s="297"/>
      <c r="D506" s="237"/>
      <c r="E506" s="237"/>
    </row>
    <row r="507" spans="2:5" ht="12.75">
      <c r="B507" s="237"/>
      <c r="C507" s="297"/>
      <c r="D507" s="237"/>
      <c r="E507" s="237"/>
    </row>
    <row r="508" spans="2:5" ht="12.75">
      <c r="B508" s="237"/>
      <c r="C508" s="297"/>
      <c r="D508" s="237"/>
      <c r="E508" s="237"/>
    </row>
    <row r="509" spans="2:5" ht="12.75">
      <c r="B509" s="237"/>
      <c r="C509" s="297"/>
      <c r="D509" s="237"/>
      <c r="E509" s="237"/>
    </row>
    <row r="510" spans="2:5" ht="12.75">
      <c r="B510" s="237"/>
      <c r="C510" s="297"/>
      <c r="D510" s="237"/>
      <c r="E510" s="237"/>
    </row>
    <row r="511" spans="2:5" ht="12.75">
      <c r="B511" s="237"/>
      <c r="C511" s="297"/>
      <c r="D511" s="237"/>
      <c r="E511" s="237"/>
    </row>
    <row r="512" spans="2:5" ht="12.75">
      <c r="B512" s="237"/>
      <c r="C512" s="297"/>
      <c r="D512" s="237"/>
      <c r="E512" s="237"/>
    </row>
    <row r="513" spans="2:5" ht="12.75">
      <c r="B513" s="237"/>
      <c r="C513" s="297"/>
      <c r="D513" s="237"/>
      <c r="E513" s="237"/>
    </row>
    <row r="514" spans="2:5" ht="12.75">
      <c r="B514" s="237"/>
      <c r="C514" s="297"/>
      <c r="D514" s="237"/>
      <c r="E514" s="237"/>
    </row>
    <row r="515" spans="2:5" ht="12.75">
      <c r="B515" s="237"/>
      <c r="C515" s="297"/>
      <c r="D515" s="237"/>
      <c r="E515" s="237"/>
    </row>
    <row r="516" spans="2:5" ht="12.75">
      <c r="B516" s="237"/>
      <c r="C516" s="297"/>
      <c r="D516" s="237"/>
      <c r="E516" s="237"/>
    </row>
    <row r="517" spans="2:5" ht="12.75">
      <c r="B517" s="237"/>
      <c r="C517" s="297"/>
      <c r="D517" s="237"/>
      <c r="E517" s="237"/>
    </row>
    <row r="518" spans="2:5" ht="12.75">
      <c r="B518" s="237"/>
      <c r="C518" s="297"/>
      <c r="D518" s="237"/>
      <c r="E518" s="237"/>
    </row>
    <row r="519" spans="2:5" ht="12.75">
      <c r="B519" s="237"/>
      <c r="C519" s="297"/>
      <c r="D519" s="237"/>
      <c r="E519" s="237"/>
    </row>
    <row r="520" spans="2:5" ht="12.75">
      <c r="B520" s="237"/>
      <c r="C520" s="297"/>
      <c r="D520" s="237"/>
      <c r="E520" s="237"/>
    </row>
    <row r="521" spans="2:5" ht="12.75">
      <c r="B521" s="237"/>
      <c r="C521" s="297"/>
      <c r="D521" s="237"/>
      <c r="E521" s="237"/>
    </row>
    <row r="522" spans="2:5" ht="12.75">
      <c r="B522" s="237"/>
      <c r="C522" s="297"/>
      <c r="D522" s="237"/>
      <c r="E522" s="237"/>
    </row>
    <row r="523" spans="2:5" ht="12.75">
      <c r="B523" s="237"/>
      <c r="C523" s="297"/>
      <c r="D523" s="237"/>
      <c r="E523" s="237"/>
    </row>
    <row r="524" spans="2:5" ht="12.75">
      <c r="B524" s="237"/>
      <c r="C524" s="297"/>
      <c r="D524" s="237"/>
      <c r="E524" s="237"/>
    </row>
    <row r="525" spans="2:5" ht="12.75">
      <c r="B525" s="237"/>
      <c r="C525" s="297"/>
      <c r="D525" s="237"/>
      <c r="E525" s="237"/>
    </row>
    <row r="526" spans="2:5" ht="12.75">
      <c r="B526" s="237"/>
      <c r="C526" s="297"/>
      <c r="D526" s="237"/>
      <c r="E526" s="237"/>
    </row>
    <row r="527" spans="2:5" ht="12.75">
      <c r="B527" s="237"/>
      <c r="C527" s="297"/>
      <c r="D527" s="237"/>
      <c r="E527" s="237"/>
    </row>
    <row r="528" spans="2:5" ht="12.75">
      <c r="B528" s="237"/>
      <c r="C528" s="297"/>
      <c r="D528" s="237"/>
      <c r="E528" s="237"/>
    </row>
    <row r="529" spans="2:5" ht="12.75">
      <c r="B529" s="237"/>
      <c r="C529" s="297"/>
      <c r="D529" s="237"/>
      <c r="E529" s="237"/>
    </row>
    <row r="530" spans="2:5" ht="12.75">
      <c r="B530" s="237"/>
      <c r="C530" s="297"/>
      <c r="D530" s="237"/>
      <c r="E530" s="237"/>
    </row>
    <row r="531" spans="2:5" ht="12.75">
      <c r="B531" s="237"/>
      <c r="C531" s="297"/>
      <c r="D531" s="237"/>
      <c r="E531" s="237"/>
    </row>
    <row r="532" spans="2:5" ht="12.75">
      <c r="B532" s="237"/>
      <c r="C532" s="297"/>
      <c r="D532" s="237"/>
      <c r="E532" s="237"/>
    </row>
    <row r="533" spans="2:5" ht="12.75">
      <c r="B533" s="237"/>
      <c r="C533" s="297"/>
      <c r="D533" s="237"/>
      <c r="E533" s="237"/>
    </row>
    <row r="534" spans="2:5" ht="12.75">
      <c r="B534" s="237"/>
      <c r="C534" s="297"/>
      <c r="D534" s="237"/>
      <c r="E534" s="237"/>
    </row>
    <row r="535" spans="2:5" ht="12.75">
      <c r="B535" s="237"/>
      <c r="C535" s="297"/>
      <c r="D535" s="237"/>
      <c r="E535" s="237"/>
    </row>
    <row r="536" spans="2:5" ht="12.75">
      <c r="B536" s="237"/>
      <c r="C536" s="297"/>
      <c r="D536" s="237"/>
      <c r="E536" s="237"/>
    </row>
    <row r="537" spans="2:5" ht="12.75">
      <c r="B537" s="237"/>
      <c r="C537" s="297"/>
      <c r="D537" s="237"/>
      <c r="E537" s="237"/>
    </row>
    <row r="538" spans="2:5" ht="12.75">
      <c r="B538" s="237"/>
      <c r="C538" s="297"/>
      <c r="D538" s="237"/>
      <c r="E538" s="237"/>
    </row>
    <row r="539" spans="2:5" ht="12.75">
      <c r="B539" s="237"/>
      <c r="C539" s="297"/>
      <c r="D539" s="237"/>
      <c r="E539" s="237"/>
    </row>
    <row r="540" spans="2:5" ht="12.75">
      <c r="B540" s="237"/>
      <c r="C540" s="297"/>
      <c r="D540" s="237"/>
      <c r="E540" s="237"/>
    </row>
    <row r="541" spans="2:5" ht="12.75">
      <c r="B541" s="237"/>
      <c r="C541" s="297"/>
      <c r="D541" s="237"/>
      <c r="E541" s="237"/>
    </row>
    <row r="542" spans="2:5" ht="12.75">
      <c r="B542" s="237"/>
      <c r="C542" s="297"/>
      <c r="D542" s="237"/>
      <c r="E542" s="237"/>
    </row>
    <row r="543" spans="2:5" ht="12.75">
      <c r="B543" s="237"/>
      <c r="C543" s="297"/>
      <c r="D543" s="237"/>
      <c r="E543" s="237"/>
    </row>
    <row r="544" spans="2:5" ht="12.75">
      <c r="B544" s="237"/>
      <c r="C544" s="297"/>
      <c r="D544" s="237"/>
      <c r="E544" s="237"/>
    </row>
    <row r="545" spans="2:5" ht="12.75">
      <c r="B545" s="237"/>
      <c r="C545" s="297"/>
      <c r="D545" s="237"/>
      <c r="E545" s="237"/>
    </row>
    <row r="546" spans="2:5" ht="12.75">
      <c r="B546" s="237"/>
      <c r="C546" s="297"/>
      <c r="D546" s="237"/>
      <c r="E546" s="237"/>
    </row>
    <row r="547" spans="2:5" ht="12.75">
      <c r="B547" s="237"/>
      <c r="C547" s="297"/>
      <c r="D547" s="237"/>
      <c r="E547" s="237"/>
    </row>
    <row r="548" spans="2:5" ht="12.75">
      <c r="B548" s="237"/>
      <c r="C548" s="297"/>
      <c r="D548" s="237"/>
      <c r="E548" s="237"/>
    </row>
    <row r="549" spans="2:5" ht="12.75">
      <c r="B549" s="237"/>
      <c r="C549" s="297"/>
      <c r="D549" s="237"/>
      <c r="E549" s="237"/>
    </row>
    <row r="550" spans="2:5" ht="12.75">
      <c r="B550" s="237"/>
      <c r="C550" s="297"/>
      <c r="D550" s="237"/>
      <c r="E550" s="237"/>
    </row>
    <row r="551" spans="2:5" ht="12.75">
      <c r="B551" s="237"/>
      <c r="C551" s="297"/>
      <c r="D551" s="237"/>
      <c r="E551" s="237"/>
    </row>
    <row r="552" spans="2:5" ht="12.75">
      <c r="B552" s="237"/>
      <c r="C552" s="297"/>
      <c r="D552" s="237"/>
      <c r="E552" s="237"/>
    </row>
    <row r="553" spans="2:5" ht="12.75">
      <c r="B553" s="237"/>
      <c r="C553" s="297"/>
      <c r="D553" s="237"/>
      <c r="E553" s="237"/>
    </row>
    <row r="554" spans="2:5" ht="12.75">
      <c r="B554" s="237"/>
      <c r="C554" s="297"/>
      <c r="D554" s="237"/>
      <c r="E554" s="237"/>
    </row>
    <row r="555" spans="2:5" ht="12.75">
      <c r="B555" s="237"/>
      <c r="C555" s="297"/>
      <c r="D555" s="237"/>
      <c r="E555" s="237"/>
    </row>
    <row r="556" spans="2:5" ht="12.75">
      <c r="B556" s="237"/>
      <c r="C556" s="297"/>
      <c r="D556" s="237"/>
      <c r="E556" s="237"/>
    </row>
    <row r="557" spans="2:5" ht="12.75">
      <c r="B557" s="237"/>
      <c r="C557" s="297"/>
      <c r="D557" s="237"/>
      <c r="E557" s="237"/>
    </row>
    <row r="558" spans="2:5" ht="12.75">
      <c r="B558" s="237"/>
      <c r="C558" s="297"/>
      <c r="D558" s="237"/>
      <c r="E558" s="237"/>
    </row>
    <row r="559" spans="2:5" ht="12.75">
      <c r="B559" s="237"/>
      <c r="C559" s="297"/>
      <c r="D559" s="237"/>
      <c r="E559" s="237"/>
    </row>
    <row r="560" spans="2:5" ht="12.75">
      <c r="B560" s="237"/>
      <c r="C560" s="297"/>
      <c r="D560" s="237"/>
      <c r="E560" s="237"/>
    </row>
    <row r="561" spans="2:5" ht="12.75">
      <c r="B561" s="237"/>
      <c r="C561" s="297"/>
      <c r="D561" s="237"/>
      <c r="E561" s="237"/>
    </row>
    <row r="562" spans="2:5" ht="12.75">
      <c r="B562" s="237"/>
      <c r="C562" s="297"/>
      <c r="D562" s="237"/>
      <c r="E562" s="237"/>
    </row>
    <row r="563" spans="2:5" ht="12.75">
      <c r="B563" s="237"/>
      <c r="C563" s="297"/>
      <c r="D563" s="237"/>
      <c r="E563" s="237"/>
    </row>
    <row r="564" spans="2:5" ht="12.75">
      <c r="B564" s="237"/>
      <c r="C564" s="297"/>
      <c r="D564" s="237"/>
      <c r="E564" s="237"/>
    </row>
    <row r="565" spans="2:5" ht="12.75">
      <c r="B565" s="237"/>
      <c r="C565" s="297"/>
      <c r="D565" s="237"/>
      <c r="E565" s="237"/>
    </row>
    <row r="566" spans="2:5" ht="12.75">
      <c r="B566" s="237"/>
      <c r="C566" s="297"/>
      <c r="D566" s="237"/>
      <c r="E566" s="237"/>
    </row>
    <row r="567" spans="2:5" ht="12.75">
      <c r="B567" s="237"/>
      <c r="C567" s="297"/>
      <c r="D567" s="237"/>
      <c r="E567" s="237"/>
    </row>
    <row r="568" spans="2:5" ht="12.75">
      <c r="B568" s="237"/>
      <c r="C568" s="297"/>
      <c r="D568" s="237"/>
      <c r="E568" s="237"/>
    </row>
    <row r="569" spans="2:5" ht="12.75">
      <c r="B569" s="237"/>
      <c r="C569" s="297"/>
      <c r="D569" s="237"/>
      <c r="E569" s="237"/>
    </row>
    <row r="570" spans="2:5" ht="12.75">
      <c r="B570" s="237"/>
      <c r="C570" s="297"/>
      <c r="D570" s="237"/>
      <c r="E570" s="237"/>
    </row>
    <row r="571" spans="2:5" ht="12.75">
      <c r="B571" s="237"/>
      <c r="C571" s="297"/>
      <c r="D571" s="237"/>
      <c r="E571" s="237"/>
    </row>
    <row r="572" spans="2:5" ht="12.75">
      <c r="B572" s="237"/>
      <c r="C572" s="297"/>
      <c r="D572" s="237"/>
      <c r="E572" s="237"/>
    </row>
    <row r="573" spans="2:5" ht="12.75">
      <c r="B573" s="237"/>
      <c r="C573" s="297"/>
      <c r="D573" s="237"/>
      <c r="E573" s="237"/>
    </row>
    <row r="574" spans="2:5" ht="12.75">
      <c r="B574" s="237"/>
      <c r="C574" s="297"/>
      <c r="D574" s="237"/>
      <c r="E574" s="237"/>
    </row>
    <row r="575" spans="2:5" ht="12.75">
      <c r="B575" s="237"/>
      <c r="C575" s="297"/>
      <c r="D575" s="237"/>
      <c r="E575" s="237"/>
    </row>
    <row r="576" spans="2:5" ht="12.75">
      <c r="B576" s="237"/>
      <c r="C576" s="297"/>
      <c r="D576" s="237"/>
      <c r="E576" s="237"/>
    </row>
    <row r="577" spans="2:5" ht="12.75">
      <c r="B577" s="237"/>
      <c r="C577" s="297"/>
      <c r="D577" s="237"/>
      <c r="E577" s="237"/>
    </row>
    <row r="578" spans="2:5" ht="12.75">
      <c r="B578" s="237"/>
      <c r="C578" s="297"/>
      <c r="D578" s="237"/>
      <c r="E578" s="237"/>
    </row>
    <row r="579" spans="2:5" ht="12.75">
      <c r="B579" s="237"/>
      <c r="C579" s="297"/>
      <c r="D579" s="237"/>
      <c r="E579" s="237"/>
    </row>
    <row r="580" spans="2:5" ht="12.75">
      <c r="B580" s="237"/>
      <c r="C580" s="297"/>
      <c r="D580" s="237"/>
      <c r="E580" s="237"/>
    </row>
    <row r="581" spans="2:5" ht="12.75">
      <c r="B581" s="237"/>
      <c r="C581" s="297"/>
      <c r="D581" s="237"/>
      <c r="E581" s="237"/>
    </row>
    <row r="582" spans="2:5" ht="12.75">
      <c r="B582" s="237"/>
      <c r="C582" s="297"/>
      <c r="D582" s="237"/>
      <c r="E582" s="237"/>
    </row>
    <row r="583" spans="2:5" ht="12.75">
      <c r="B583" s="237"/>
      <c r="C583" s="297"/>
      <c r="D583" s="237"/>
      <c r="E583" s="237"/>
    </row>
    <row r="584" spans="2:5" ht="12.75">
      <c r="B584" s="237"/>
      <c r="C584" s="297"/>
      <c r="D584" s="237"/>
      <c r="E584" s="237"/>
    </row>
    <row r="585" spans="2:5" ht="12.75">
      <c r="B585" s="237"/>
      <c r="C585" s="297"/>
      <c r="D585" s="237"/>
      <c r="E585" s="237"/>
    </row>
    <row r="586" spans="2:5" ht="12.75">
      <c r="B586" s="237"/>
      <c r="C586" s="297"/>
      <c r="D586" s="237"/>
      <c r="E586" s="237"/>
    </row>
    <row r="587" spans="2:5" ht="12.75">
      <c r="B587" s="237"/>
      <c r="C587" s="297"/>
      <c r="D587" s="237"/>
      <c r="E587" s="237"/>
    </row>
    <row r="588" spans="2:5" ht="12.75">
      <c r="B588" s="237"/>
      <c r="C588" s="297"/>
      <c r="D588" s="237"/>
      <c r="E588" s="237"/>
    </row>
    <row r="589" spans="2:5" ht="12.75">
      <c r="B589" s="237"/>
      <c r="C589" s="297"/>
      <c r="D589" s="237"/>
      <c r="E589" s="237"/>
    </row>
    <row r="590" spans="2:5" ht="12.75">
      <c r="B590" s="237"/>
      <c r="C590" s="297"/>
      <c r="D590" s="237"/>
      <c r="E590" s="237"/>
    </row>
    <row r="591" spans="2:5" ht="12.75">
      <c r="B591" s="237"/>
      <c r="C591" s="297"/>
      <c r="D591" s="237"/>
      <c r="E591" s="237"/>
    </row>
    <row r="592" spans="2:5" ht="12.75">
      <c r="B592" s="237"/>
      <c r="C592" s="297"/>
      <c r="D592" s="237"/>
      <c r="E592" s="237"/>
    </row>
    <row r="593" spans="2:5" ht="12.75">
      <c r="B593" s="237"/>
      <c r="C593" s="297"/>
      <c r="D593" s="237"/>
      <c r="E593" s="237"/>
    </row>
    <row r="594" spans="2:5" ht="12.75">
      <c r="B594" s="237"/>
      <c r="C594" s="297"/>
      <c r="D594" s="237"/>
      <c r="E594" s="237"/>
    </row>
    <row r="595" spans="2:5" ht="12.75">
      <c r="B595" s="237"/>
      <c r="C595" s="297"/>
      <c r="D595" s="237"/>
      <c r="E595" s="237"/>
    </row>
    <row r="596" spans="2:5" ht="12.75">
      <c r="B596" s="237"/>
      <c r="C596" s="297"/>
      <c r="D596" s="237"/>
      <c r="E596" s="237"/>
    </row>
    <row r="597" spans="2:5" ht="12.75">
      <c r="B597" s="237"/>
      <c r="C597" s="297"/>
      <c r="D597" s="237"/>
      <c r="E597" s="237"/>
    </row>
    <row r="598" spans="2:5" ht="12.75">
      <c r="B598" s="237"/>
      <c r="C598" s="297"/>
      <c r="D598" s="237"/>
      <c r="E598" s="237"/>
    </row>
    <row r="599" spans="2:5" ht="12.75">
      <c r="B599" s="237"/>
      <c r="C599" s="297"/>
      <c r="D599" s="237"/>
      <c r="E599" s="237"/>
    </row>
    <row r="600" spans="2:5" ht="12.75">
      <c r="B600" s="237"/>
      <c r="C600" s="297"/>
      <c r="D600" s="237"/>
      <c r="E600" s="237"/>
    </row>
    <row r="601" spans="2:5" ht="12.75">
      <c r="B601" s="237"/>
      <c r="C601" s="297"/>
      <c r="D601" s="237"/>
      <c r="E601" s="237"/>
    </row>
    <row r="602" spans="2:5" ht="12.75">
      <c r="B602" s="237"/>
      <c r="C602" s="297"/>
      <c r="D602" s="237"/>
      <c r="E602" s="237"/>
    </row>
    <row r="603" spans="2:5" ht="12.75">
      <c r="B603" s="237"/>
      <c r="C603" s="297"/>
      <c r="D603" s="237"/>
      <c r="E603" s="237"/>
    </row>
    <row r="604" spans="2:5" ht="12.75">
      <c r="B604" s="237"/>
      <c r="C604" s="297"/>
      <c r="D604" s="237"/>
      <c r="E604" s="237"/>
    </row>
    <row r="605" spans="2:5" ht="12.75">
      <c r="B605" s="237"/>
      <c r="C605" s="297"/>
      <c r="D605" s="237"/>
      <c r="E605" s="237"/>
    </row>
    <row r="606" spans="2:5" ht="12.75">
      <c r="B606" s="237"/>
      <c r="C606" s="297"/>
      <c r="D606" s="237"/>
      <c r="E606" s="237"/>
    </row>
    <row r="607" spans="2:5" ht="12.75">
      <c r="B607" s="237"/>
      <c r="C607" s="297"/>
      <c r="D607" s="237"/>
      <c r="E607" s="237"/>
    </row>
    <row r="608" spans="2:5" ht="12.75">
      <c r="B608" s="237"/>
      <c r="C608" s="297"/>
      <c r="D608" s="237"/>
      <c r="E608" s="237"/>
    </row>
    <row r="609" spans="2:5" ht="12.75">
      <c r="B609" s="237"/>
      <c r="C609" s="297"/>
      <c r="D609" s="237"/>
      <c r="E609" s="237"/>
    </row>
    <row r="610" spans="2:5" ht="12.75">
      <c r="B610" s="237"/>
      <c r="C610" s="297"/>
      <c r="D610" s="237"/>
      <c r="E610" s="237"/>
    </row>
    <row r="611" spans="2:5" ht="12.75">
      <c r="B611" s="237"/>
      <c r="C611" s="297"/>
      <c r="D611" s="237"/>
      <c r="E611" s="237"/>
    </row>
    <row r="612" spans="2:5" ht="12.75">
      <c r="B612" s="237"/>
      <c r="C612" s="297"/>
      <c r="D612" s="237"/>
      <c r="E612" s="237"/>
    </row>
    <row r="613" spans="2:5" ht="12.75">
      <c r="B613" s="237"/>
      <c r="C613" s="297"/>
      <c r="D613" s="237"/>
      <c r="E613" s="237"/>
    </row>
    <row r="614" spans="2:5" ht="12.75">
      <c r="B614" s="237"/>
      <c r="C614" s="297"/>
      <c r="D614" s="237"/>
      <c r="E614" s="237"/>
    </row>
    <row r="615" spans="2:5" ht="12.75">
      <c r="B615" s="237"/>
      <c r="C615" s="297"/>
      <c r="D615" s="237"/>
      <c r="E615" s="237"/>
    </row>
    <row r="616" spans="2:5" ht="12.75">
      <c r="B616" s="237"/>
      <c r="C616" s="297"/>
      <c r="D616" s="237"/>
      <c r="E616" s="237"/>
    </row>
    <row r="617" spans="2:5" ht="12.75">
      <c r="B617" s="237"/>
      <c r="C617" s="297"/>
      <c r="D617" s="237"/>
      <c r="E617" s="237"/>
    </row>
    <row r="618" spans="2:5" ht="12.75">
      <c r="B618" s="237"/>
      <c r="C618" s="297"/>
      <c r="D618" s="237"/>
      <c r="E618" s="237"/>
    </row>
    <row r="619" spans="2:5" ht="12.75">
      <c r="B619" s="237"/>
      <c r="C619" s="297"/>
      <c r="D619" s="237"/>
      <c r="E619" s="237"/>
    </row>
    <row r="620" spans="2:5" ht="12.75">
      <c r="B620" s="237"/>
      <c r="C620" s="297"/>
      <c r="D620" s="237"/>
      <c r="E620" s="237"/>
    </row>
    <row r="621" spans="2:5" ht="12.75">
      <c r="B621" s="237"/>
      <c r="C621" s="297"/>
      <c r="D621" s="237"/>
      <c r="E621" s="237"/>
    </row>
    <row r="622" spans="2:5" ht="12.75">
      <c r="B622" s="237"/>
      <c r="C622" s="297"/>
      <c r="D622" s="237"/>
      <c r="E622" s="237"/>
    </row>
    <row r="623" spans="2:5" ht="12.75">
      <c r="B623" s="237"/>
      <c r="C623" s="297"/>
      <c r="D623" s="237"/>
      <c r="E623" s="237"/>
    </row>
    <row r="624" spans="2:5" ht="12.75">
      <c r="B624" s="237"/>
      <c r="C624" s="297"/>
      <c r="D624" s="237"/>
      <c r="E624" s="237"/>
    </row>
    <row r="625" spans="2:5" ht="12.75">
      <c r="B625" s="237"/>
      <c r="C625" s="297"/>
      <c r="D625" s="237"/>
      <c r="E625" s="237"/>
    </row>
    <row r="626" spans="2:5" ht="12.75">
      <c r="B626" s="237"/>
      <c r="C626" s="297"/>
      <c r="D626" s="237"/>
      <c r="E626" s="237"/>
    </row>
    <row r="627" spans="2:5" ht="12.75">
      <c r="B627" s="237"/>
      <c r="C627" s="297"/>
      <c r="D627" s="237"/>
      <c r="E627" s="237"/>
    </row>
    <row r="628" spans="2:5" ht="12.75">
      <c r="B628" s="237"/>
      <c r="C628" s="297"/>
      <c r="D628" s="237"/>
      <c r="E628" s="237"/>
    </row>
    <row r="629" spans="2:5" ht="12.75">
      <c r="B629" s="237"/>
      <c r="C629" s="297"/>
      <c r="D629" s="237"/>
      <c r="E629" s="237"/>
    </row>
    <row r="630" spans="2:5" ht="12.75">
      <c r="B630" s="237"/>
      <c r="C630" s="297"/>
      <c r="D630" s="237"/>
      <c r="E630" s="237"/>
    </row>
    <row r="631" spans="2:5" ht="12.75">
      <c r="B631" s="237"/>
      <c r="C631" s="297"/>
      <c r="D631" s="237"/>
      <c r="E631" s="237"/>
    </row>
    <row r="632" spans="2:5" ht="12.75">
      <c r="B632" s="237"/>
      <c r="C632" s="297"/>
      <c r="D632" s="237"/>
      <c r="E632" s="237"/>
    </row>
    <row r="633" spans="2:5" ht="12.75">
      <c r="B633" s="237"/>
      <c r="C633" s="297"/>
      <c r="D633" s="237"/>
      <c r="E633" s="237"/>
    </row>
    <row r="634" spans="2:5" ht="12.75">
      <c r="B634" s="237"/>
      <c r="C634" s="297"/>
      <c r="D634" s="237"/>
      <c r="E634" s="237"/>
    </row>
    <row r="635" spans="2:5" ht="12.75">
      <c r="B635" s="237"/>
      <c r="C635" s="297"/>
      <c r="D635" s="237"/>
      <c r="E635" s="237"/>
    </row>
    <row r="636" spans="2:5" ht="12.75">
      <c r="B636" s="237"/>
      <c r="C636" s="297"/>
      <c r="D636" s="237"/>
      <c r="E636" s="237"/>
    </row>
    <row r="637" spans="2:5" ht="12.75">
      <c r="B637" s="237"/>
      <c r="C637" s="297"/>
      <c r="D637" s="237"/>
      <c r="E637" s="237"/>
    </row>
    <row r="638" spans="2:5" ht="12.75">
      <c r="B638" s="237"/>
      <c r="C638" s="297"/>
      <c r="D638" s="237"/>
      <c r="E638" s="237"/>
    </row>
    <row r="639" spans="2:5" ht="12.75">
      <c r="B639" s="237"/>
      <c r="C639" s="297"/>
      <c r="D639" s="237"/>
      <c r="E639" s="237"/>
    </row>
    <row r="640" spans="2:5" ht="12.75">
      <c r="B640" s="237"/>
      <c r="C640" s="297"/>
      <c r="D640" s="237"/>
      <c r="E640" s="237"/>
    </row>
    <row r="641" spans="2:5" ht="12.75">
      <c r="B641" s="237"/>
      <c r="C641" s="297"/>
      <c r="D641" s="237"/>
      <c r="E641" s="237"/>
    </row>
    <row r="642" spans="2:5" ht="12.75">
      <c r="B642" s="237"/>
      <c r="C642" s="297"/>
      <c r="D642" s="237"/>
      <c r="E642" s="237"/>
    </row>
    <row r="643" spans="2:5" ht="12.75">
      <c r="B643" s="237"/>
      <c r="C643" s="297"/>
      <c r="D643" s="237"/>
      <c r="E643" s="237"/>
    </row>
    <row r="644" spans="2:5" ht="12.75">
      <c r="B644" s="237"/>
      <c r="C644" s="297"/>
      <c r="D644" s="237"/>
      <c r="E644" s="237"/>
    </row>
    <row r="645" spans="2:5" ht="12.75">
      <c r="B645" s="237"/>
      <c r="C645" s="297"/>
      <c r="D645" s="237"/>
      <c r="E645" s="237"/>
    </row>
    <row r="646" spans="2:5" ht="12.75">
      <c r="B646" s="237"/>
      <c r="C646" s="297"/>
      <c r="D646" s="237"/>
      <c r="E646" s="237"/>
    </row>
    <row r="647" spans="2:5" ht="12.75">
      <c r="B647" s="237"/>
      <c r="C647" s="297"/>
      <c r="D647" s="237"/>
      <c r="E647" s="237"/>
    </row>
    <row r="648" spans="2:5" ht="12.75">
      <c r="B648" s="237"/>
      <c r="C648" s="297"/>
      <c r="D648" s="237"/>
      <c r="E648" s="237"/>
    </row>
    <row r="649" spans="2:5" ht="12.75">
      <c r="B649" s="237"/>
      <c r="C649" s="297"/>
      <c r="D649" s="237"/>
      <c r="E649" s="237"/>
    </row>
    <row r="650" spans="2:5" ht="12.75">
      <c r="B650" s="237"/>
      <c r="C650" s="297"/>
      <c r="D650" s="237"/>
      <c r="E650" s="237"/>
    </row>
    <row r="651" spans="2:5" ht="12.75">
      <c r="B651" s="237"/>
      <c r="C651" s="297"/>
      <c r="D651" s="237"/>
      <c r="E651" s="237"/>
    </row>
    <row r="652" spans="2:5" ht="12.75">
      <c r="B652" s="237"/>
      <c r="C652" s="297"/>
      <c r="D652" s="237"/>
      <c r="E652" s="237"/>
    </row>
    <row r="653" spans="2:5" ht="12.75">
      <c r="B653" s="237"/>
      <c r="C653" s="297"/>
      <c r="D653" s="237"/>
      <c r="E653" s="237"/>
    </row>
    <row r="654" spans="2:5" ht="12.75">
      <c r="B654" s="237"/>
      <c r="C654" s="297"/>
      <c r="D654" s="237"/>
      <c r="E654" s="237"/>
    </row>
    <row r="655" spans="2:5" ht="12.75">
      <c r="B655" s="237"/>
      <c r="C655" s="297"/>
      <c r="D655" s="237"/>
      <c r="E655" s="237"/>
    </row>
    <row r="656" spans="2:5" ht="12.75">
      <c r="B656" s="237"/>
      <c r="C656" s="297"/>
      <c r="D656" s="237"/>
      <c r="E656" s="237"/>
    </row>
    <row r="657" spans="2:5" ht="12.75">
      <c r="B657" s="237"/>
      <c r="C657" s="297"/>
      <c r="D657" s="237"/>
      <c r="E657" s="237"/>
    </row>
    <row r="658" spans="2:5" ht="12.75">
      <c r="B658" s="237"/>
      <c r="C658" s="297"/>
      <c r="D658" s="237"/>
      <c r="E658" s="237"/>
    </row>
    <row r="659" spans="2:5" ht="12.75">
      <c r="B659" s="237"/>
      <c r="C659" s="297"/>
      <c r="D659" s="237"/>
      <c r="E659" s="237"/>
    </row>
    <row r="660" spans="2:5" ht="12.75">
      <c r="B660" s="237"/>
      <c r="C660" s="297"/>
      <c r="D660" s="237"/>
      <c r="E660" s="237"/>
    </row>
    <row r="661" spans="2:5" ht="12.75">
      <c r="B661" s="237"/>
      <c r="C661" s="297"/>
      <c r="D661" s="237"/>
      <c r="E661" s="237"/>
    </row>
    <row r="662" spans="2:5" ht="12.75">
      <c r="B662" s="237"/>
      <c r="C662" s="297"/>
      <c r="D662" s="237"/>
      <c r="E662" s="237"/>
    </row>
    <row r="663" spans="2:5" ht="12.75">
      <c r="B663" s="237"/>
      <c r="C663" s="297"/>
      <c r="D663" s="237"/>
      <c r="E663" s="237"/>
    </row>
    <row r="664" spans="2:5" ht="12.75">
      <c r="B664" s="237"/>
      <c r="C664" s="297"/>
      <c r="D664" s="237"/>
      <c r="E664" s="237"/>
    </row>
    <row r="665" spans="2:5" ht="12.75">
      <c r="B665" s="237"/>
      <c r="C665" s="297"/>
      <c r="D665" s="237"/>
      <c r="E665" s="237"/>
    </row>
    <row r="666" spans="2:5" ht="12.75">
      <c r="B666" s="237"/>
      <c r="C666" s="297"/>
      <c r="D666" s="237"/>
      <c r="E666" s="237"/>
    </row>
    <row r="667" spans="2:5" ht="12.75">
      <c r="B667" s="237"/>
      <c r="C667" s="297"/>
      <c r="D667" s="237"/>
      <c r="E667" s="237"/>
    </row>
    <row r="668" spans="2:5" ht="12.75">
      <c r="B668" s="237"/>
      <c r="C668" s="297"/>
      <c r="D668" s="237"/>
      <c r="E668" s="237"/>
    </row>
    <row r="669" spans="2:5" ht="12.75">
      <c r="B669" s="237"/>
      <c r="C669" s="297"/>
      <c r="D669" s="237"/>
      <c r="E669" s="237"/>
    </row>
    <row r="670" spans="2:5" ht="12.75">
      <c r="B670" s="237"/>
      <c r="C670" s="297"/>
      <c r="D670" s="237"/>
      <c r="E670" s="237"/>
    </row>
    <row r="671" spans="2:5" ht="12.75">
      <c r="B671" s="237"/>
      <c r="C671" s="297"/>
      <c r="D671" s="237"/>
      <c r="E671" s="237"/>
    </row>
    <row r="672" spans="2:5" ht="12.75">
      <c r="B672" s="237"/>
      <c r="C672" s="297"/>
      <c r="D672" s="237"/>
      <c r="E672" s="237"/>
    </row>
    <row r="673" spans="2:5" ht="12.75">
      <c r="B673" s="237"/>
      <c r="C673" s="297"/>
      <c r="D673" s="237"/>
      <c r="E673" s="237"/>
    </row>
    <row r="674" spans="2:5" ht="12.75">
      <c r="B674" s="237"/>
      <c r="C674" s="297"/>
      <c r="D674" s="237"/>
      <c r="E674" s="237"/>
    </row>
    <row r="675" spans="2:5" ht="12.75">
      <c r="B675" s="237"/>
      <c r="C675" s="297"/>
      <c r="D675" s="237"/>
      <c r="E675" s="237"/>
    </row>
    <row r="676" spans="2:5" ht="12.75">
      <c r="B676" s="237"/>
      <c r="C676" s="297"/>
      <c r="D676" s="237"/>
      <c r="E676" s="237"/>
    </row>
    <row r="677" spans="2:5" ht="12.75">
      <c r="B677" s="237"/>
      <c r="C677" s="297"/>
      <c r="D677" s="237"/>
      <c r="E677" s="237"/>
    </row>
    <row r="678" spans="2:5" ht="12.75">
      <c r="B678" s="237"/>
      <c r="C678" s="297"/>
      <c r="D678" s="237"/>
      <c r="E678" s="237"/>
    </row>
    <row r="679" spans="2:5" ht="12.75">
      <c r="B679" s="237"/>
      <c r="C679" s="297"/>
      <c r="D679" s="237"/>
      <c r="E679" s="237"/>
    </row>
    <row r="680" spans="2:5" ht="12.75">
      <c r="B680" s="237"/>
      <c r="C680" s="297"/>
      <c r="D680" s="237"/>
      <c r="E680" s="237"/>
    </row>
    <row r="681" spans="2:5" ht="12.75">
      <c r="B681" s="237"/>
      <c r="C681" s="297"/>
      <c r="D681" s="237"/>
      <c r="E681" s="237"/>
    </row>
    <row r="682" spans="2:5" ht="12.75">
      <c r="B682" s="237"/>
      <c r="C682" s="297"/>
      <c r="D682" s="237"/>
      <c r="E682" s="237"/>
    </row>
    <row r="683" spans="2:5" ht="12.75">
      <c r="B683" s="237"/>
      <c r="C683" s="297"/>
      <c r="D683" s="237"/>
      <c r="E683" s="237"/>
    </row>
    <row r="684" spans="2:5" ht="12.75">
      <c r="B684" s="237"/>
      <c r="C684" s="297"/>
      <c r="D684" s="237"/>
      <c r="E684" s="237"/>
    </row>
    <row r="685" spans="2:5" ht="12.75">
      <c r="B685" s="237"/>
      <c r="C685" s="297"/>
      <c r="D685" s="237"/>
      <c r="E685" s="237"/>
    </row>
    <row r="686" spans="2:5" ht="12.75">
      <c r="B686" s="237"/>
      <c r="C686" s="297"/>
      <c r="D686" s="237"/>
      <c r="E686" s="237"/>
    </row>
    <row r="687" spans="2:5" ht="12.75">
      <c r="B687" s="237"/>
      <c r="C687" s="297"/>
      <c r="D687" s="237"/>
      <c r="E687" s="237"/>
    </row>
    <row r="688" spans="2:5" ht="12.75">
      <c r="B688" s="237"/>
      <c r="C688" s="297"/>
      <c r="D688" s="237"/>
      <c r="E688" s="237"/>
    </row>
    <row r="689" spans="2:5" ht="12.75">
      <c r="B689" s="237"/>
      <c r="C689" s="297"/>
      <c r="D689" s="237"/>
      <c r="E689" s="237"/>
    </row>
    <row r="690" spans="2:5" ht="12.75">
      <c r="B690" s="237"/>
      <c r="C690" s="297"/>
      <c r="D690" s="237"/>
      <c r="E690" s="237"/>
    </row>
    <row r="691" spans="2:5" ht="12.75">
      <c r="B691" s="237"/>
      <c r="C691" s="297"/>
      <c r="D691" s="237"/>
      <c r="E691" s="237"/>
    </row>
    <row r="692" spans="2:5" ht="12.75">
      <c r="B692" s="237"/>
      <c r="C692" s="297"/>
      <c r="D692" s="237"/>
      <c r="E692" s="237"/>
    </row>
    <row r="693" spans="2:5" ht="12.75">
      <c r="B693" s="237"/>
      <c r="C693" s="297"/>
      <c r="D693" s="237"/>
      <c r="E693" s="237"/>
    </row>
    <row r="694" spans="2:5" ht="12.75">
      <c r="B694" s="237"/>
      <c r="C694" s="297"/>
      <c r="D694" s="237"/>
      <c r="E694" s="237"/>
    </row>
    <row r="695" spans="2:5" ht="12.75">
      <c r="B695" s="237"/>
      <c r="C695" s="297"/>
      <c r="D695" s="237"/>
      <c r="E695" s="237"/>
    </row>
    <row r="696" spans="2:5" ht="12.75">
      <c r="B696" s="237"/>
      <c r="C696" s="297"/>
      <c r="D696" s="237"/>
      <c r="E696" s="237"/>
    </row>
    <row r="697" spans="2:5" ht="12.75">
      <c r="B697" s="237"/>
      <c r="C697" s="297"/>
      <c r="D697" s="237"/>
      <c r="E697" s="237"/>
    </row>
    <row r="698" spans="2:5" ht="12.75">
      <c r="B698" s="237"/>
      <c r="C698" s="297"/>
      <c r="D698" s="237"/>
      <c r="E698" s="237"/>
    </row>
    <row r="699" spans="2:5" ht="12.75">
      <c r="B699" s="237"/>
      <c r="C699" s="297"/>
      <c r="D699" s="237"/>
      <c r="E699" s="237"/>
    </row>
    <row r="700" spans="2:5" ht="12.75">
      <c r="B700" s="237"/>
      <c r="C700" s="297"/>
      <c r="D700" s="237"/>
      <c r="E700" s="237"/>
    </row>
    <row r="701" spans="2:5" ht="12.75">
      <c r="B701" s="237"/>
      <c r="C701" s="297"/>
      <c r="D701" s="237"/>
      <c r="E701" s="237"/>
    </row>
    <row r="702" spans="2:5" ht="12.75">
      <c r="B702" s="237"/>
      <c r="C702" s="297"/>
      <c r="D702" s="237"/>
      <c r="E702" s="237"/>
    </row>
    <row r="703" spans="2:5" ht="12.75">
      <c r="B703" s="237"/>
      <c r="C703" s="297"/>
      <c r="D703" s="237"/>
      <c r="E703" s="237"/>
    </row>
    <row r="704" spans="2:5" ht="12.75">
      <c r="B704" s="237"/>
      <c r="C704" s="297"/>
      <c r="D704" s="237"/>
      <c r="E704" s="237"/>
    </row>
    <row r="705" spans="2:5" ht="12.75">
      <c r="B705" s="237"/>
      <c r="C705" s="297"/>
      <c r="D705" s="237"/>
      <c r="E705" s="237"/>
    </row>
    <row r="706" spans="2:5" ht="12.75">
      <c r="B706" s="237"/>
      <c r="C706" s="297"/>
      <c r="D706" s="237"/>
      <c r="E706" s="237"/>
    </row>
    <row r="707" spans="2:5" ht="12.75">
      <c r="B707" s="237"/>
      <c r="C707" s="297"/>
      <c r="D707" s="237"/>
      <c r="E707" s="237"/>
    </row>
    <row r="708" spans="2:5" ht="12.75">
      <c r="B708" s="237"/>
      <c r="C708" s="297"/>
      <c r="D708" s="237"/>
      <c r="E708" s="237"/>
    </row>
    <row r="709" spans="2:5" ht="12.75">
      <c r="B709" s="237"/>
      <c r="C709" s="297"/>
      <c r="D709" s="237"/>
      <c r="E709" s="237"/>
    </row>
    <row r="710" spans="2:5" ht="12.75">
      <c r="B710" s="237"/>
      <c r="C710" s="297"/>
      <c r="D710" s="237"/>
      <c r="E710" s="237"/>
    </row>
    <row r="711" spans="2:5" ht="12.75">
      <c r="B711" s="237"/>
      <c r="C711" s="297"/>
      <c r="D711" s="237"/>
      <c r="E711" s="237"/>
    </row>
    <row r="712" spans="2:5" ht="12.75">
      <c r="B712" s="237"/>
      <c r="C712" s="297"/>
      <c r="D712" s="237"/>
      <c r="E712" s="237"/>
    </row>
    <row r="713" spans="2:5" ht="12.75">
      <c r="B713" s="237"/>
      <c r="C713" s="297"/>
      <c r="D713" s="237"/>
      <c r="E713" s="237"/>
    </row>
    <row r="714" spans="2:5" ht="12.75">
      <c r="B714" s="237"/>
      <c r="C714" s="297"/>
      <c r="D714" s="237"/>
      <c r="E714" s="237"/>
    </row>
    <row r="715" spans="2:5" ht="12.75">
      <c r="B715" s="237"/>
      <c r="C715" s="297"/>
      <c r="D715" s="237"/>
      <c r="E715" s="237"/>
    </row>
    <row r="716" spans="2:5" ht="12.75">
      <c r="B716" s="237"/>
      <c r="C716" s="297"/>
      <c r="D716" s="237"/>
      <c r="E716" s="237"/>
    </row>
    <row r="717" spans="2:5" ht="12.75">
      <c r="B717" s="237"/>
      <c r="C717" s="297"/>
      <c r="D717" s="237"/>
      <c r="E717" s="237"/>
    </row>
    <row r="718" spans="2:5" ht="12.75">
      <c r="B718" s="237"/>
      <c r="C718" s="297"/>
      <c r="D718" s="237"/>
      <c r="E718" s="237"/>
    </row>
    <row r="719" spans="2:5" ht="12.75">
      <c r="B719" s="237"/>
      <c r="C719" s="297"/>
      <c r="D719" s="237"/>
      <c r="E719" s="237"/>
    </row>
    <row r="720" spans="2:5" ht="12.75">
      <c r="B720" s="237"/>
      <c r="C720" s="297"/>
      <c r="D720" s="237"/>
      <c r="E720" s="237"/>
    </row>
    <row r="721" spans="2:5" ht="12.75">
      <c r="B721" s="237"/>
      <c r="C721" s="297"/>
      <c r="D721" s="237"/>
      <c r="E721" s="237"/>
    </row>
    <row r="722" spans="2:5" ht="12.75">
      <c r="B722" s="237"/>
      <c r="C722" s="297"/>
      <c r="D722" s="237"/>
      <c r="E722" s="237"/>
    </row>
    <row r="723" spans="2:5" ht="12.75">
      <c r="B723" s="237"/>
      <c r="C723" s="297"/>
      <c r="D723" s="237"/>
      <c r="E723" s="237"/>
    </row>
    <row r="724" spans="2:5" ht="12.75">
      <c r="B724" s="237"/>
      <c r="C724" s="297"/>
      <c r="D724" s="237"/>
      <c r="E724" s="237"/>
    </row>
    <row r="725" spans="2:5" ht="12.75">
      <c r="B725" s="237"/>
      <c r="C725" s="297"/>
      <c r="D725" s="237"/>
      <c r="E725" s="237"/>
    </row>
    <row r="726" spans="2:5" ht="12.75">
      <c r="B726" s="237"/>
      <c r="C726" s="297"/>
      <c r="D726" s="237"/>
      <c r="E726" s="237"/>
    </row>
    <row r="727" spans="2:5" ht="12.75">
      <c r="B727" s="237"/>
      <c r="C727" s="297"/>
      <c r="D727" s="237"/>
      <c r="E727" s="237"/>
    </row>
    <row r="728" spans="2:5" ht="12.75">
      <c r="B728" s="237"/>
      <c r="C728" s="297"/>
      <c r="D728" s="237"/>
      <c r="E728" s="237"/>
    </row>
    <row r="729" spans="2:5" ht="12.75">
      <c r="B729" s="237"/>
      <c r="C729" s="297"/>
      <c r="D729" s="237"/>
      <c r="E729" s="237"/>
    </row>
    <row r="730" spans="2:5" ht="12.75">
      <c r="B730" s="237"/>
      <c r="C730" s="297"/>
      <c r="D730" s="237"/>
      <c r="E730" s="237"/>
    </row>
    <row r="731" spans="2:5" ht="12.75">
      <c r="B731" s="237"/>
      <c r="C731" s="297"/>
      <c r="D731" s="237"/>
      <c r="E731" s="237"/>
    </row>
    <row r="732" spans="2:5" ht="12.75">
      <c r="B732" s="237"/>
      <c r="C732" s="297"/>
      <c r="D732" s="237"/>
      <c r="E732" s="237"/>
    </row>
    <row r="733" spans="2:5" ht="12.75">
      <c r="B733" s="237"/>
      <c r="C733" s="297"/>
      <c r="D733" s="237"/>
      <c r="E733" s="237"/>
    </row>
    <row r="734" spans="2:5" ht="12.75">
      <c r="B734" s="237"/>
      <c r="C734" s="297"/>
      <c r="D734" s="237"/>
      <c r="E734" s="237"/>
    </row>
    <row r="735" spans="2:5" ht="12.75">
      <c r="B735" s="237"/>
      <c r="C735" s="297"/>
      <c r="D735" s="237"/>
      <c r="E735" s="237"/>
    </row>
    <row r="736" spans="2:5" ht="12.75">
      <c r="B736" s="237"/>
      <c r="C736" s="297"/>
      <c r="D736" s="237"/>
      <c r="E736" s="237"/>
    </row>
    <row r="737" spans="2:5" ht="12.75">
      <c r="B737" s="237"/>
      <c r="C737" s="297"/>
      <c r="D737" s="237"/>
      <c r="E737" s="237"/>
    </row>
    <row r="738" spans="2:5" ht="12.75">
      <c r="B738" s="237"/>
      <c r="C738" s="297"/>
      <c r="D738" s="237"/>
      <c r="E738" s="237"/>
    </row>
    <row r="739" spans="2:5" ht="12.75">
      <c r="B739" s="237"/>
      <c r="C739" s="297"/>
      <c r="D739" s="237"/>
      <c r="E739" s="237"/>
    </row>
    <row r="740" spans="2:5" ht="12.75">
      <c r="B740" s="237"/>
      <c r="C740" s="297"/>
      <c r="D740" s="237"/>
      <c r="E740" s="237"/>
    </row>
    <row r="741" spans="2:5" ht="12.75">
      <c r="B741" s="237"/>
      <c r="C741" s="297"/>
      <c r="D741" s="237"/>
      <c r="E741" s="237"/>
    </row>
    <row r="742" spans="2:5" ht="12.75">
      <c r="B742" s="237"/>
      <c r="C742" s="297"/>
      <c r="D742" s="237"/>
      <c r="E742" s="237"/>
    </row>
    <row r="743" spans="2:5" ht="12.75">
      <c r="B743" s="237"/>
      <c r="C743" s="297"/>
      <c r="D743" s="237"/>
      <c r="E743" s="237"/>
    </row>
    <row r="744" spans="2:5" ht="12.75">
      <c r="B744" s="237"/>
      <c r="C744" s="297"/>
      <c r="D744" s="237"/>
      <c r="E744" s="237"/>
    </row>
    <row r="745" spans="2:5" ht="12.75">
      <c r="B745" s="237"/>
      <c r="C745" s="297"/>
      <c r="D745" s="237"/>
      <c r="E745" s="237"/>
    </row>
    <row r="746" spans="2:5" ht="12.75">
      <c r="B746" s="237"/>
      <c r="C746" s="297"/>
      <c r="D746" s="237"/>
      <c r="E746" s="237"/>
    </row>
    <row r="747" spans="2:5" ht="12.75">
      <c r="B747" s="237"/>
      <c r="C747" s="297"/>
      <c r="D747" s="237"/>
      <c r="E747" s="237"/>
    </row>
    <row r="748" spans="2:5" ht="12.75">
      <c r="B748" s="237"/>
      <c r="C748" s="297"/>
      <c r="D748" s="237"/>
      <c r="E748" s="237"/>
    </row>
    <row r="749" spans="2:5" ht="12.75">
      <c r="B749" s="237"/>
      <c r="C749" s="297"/>
      <c r="D749" s="237"/>
      <c r="E749" s="237"/>
    </row>
    <row r="750" spans="2:5" ht="12.75">
      <c r="B750" s="237"/>
      <c r="C750" s="297"/>
      <c r="D750" s="237"/>
      <c r="E750" s="237"/>
    </row>
    <row r="751" spans="2:5" ht="12.75">
      <c r="B751" s="237"/>
      <c r="C751" s="297"/>
      <c r="D751" s="237"/>
      <c r="E751" s="237"/>
    </row>
    <row r="752" spans="2:5" ht="12.75">
      <c r="B752" s="237"/>
      <c r="C752" s="297"/>
      <c r="D752" s="237"/>
      <c r="E752" s="237"/>
    </row>
    <row r="753" spans="2:5" ht="12.75">
      <c r="B753" s="237"/>
      <c r="C753" s="297"/>
      <c r="D753" s="237"/>
      <c r="E753" s="237"/>
    </row>
    <row r="754" spans="2:5" ht="12.75">
      <c r="B754" s="237"/>
      <c r="C754" s="297"/>
      <c r="D754" s="237"/>
      <c r="E754" s="237"/>
    </row>
    <row r="755" spans="2:5" ht="12.75">
      <c r="B755" s="237"/>
      <c r="C755" s="297"/>
      <c r="D755" s="237"/>
      <c r="E755" s="237"/>
    </row>
    <row r="756" spans="2:5" ht="12.75">
      <c r="B756" s="237"/>
      <c r="C756" s="297"/>
      <c r="D756" s="237"/>
      <c r="E756" s="237"/>
    </row>
    <row r="757" spans="2:5" ht="12.75">
      <c r="B757" s="237"/>
      <c r="C757" s="297"/>
      <c r="D757" s="237"/>
      <c r="E757" s="237"/>
    </row>
    <row r="758" spans="2:5" ht="12.75">
      <c r="B758" s="237"/>
      <c r="C758" s="297"/>
      <c r="D758" s="237"/>
      <c r="E758" s="237"/>
    </row>
    <row r="759" spans="2:5" ht="12.75">
      <c r="B759" s="237"/>
      <c r="C759" s="297"/>
      <c r="D759" s="237"/>
      <c r="E759" s="237"/>
    </row>
    <row r="760" spans="2:5" ht="12.75">
      <c r="B760" s="237"/>
      <c r="C760" s="297"/>
      <c r="D760" s="237"/>
      <c r="E760" s="237"/>
    </row>
    <row r="761" spans="2:5" ht="12.75">
      <c r="B761" s="237"/>
      <c r="C761" s="297"/>
      <c r="D761" s="237"/>
      <c r="E761" s="237"/>
    </row>
    <row r="762" spans="2:5" ht="12.75">
      <c r="B762" s="237"/>
      <c r="C762" s="297"/>
      <c r="D762" s="237"/>
      <c r="E762" s="237"/>
    </row>
    <row r="763" spans="2:5" ht="12.75">
      <c r="B763" s="237"/>
      <c r="C763" s="297"/>
      <c r="D763" s="237"/>
      <c r="E763" s="237"/>
    </row>
    <row r="764" spans="2:5" ht="12.75">
      <c r="B764" s="237"/>
      <c r="C764" s="297"/>
      <c r="D764" s="237"/>
      <c r="E764" s="237"/>
    </row>
    <row r="765" spans="2:5" ht="12.75">
      <c r="B765" s="237"/>
      <c r="C765" s="297"/>
      <c r="D765" s="237"/>
      <c r="E765" s="237"/>
    </row>
    <row r="766" spans="2:5" ht="12.75">
      <c r="B766" s="237"/>
      <c r="C766" s="297"/>
      <c r="D766" s="237"/>
      <c r="E766" s="237"/>
    </row>
    <row r="767" spans="2:5" ht="12.75">
      <c r="B767" s="237"/>
      <c r="C767" s="297"/>
      <c r="D767" s="237"/>
      <c r="E767" s="237"/>
    </row>
    <row r="768" spans="2:5" ht="12.75">
      <c r="B768" s="237"/>
      <c r="C768" s="297"/>
      <c r="D768" s="237"/>
      <c r="E768" s="237"/>
    </row>
    <row r="769" spans="2:5" ht="12.75">
      <c r="B769" s="237"/>
      <c r="C769" s="297"/>
      <c r="D769" s="237"/>
      <c r="E769" s="237"/>
    </row>
    <row r="770" spans="2:5" ht="12.75">
      <c r="B770" s="237"/>
      <c r="C770" s="297"/>
      <c r="D770" s="237"/>
      <c r="E770" s="237"/>
    </row>
    <row r="771" spans="2:5" ht="12.75">
      <c r="B771" s="237"/>
      <c r="C771" s="297"/>
      <c r="D771" s="237"/>
      <c r="E771" s="237"/>
    </row>
    <row r="772" spans="2:5" ht="12.75">
      <c r="B772" s="237"/>
      <c r="C772" s="297"/>
      <c r="D772" s="237"/>
      <c r="E772" s="237"/>
    </row>
    <row r="773" spans="2:5" ht="12.75">
      <c r="B773" s="237"/>
      <c r="C773" s="297"/>
      <c r="D773" s="237"/>
      <c r="E773" s="237"/>
    </row>
    <row r="774" spans="2:5" ht="12.75">
      <c r="B774" s="237"/>
      <c r="C774" s="297"/>
      <c r="D774" s="237"/>
      <c r="E774" s="237"/>
    </row>
    <row r="775" spans="2:5" ht="12.75">
      <c r="B775" s="237"/>
      <c r="C775" s="297"/>
      <c r="D775" s="237"/>
      <c r="E775" s="237"/>
    </row>
    <row r="776" spans="2:5" ht="12.75">
      <c r="B776" s="237"/>
      <c r="C776" s="297"/>
      <c r="D776" s="237"/>
      <c r="E776" s="237"/>
    </row>
    <row r="777" spans="2:5" ht="12.75">
      <c r="B777" s="237"/>
      <c r="C777" s="297"/>
      <c r="D777" s="237"/>
      <c r="E777" s="237"/>
    </row>
    <row r="778" spans="2:5" ht="12.75">
      <c r="B778" s="237"/>
      <c r="C778" s="297"/>
      <c r="D778" s="237"/>
      <c r="E778" s="237"/>
    </row>
    <row r="779" spans="2:5" ht="12.75">
      <c r="B779" s="237"/>
      <c r="C779" s="297"/>
      <c r="D779" s="237"/>
      <c r="E779" s="237"/>
    </row>
    <row r="780" spans="2:5" ht="12.75">
      <c r="B780" s="237"/>
      <c r="C780" s="297"/>
      <c r="D780" s="237"/>
      <c r="E780" s="237"/>
    </row>
    <row r="781" spans="2:5" ht="12.75">
      <c r="B781" s="237"/>
      <c r="C781" s="297"/>
      <c r="D781" s="237"/>
      <c r="E781" s="237"/>
    </row>
    <row r="782" spans="2:5" ht="12.75">
      <c r="B782" s="237"/>
      <c r="C782" s="297"/>
      <c r="D782" s="237"/>
      <c r="E782" s="237"/>
    </row>
    <row r="783" spans="2:5" ht="12.75">
      <c r="B783" s="237"/>
      <c r="C783" s="297"/>
      <c r="D783" s="237"/>
      <c r="E783" s="237"/>
    </row>
    <row r="784" spans="2:5" ht="12.75">
      <c r="B784" s="237"/>
      <c r="C784" s="297"/>
      <c r="D784" s="237"/>
      <c r="E784" s="237"/>
    </row>
    <row r="785" spans="2:5" ht="12.75">
      <c r="B785" s="237"/>
      <c r="C785" s="297"/>
      <c r="D785" s="237"/>
      <c r="E785" s="237"/>
    </row>
    <row r="786" spans="2:5" ht="12.75">
      <c r="B786" s="237"/>
      <c r="C786" s="297"/>
      <c r="D786" s="237"/>
      <c r="E786" s="237"/>
    </row>
    <row r="787" spans="2:5" ht="12.75">
      <c r="B787" s="237"/>
      <c r="C787" s="297"/>
      <c r="D787" s="237"/>
      <c r="E787" s="237"/>
    </row>
    <row r="788" spans="2:5" ht="12.75">
      <c r="B788" s="237"/>
      <c r="C788" s="297"/>
      <c r="D788" s="237"/>
      <c r="E788" s="237"/>
    </row>
    <row r="789" spans="2:5" ht="12.75">
      <c r="B789" s="237"/>
      <c r="C789" s="297"/>
      <c r="D789" s="237"/>
      <c r="E789" s="237"/>
    </row>
    <row r="790" spans="2:5" ht="12.75">
      <c r="B790" s="237"/>
      <c r="C790" s="297"/>
      <c r="D790" s="237"/>
      <c r="E790" s="237"/>
    </row>
    <row r="791" spans="2:5" ht="12.75">
      <c r="B791" s="237"/>
      <c r="C791" s="297"/>
      <c r="D791" s="237"/>
      <c r="E791" s="237"/>
    </row>
    <row r="792" spans="2:5" ht="12.75">
      <c r="B792" s="237"/>
      <c r="C792" s="297"/>
      <c r="D792" s="237"/>
      <c r="E792" s="237"/>
    </row>
    <row r="793" spans="2:5" ht="12.75">
      <c r="B793" s="237"/>
      <c r="C793" s="297"/>
      <c r="D793" s="237"/>
      <c r="E793" s="237"/>
    </row>
    <row r="794" spans="2:5" ht="12.75">
      <c r="B794" s="237"/>
      <c r="C794" s="297"/>
      <c r="D794" s="237"/>
      <c r="E794" s="237"/>
    </row>
    <row r="795" spans="2:5" ht="12.75">
      <c r="B795" s="237"/>
      <c r="C795" s="297"/>
      <c r="D795" s="237"/>
      <c r="E795" s="237"/>
    </row>
    <row r="796" spans="2:5" ht="12.75">
      <c r="B796" s="237"/>
      <c r="C796" s="297"/>
      <c r="D796" s="237"/>
      <c r="E796" s="237"/>
    </row>
    <row r="797" spans="2:5" ht="12.75">
      <c r="B797" s="237"/>
      <c r="C797" s="297"/>
      <c r="D797" s="237"/>
      <c r="E797" s="237"/>
    </row>
    <row r="798" spans="2:5" ht="12.75">
      <c r="B798" s="237"/>
      <c r="C798" s="297"/>
      <c r="D798" s="237"/>
      <c r="E798" s="237"/>
    </row>
    <row r="799" spans="2:5" ht="12.75">
      <c r="B799" s="237"/>
      <c r="C799" s="297"/>
      <c r="D799" s="237"/>
      <c r="E799" s="237"/>
    </row>
    <row r="800" spans="2:5" ht="12.75">
      <c r="B800" s="237"/>
      <c r="C800" s="297"/>
      <c r="D800" s="237"/>
      <c r="E800" s="237"/>
    </row>
    <row r="801" spans="2:5" ht="12.75">
      <c r="B801" s="237"/>
      <c r="C801" s="297"/>
      <c r="D801" s="237"/>
      <c r="E801" s="237"/>
    </row>
    <row r="802" spans="2:5" ht="12.75">
      <c r="B802" s="237"/>
      <c r="C802" s="297"/>
      <c r="D802" s="237"/>
      <c r="E802" s="237"/>
    </row>
    <row r="803" spans="2:5" ht="12.75">
      <c r="B803" s="237"/>
      <c r="C803" s="297"/>
      <c r="D803" s="237"/>
      <c r="E803" s="237"/>
    </row>
    <row r="804" spans="2:5" ht="12.75">
      <c r="B804" s="237"/>
      <c r="C804" s="297"/>
      <c r="D804" s="237"/>
      <c r="E804" s="237"/>
    </row>
    <row r="805" spans="2:5" ht="12.75">
      <c r="B805" s="237"/>
      <c r="C805" s="297"/>
      <c r="D805" s="237"/>
      <c r="E805" s="237"/>
    </row>
    <row r="806" spans="2:5" ht="12.75">
      <c r="B806" s="237"/>
      <c r="C806" s="297"/>
      <c r="D806" s="237"/>
      <c r="E806" s="237"/>
    </row>
    <row r="807" spans="2:5" ht="12.75">
      <c r="B807" s="237"/>
      <c r="C807" s="297"/>
      <c r="D807" s="237"/>
      <c r="E807" s="237"/>
    </row>
    <row r="808" spans="2:5" ht="12.75">
      <c r="B808" s="237"/>
      <c r="C808" s="297"/>
      <c r="D808" s="237"/>
      <c r="E808" s="237"/>
    </row>
    <row r="809" spans="2:5" ht="12.75">
      <c r="B809" s="237"/>
      <c r="C809" s="297"/>
      <c r="D809" s="237"/>
      <c r="E809" s="237"/>
    </row>
    <row r="810" spans="2:5" ht="12.75">
      <c r="B810" s="237"/>
      <c r="C810" s="297"/>
      <c r="D810" s="237"/>
      <c r="E810" s="237"/>
    </row>
    <row r="811" spans="2:5" ht="12.75">
      <c r="B811" s="237"/>
      <c r="C811" s="297"/>
      <c r="D811" s="237"/>
      <c r="E811" s="237"/>
    </row>
    <row r="812" spans="2:5" ht="12.75">
      <c r="B812" s="237"/>
      <c r="C812" s="297"/>
      <c r="D812" s="237"/>
      <c r="E812" s="237"/>
    </row>
    <row r="813" spans="2:5" ht="12.75">
      <c r="B813" s="237"/>
      <c r="C813" s="297"/>
      <c r="D813" s="237"/>
      <c r="E813" s="237"/>
    </row>
    <row r="814" spans="2:5" ht="12.75">
      <c r="B814" s="237"/>
      <c r="C814" s="297"/>
      <c r="D814" s="237"/>
      <c r="E814" s="237"/>
    </row>
    <row r="815" spans="2:5" ht="12.75">
      <c r="B815" s="237"/>
      <c r="C815" s="297"/>
      <c r="D815" s="237"/>
      <c r="E815" s="237"/>
    </row>
    <row r="816" spans="2:5" ht="12.75">
      <c r="B816" s="237"/>
      <c r="C816" s="297"/>
      <c r="D816" s="237"/>
      <c r="E816" s="237"/>
    </row>
    <row r="817" spans="2:5" ht="12.75">
      <c r="B817" s="237"/>
      <c r="C817" s="297"/>
      <c r="D817" s="237"/>
      <c r="E817" s="237"/>
    </row>
    <row r="818" spans="2:5" ht="12.75">
      <c r="B818" s="237"/>
      <c r="C818" s="297"/>
      <c r="D818" s="237"/>
      <c r="E818" s="237"/>
    </row>
    <row r="819" spans="2:5" ht="12.75">
      <c r="B819" s="237"/>
      <c r="C819" s="297"/>
      <c r="D819" s="237"/>
      <c r="E819" s="237"/>
    </row>
    <row r="820" spans="2:5" ht="12.75">
      <c r="B820" s="237"/>
      <c r="C820" s="297"/>
      <c r="D820" s="237"/>
      <c r="E820" s="237"/>
    </row>
    <row r="821" spans="2:5" ht="12.75">
      <c r="B821" s="237"/>
      <c r="C821" s="297"/>
      <c r="D821" s="237"/>
      <c r="E821" s="237"/>
    </row>
    <row r="822" spans="2:5" ht="12.75">
      <c r="B822" s="237"/>
      <c r="C822" s="297"/>
      <c r="D822" s="237"/>
      <c r="E822" s="237"/>
    </row>
    <row r="823" spans="2:5" ht="12.75">
      <c r="B823" s="237"/>
      <c r="C823" s="297"/>
      <c r="D823" s="237"/>
      <c r="E823" s="237"/>
    </row>
    <row r="824" spans="2:5" ht="12.75">
      <c r="B824" s="237"/>
      <c r="C824" s="297"/>
      <c r="D824" s="237"/>
      <c r="E824" s="237"/>
    </row>
    <row r="825" spans="2:5" ht="12.75">
      <c r="B825" s="237"/>
      <c r="C825" s="297"/>
      <c r="D825" s="237"/>
      <c r="E825" s="237"/>
    </row>
    <row r="826" spans="2:5" ht="12.75">
      <c r="B826" s="237"/>
      <c r="C826" s="297"/>
      <c r="D826" s="237"/>
      <c r="E826" s="237"/>
    </row>
    <row r="827" spans="2:5" ht="12.75">
      <c r="B827" s="237"/>
      <c r="C827" s="297"/>
      <c r="D827" s="237"/>
      <c r="E827" s="237"/>
    </row>
    <row r="828" spans="2:5" ht="12.75">
      <c r="B828" s="237"/>
      <c r="C828" s="297"/>
      <c r="D828" s="237"/>
      <c r="E828" s="237"/>
    </row>
    <row r="829" spans="2:5" ht="12.75">
      <c r="B829" s="237"/>
      <c r="C829" s="297"/>
      <c r="D829" s="237"/>
      <c r="E829" s="237"/>
    </row>
    <row r="830" spans="2:5" ht="12.75">
      <c r="B830" s="237"/>
      <c r="C830" s="297"/>
      <c r="D830" s="237"/>
      <c r="E830" s="237"/>
    </row>
    <row r="831" spans="2:5" ht="12.75">
      <c r="B831" s="237"/>
      <c r="C831" s="297"/>
      <c r="D831" s="237"/>
      <c r="E831" s="237"/>
    </row>
    <row r="832" spans="2:5" ht="12.75">
      <c r="B832" s="237"/>
      <c r="C832" s="297"/>
      <c r="D832" s="237"/>
      <c r="E832" s="237"/>
    </row>
    <row r="833" spans="2:5" ht="12.75">
      <c r="B833" s="237"/>
      <c r="C833" s="297"/>
      <c r="D833" s="237"/>
      <c r="E833" s="237"/>
    </row>
    <row r="834" spans="2:5" ht="12.75">
      <c r="B834" s="237"/>
      <c r="C834" s="297"/>
      <c r="D834" s="237"/>
      <c r="E834" s="237"/>
    </row>
    <row r="835" spans="2:5" ht="12.75">
      <c r="B835" s="237"/>
      <c r="C835" s="297"/>
      <c r="D835" s="237"/>
      <c r="E835" s="237"/>
    </row>
    <row r="836" spans="2:5" ht="12.75">
      <c r="B836" s="237"/>
      <c r="C836" s="297"/>
      <c r="D836" s="237"/>
      <c r="E836" s="237"/>
    </row>
    <row r="837" spans="2:5" ht="12.75">
      <c r="B837" s="237"/>
      <c r="C837" s="297"/>
      <c r="D837" s="237"/>
      <c r="E837" s="237"/>
    </row>
    <row r="838" spans="2:5" ht="12.75">
      <c r="B838" s="237"/>
      <c r="C838" s="297"/>
      <c r="D838" s="237"/>
      <c r="E838" s="237"/>
    </row>
    <row r="839" spans="2:5" ht="12.75">
      <c r="B839" s="237"/>
      <c r="C839" s="297"/>
      <c r="D839" s="237"/>
      <c r="E839" s="237"/>
    </row>
    <row r="840" spans="2:5" ht="12.75">
      <c r="B840" s="237"/>
      <c r="C840" s="297"/>
      <c r="D840" s="237"/>
      <c r="E840" s="237"/>
    </row>
    <row r="841" spans="2:5" ht="12.75">
      <c r="B841" s="237"/>
      <c r="C841" s="297"/>
      <c r="D841" s="237"/>
      <c r="E841" s="237"/>
    </row>
    <row r="842" spans="2:5" ht="12.75">
      <c r="B842" s="237"/>
      <c r="C842" s="297"/>
      <c r="D842" s="237"/>
      <c r="E842" s="237"/>
    </row>
    <row r="843" spans="2:5" ht="12.75">
      <c r="B843" s="237"/>
      <c r="C843" s="297"/>
      <c r="D843" s="237"/>
      <c r="E843" s="237"/>
    </row>
    <row r="844" spans="2:5" ht="12.75">
      <c r="B844" s="237"/>
      <c r="C844" s="297"/>
      <c r="D844" s="237"/>
      <c r="E844" s="237"/>
    </row>
    <row r="845" spans="2:5" ht="12.75">
      <c r="B845" s="237"/>
      <c r="C845" s="297"/>
      <c r="D845" s="237"/>
      <c r="E845" s="237"/>
    </row>
    <row r="846" spans="2:5" ht="12.75">
      <c r="B846" s="237"/>
      <c r="C846" s="297"/>
      <c r="D846" s="237"/>
      <c r="E846" s="237"/>
    </row>
    <row r="847" spans="2:5" ht="12.75">
      <c r="B847" s="237"/>
      <c r="C847" s="297"/>
      <c r="D847" s="237"/>
      <c r="E847" s="237"/>
    </row>
    <row r="848" spans="2:5" ht="12.75">
      <c r="B848" s="237"/>
      <c r="C848" s="297"/>
      <c r="D848" s="237"/>
      <c r="E848" s="237"/>
    </row>
    <row r="849" spans="2:5" ht="12.75">
      <c r="B849" s="237"/>
      <c r="C849" s="297"/>
      <c r="D849" s="237"/>
      <c r="E849" s="237"/>
    </row>
    <row r="850" spans="2:5" ht="12.75">
      <c r="B850" s="237"/>
      <c r="C850" s="297"/>
      <c r="D850" s="237"/>
      <c r="E850" s="237"/>
    </row>
    <row r="851" spans="2:5" ht="12.75">
      <c r="B851" s="237"/>
      <c r="C851" s="297"/>
      <c r="D851" s="237"/>
      <c r="E851" s="237"/>
    </row>
    <row r="852" spans="2:5" ht="12.75">
      <c r="B852" s="237"/>
      <c r="C852" s="297"/>
      <c r="D852" s="237"/>
      <c r="E852" s="237"/>
    </row>
    <row r="853" spans="2:5" ht="12.75">
      <c r="B853" s="237"/>
      <c r="C853" s="297"/>
      <c r="D853" s="237"/>
      <c r="E853" s="237"/>
    </row>
    <row r="854" spans="2:5" ht="12.75">
      <c r="B854" s="237"/>
      <c r="C854" s="297"/>
      <c r="D854" s="237"/>
      <c r="E854" s="237"/>
    </row>
    <row r="855" spans="2:5" ht="12.75">
      <c r="B855" s="237"/>
      <c r="C855" s="297"/>
      <c r="D855" s="237"/>
      <c r="E855" s="237"/>
    </row>
    <row r="856" spans="2:5" ht="12.75">
      <c r="B856" s="237"/>
      <c r="C856" s="297"/>
      <c r="D856" s="237"/>
      <c r="E856" s="237"/>
    </row>
    <row r="857" spans="2:5" ht="12.75">
      <c r="B857" s="237"/>
      <c r="C857" s="297"/>
      <c r="D857" s="237"/>
      <c r="E857" s="237"/>
    </row>
    <row r="858" spans="2:5" ht="12.75">
      <c r="B858" s="237"/>
      <c r="C858" s="297"/>
      <c r="D858" s="237"/>
      <c r="E858" s="237"/>
    </row>
    <row r="859" spans="2:5" ht="12.75">
      <c r="B859" s="237"/>
      <c r="C859" s="297"/>
      <c r="D859" s="237"/>
      <c r="E859" s="237"/>
    </row>
    <row r="860" spans="2:5" ht="12.75">
      <c r="B860" s="237"/>
      <c r="C860" s="297"/>
      <c r="D860" s="237"/>
      <c r="E860" s="237"/>
    </row>
    <row r="861" spans="2:5" ht="12.75">
      <c r="B861" s="237"/>
      <c r="C861" s="297"/>
      <c r="D861" s="237"/>
      <c r="E861" s="237"/>
    </row>
    <row r="862" spans="2:5" ht="12.75">
      <c r="B862" s="237"/>
      <c r="C862" s="297"/>
      <c r="D862" s="237"/>
      <c r="E862" s="237"/>
    </row>
    <row r="863" spans="2:5" ht="12.75">
      <c r="B863" s="237"/>
      <c r="C863" s="297"/>
      <c r="D863" s="237"/>
      <c r="E863" s="237"/>
    </row>
    <row r="864" spans="2:5" ht="12.75">
      <c r="B864" s="237"/>
      <c r="C864" s="297"/>
      <c r="D864" s="237"/>
      <c r="E864" s="237"/>
    </row>
    <row r="865" spans="2:5" ht="12.75">
      <c r="B865" s="237"/>
      <c r="C865" s="297"/>
      <c r="D865" s="237"/>
      <c r="E865" s="237"/>
    </row>
    <row r="866" spans="2:5" ht="12.75">
      <c r="B866" s="237"/>
      <c r="C866" s="297"/>
      <c r="D866" s="237"/>
      <c r="E866" s="237"/>
    </row>
    <row r="867" spans="2:5" ht="12.75">
      <c r="B867" s="237"/>
      <c r="C867" s="297"/>
      <c r="D867" s="237"/>
      <c r="E867" s="237"/>
    </row>
    <row r="868" spans="2:5" ht="12.75">
      <c r="B868" s="237"/>
      <c r="C868" s="297"/>
      <c r="D868" s="237"/>
      <c r="E868" s="237"/>
    </row>
    <row r="869" spans="2:5" ht="12.75">
      <c r="B869" s="237"/>
      <c r="C869" s="297"/>
      <c r="D869" s="237"/>
      <c r="E869" s="237"/>
    </row>
    <row r="870" spans="2:5" ht="12.75">
      <c r="B870" s="237"/>
      <c r="C870" s="297"/>
      <c r="D870" s="237"/>
      <c r="E870" s="237"/>
    </row>
    <row r="871" spans="2:5" ht="12.75">
      <c r="B871" s="237"/>
      <c r="C871" s="297"/>
      <c r="D871" s="237"/>
      <c r="E871" s="237"/>
    </row>
    <row r="872" spans="2:5" ht="12.75">
      <c r="B872" s="237"/>
      <c r="C872" s="297"/>
      <c r="D872" s="237"/>
      <c r="E872" s="237"/>
    </row>
    <row r="873" spans="2:5" ht="12.75">
      <c r="B873" s="237"/>
      <c r="C873" s="297"/>
      <c r="D873" s="237"/>
      <c r="E873" s="237"/>
    </row>
    <row r="874" spans="2:5" ht="12.75">
      <c r="B874" s="237"/>
      <c r="C874" s="297"/>
      <c r="D874" s="237"/>
      <c r="E874" s="237"/>
    </row>
    <row r="875" spans="2:5" ht="12.75">
      <c r="B875" s="237"/>
      <c r="C875" s="297"/>
      <c r="D875" s="237"/>
      <c r="E875" s="237"/>
    </row>
    <row r="876" spans="2:5" ht="12.75">
      <c r="B876" s="237"/>
      <c r="C876" s="297"/>
      <c r="D876" s="237"/>
      <c r="E876" s="237"/>
    </row>
    <row r="877" spans="2:5" ht="12.75">
      <c r="B877" s="237"/>
      <c r="C877" s="297"/>
      <c r="D877" s="237"/>
      <c r="E877" s="237"/>
    </row>
    <row r="878" spans="2:5" ht="12.75">
      <c r="B878" s="237"/>
      <c r="C878" s="297"/>
      <c r="D878" s="237"/>
      <c r="E878" s="237"/>
    </row>
    <row r="879" spans="2:5" ht="12.75">
      <c r="B879" s="237"/>
      <c r="C879" s="297"/>
      <c r="D879" s="237"/>
      <c r="E879" s="237"/>
    </row>
    <row r="880" spans="2:5" ht="12.75">
      <c r="B880" s="237"/>
      <c r="C880" s="297"/>
      <c r="D880" s="237"/>
      <c r="E880" s="237"/>
    </row>
    <row r="881" spans="2:5" ht="12.75">
      <c r="B881" s="237"/>
      <c r="C881" s="297"/>
      <c r="D881" s="237"/>
      <c r="E881" s="237"/>
    </row>
    <row r="882" spans="2:5" ht="12.75">
      <c r="B882" s="237"/>
      <c r="C882" s="297"/>
      <c r="D882" s="237"/>
      <c r="E882" s="237"/>
    </row>
    <row r="883" spans="2:5" ht="12.75">
      <c r="B883" s="237"/>
      <c r="C883" s="297"/>
      <c r="D883" s="237"/>
      <c r="E883" s="237"/>
    </row>
    <row r="884" spans="2:5" ht="12.75">
      <c r="B884" s="237"/>
      <c r="C884" s="297"/>
      <c r="D884" s="237"/>
      <c r="E884" s="237"/>
    </row>
    <row r="885" spans="2:5" ht="12.75">
      <c r="B885" s="237"/>
      <c r="C885" s="297"/>
      <c r="D885" s="237"/>
      <c r="E885" s="237"/>
    </row>
    <row r="886" spans="2:5" ht="12.75">
      <c r="B886" s="237"/>
      <c r="C886" s="297"/>
      <c r="D886" s="237"/>
      <c r="E886" s="237"/>
    </row>
    <row r="887" spans="2:5" ht="12.75">
      <c r="B887" s="237"/>
      <c r="C887" s="297"/>
      <c r="D887" s="237"/>
      <c r="E887" s="237"/>
    </row>
    <row r="888" spans="2:5" ht="12.75">
      <c r="B888" s="237"/>
      <c r="C888" s="297"/>
      <c r="D888" s="237"/>
      <c r="E888" s="237"/>
    </row>
    <row r="889" spans="2:5" ht="12.75">
      <c r="B889" s="237"/>
      <c r="C889" s="297"/>
      <c r="D889" s="237"/>
      <c r="E889" s="237"/>
    </row>
    <row r="890" spans="2:5" ht="12.75">
      <c r="B890" s="237"/>
      <c r="C890" s="297"/>
      <c r="D890" s="237"/>
      <c r="E890" s="237"/>
    </row>
    <row r="891" spans="2:5" ht="12.75">
      <c r="B891" s="237"/>
      <c r="C891" s="297"/>
      <c r="D891" s="237"/>
      <c r="E891" s="237"/>
    </row>
    <row r="892" spans="2:5" ht="12.75">
      <c r="B892" s="237"/>
      <c r="C892" s="297"/>
      <c r="D892" s="237"/>
      <c r="E892" s="237"/>
    </row>
    <row r="893" spans="2:5" ht="12.75">
      <c r="B893" s="237"/>
      <c r="C893" s="297"/>
      <c r="D893" s="237"/>
      <c r="E893" s="237"/>
    </row>
    <row r="894" spans="2:5" ht="12.75">
      <c r="B894" s="237"/>
      <c r="C894" s="297"/>
      <c r="D894" s="237"/>
      <c r="E894" s="237"/>
    </row>
    <row r="895" spans="2:5" ht="12.75">
      <c r="B895" s="237"/>
      <c r="C895" s="297"/>
      <c r="D895" s="237"/>
      <c r="E895" s="237"/>
    </row>
    <row r="896" spans="2:5" ht="12.75">
      <c r="B896" s="237"/>
      <c r="C896" s="297"/>
      <c r="D896" s="237"/>
      <c r="E896" s="237"/>
    </row>
    <row r="897" spans="2:5" ht="12.75">
      <c r="B897" s="237"/>
      <c r="C897" s="297"/>
      <c r="D897" s="237"/>
      <c r="E897" s="237"/>
    </row>
    <row r="898" spans="2:5" ht="12.75">
      <c r="B898" s="237"/>
      <c r="C898" s="297"/>
      <c r="D898" s="237"/>
      <c r="E898" s="237"/>
    </row>
    <row r="899" spans="2:5" ht="12.75">
      <c r="B899" s="237"/>
      <c r="C899" s="297"/>
      <c r="D899" s="237"/>
      <c r="E899" s="237"/>
    </row>
    <row r="900" spans="2:5" ht="12.75">
      <c r="B900" s="237"/>
      <c r="C900" s="297"/>
      <c r="D900" s="237"/>
      <c r="E900" s="237"/>
    </row>
    <row r="901" spans="2:5" ht="12.75">
      <c r="B901" s="237"/>
      <c r="C901" s="297"/>
      <c r="D901" s="237"/>
      <c r="E901" s="237"/>
    </row>
    <row r="902" spans="2:5" ht="12.75">
      <c r="B902" s="237"/>
      <c r="C902" s="297"/>
      <c r="D902" s="237"/>
      <c r="E902" s="237"/>
    </row>
    <row r="903" spans="2:5" ht="12.75">
      <c r="B903" s="237"/>
      <c r="C903" s="297"/>
      <c r="D903" s="237"/>
      <c r="E903" s="237"/>
    </row>
    <row r="904" spans="2:5" ht="12.75">
      <c r="B904" s="237"/>
      <c r="C904" s="297"/>
      <c r="D904" s="237"/>
      <c r="E904" s="237"/>
    </row>
    <row r="905" spans="2:5" ht="12.75">
      <c r="B905" s="237"/>
      <c r="C905" s="297"/>
      <c r="D905" s="237"/>
      <c r="E905" s="237"/>
    </row>
    <row r="906" spans="2:5" ht="12.75">
      <c r="B906" s="237"/>
      <c r="C906" s="297"/>
      <c r="D906" s="237"/>
      <c r="E906" s="237"/>
    </row>
    <row r="907" spans="2:5" ht="12.75">
      <c r="B907" s="237"/>
      <c r="C907" s="297"/>
      <c r="D907" s="237"/>
      <c r="E907" s="237"/>
    </row>
    <row r="908" spans="2:5" ht="12.75">
      <c r="B908" s="237"/>
      <c r="C908" s="297"/>
      <c r="D908" s="237"/>
      <c r="E908" s="237"/>
    </row>
    <row r="909" spans="2:5" ht="12.75">
      <c r="B909" s="237"/>
      <c r="C909" s="297"/>
      <c r="D909" s="237"/>
      <c r="E909" s="237"/>
    </row>
    <row r="910" spans="2:5" ht="12.75">
      <c r="B910" s="237"/>
      <c r="C910" s="297"/>
      <c r="D910" s="237"/>
      <c r="E910" s="237"/>
    </row>
    <row r="911" spans="2:5" ht="12.75">
      <c r="B911" s="237"/>
      <c r="C911" s="297"/>
      <c r="D911" s="237"/>
      <c r="E911" s="237"/>
    </row>
    <row r="912" spans="2:5" ht="12.75">
      <c r="B912" s="237"/>
      <c r="C912" s="297"/>
      <c r="D912" s="237"/>
      <c r="E912" s="237"/>
    </row>
    <row r="913" spans="2:5" ht="12.75">
      <c r="B913" s="237"/>
      <c r="C913" s="297"/>
      <c r="D913" s="237"/>
      <c r="E913" s="237"/>
    </row>
    <row r="914" spans="2:5" ht="12.75">
      <c r="B914" s="237"/>
      <c r="C914" s="297"/>
      <c r="D914" s="237"/>
      <c r="E914" s="237"/>
    </row>
    <row r="915" spans="2:5" ht="12.75">
      <c r="B915" s="237"/>
      <c r="C915" s="297"/>
      <c r="D915" s="237"/>
      <c r="E915" s="237"/>
    </row>
    <row r="916" spans="2:5" ht="12.75">
      <c r="B916" s="237"/>
      <c r="C916" s="297"/>
      <c r="D916" s="237"/>
      <c r="E916" s="237"/>
    </row>
    <row r="917" spans="2:5" ht="12.75">
      <c r="B917" s="237"/>
      <c r="C917" s="297"/>
      <c r="D917" s="237"/>
      <c r="E917" s="237"/>
    </row>
    <row r="918" spans="2:5" ht="12.75">
      <c r="B918" s="237"/>
      <c r="C918" s="297"/>
      <c r="D918" s="237"/>
      <c r="E918" s="237"/>
    </row>
    <row r="919" spans="2:5" ht="12.75">
      <c r="B919" s="237"/>
      <c r="C919" s="297"/>
      <c r="D919" s="237"/>
      <c r="E919" s="237"/>
    </row>
    <row r="920" spans="2:5" ht="12.75">
      <c r="B920" s="237"/>
      <c r="C920" s="297"/>
      <c r="D920" s="237"/>
      <c r="E920" s="237"/>
    </row>
    <row r="921" spans="2:5" ht="12.75">
      <c r="B921" s="237"/>
      <c r="C921" s="297"/>
      <c r="D921" s="237"/>
      <c r="E921" s="237"/>
    </row>
    <row r="922" spans="2:5" ht="12.75">
      <c r="B922" s="237"/>
      <c r="C922" s="297"/>
      <c r="D922" s="237"/>
      <c r="E922" s="237"/>
    </row>
    <row r="923" spans="2:5" ht="12.75">
      <c r="B923" s="237"/>
      <c r="C923" s="297"/>
      <c r="D923" s="237"/>
      <c r="E923" s="237"/>
    </row>
    <row r="924" spans="2:5" ht="12.75">
      <c r="B924" s="237"/>
      <c r="C924" s="297"/>
      <c r="D924" s="237"/>
      <c r="E924" s="237"/>
    </row>
    <row r="925" spans="2:5" ht="12.75">
      <c r="B925" s="237"/>
      <c r="C925" s="297"/>
      <c r="D925" s="237"/>
      <c r="E925" s="237"/>
    </row>
    <row r="926" spans="2:5" ht="12.75">
      <c r="B926" s="237"/>
      <c r="C926" s="297"/>
      <c r="D926" s="237"/>
      <c r="E926" s="237"/>
    </row>
    <row r="927" spans="2:5" ht="12.75">
      <c r="B927" s="237"/>
      <c r="C927" s="297"/>
      <c r="D927" s="237"/>
      <c r="E927" s="237"/>
    </row>
    <row r="928" spans="2:5" ht="12.75">
      <c r="B928" s="237"/>
      <c r="C928" s="297"/>
      <c r="D928" s="237"/>
      <c r="E928" s="237"/>
    </row>
    <row r="929" spans="2:5" ht="12.75">
      <c r="B929" s="237"/>
      <c r="C929" s="297"/>
      <c r="D929" s="237"/>
      <c r="E929" s="237"/>
    </row>
    <row r="930" spans="2:5" ht="12.75">
      <c r="B930" s="237"/>
      <c r="C930" s="297"/>
      <c r="D930" s="237"/>
      <c r="E930" s="237"/>
    </row>
    <row r="931" spans="2:5" ht="12.75">
      <c r="B931" s="237"/>
      <c r="C931" s="297"/>
      <c r="D931" s="237"/>
      <c r="E931" s="237"/>
    </row>
    <row r="932" spans="2:5" ht="12.75">
      <c r="B932" s="237"/>
      <c r="C932" s="297"/>
      <c r="D932" s="237"/>
      <c r="E932" s="237"/>
    </row>
    <row r="933" spans="2:5" ht="12.75">
      <c r="B933" s="237"/>
      <c r="C933" s="297"/>
      <c r="D933" s="237"/>
      <c r="E933" s="237"/>
    </row>
    <row r="934" spans="2:5" ht="12.75">
      <c r="B934" s="237"/>
      <c r="C934" s="297"/>
      <c r="D934" s="237"/>
      <c r="E934" s="237"/>
    </row>
    <row r="935" spans="2:5" ht="12.75">
      <c r="B935" s="237"/>
      <c r="C935" s="297"/>
      <c r="D935" s="237"/>
      <c r="E935" s="237"/>
    </row>
    <row r="936" spans="2:5" ht="12.75">
      <c r="B936" s="237"/>
      <c r="C936" s="297"/>
      <c r="D936" s="237"/>
      <c r="E936" s="237"/>
    </row>
    <row r="937" spans="2:5" ht="12.75">
      <c r="B937" s="237"/>
      <c r="C937" s="297"/>
      <c r="D937" s="237"/>
      <c r="E937" s="237"/>
    </row>
    <row r="938" spans="2:5" ht="12.75">
      <c r="B938" s="237"/>
      <c r="C938" s="297"/>
      <c r="D938" s="237"/>
      <c r="E938" s="237"/>
    </row>
    <row r="939" spans="2:5" ht="12.75">
      <c r="B939" s="237"/>
      <c r="C939" s="297"/>
      <c r="D939" s="237"/>
      <c r="E939" s="237"/>
    </row>
    <row r="940" spans="2:5" ht="12.75">
      <c r="B940" s="237"/>
      <c r="C940" s="297"/>
      <c r="D940" s="237"/>
      <c r="E940" s="237"/>
    </row>
    <row r="941" spans="2:5" ht="12.75">
      <c r="B941" s="237"/>
      <c r="C941" s="297"/>
      <c r="D941" s="237"/>
      <c r="E941" s="237"/>
    </row>
    <row r="942" spans="2:5" ht="12.75">
      <c r="B942" s="237"/>
      <c r="C942" s="297"/>
      <c r="D942" s="237"/>
      <c r="E942" s="237"/>
    </row>
    <row r="943" spans="2:5" ht="12.75">
      <c r="B943" s="237"/>
      <c r="C943" s="297"/>
      <c r="D943" s="237"/>
      <c r="E943" s="237"/>
    </row>
    <row r="944" spans="2:5" ht="12.75">
      <c r="B944" s="237"/>
      <c r="C944" s="297"/>
      <c r="D944" s="237"/>
      <c r="E944" s="237"/>
    </row>
    <row r="945" spans="2:5" ht="12.75">
      <c r="B945" s="237"/>
      <c r="C945" s="297"/>
      <c r="D945" s="237"/>
      <c r="E945" s="237"/>
    </row>
    <row r="946" spans="2:5" ht="12.75">
      <c r="B946" s="237"/>
      <c r="C946" s="297"/>
      <c r="D946" s="237"/>
      <c r="E946" s="237"/>
    </row>
    <row r="947" spans="2:5" ht="12.75">
      <c r="B947" s="237"/>
      <c r="C947" s="297"/>
      <c r="D947" s="237"/>
      <c r="E947" s="237"/>
    </row>
    <row r="948" spans="2:5" ht="12.75">
      <c r="B948" s="237"/>
      <c r="C948" s="297"/>
      <c r="D948" s="237"/>
      <c r="E948" s="237"/>
    </row>
    <row r="949" spans="2:5" ht="12.75">
      <c r="B949" s="237"/>
      <c r="C949" s="297"/>
      <c r="D949" s="237"/>
      <c r="E949" s="237"/>
    </row>
    <row r="950" spans="2:5" ht="12.75">
      <c r="B950" s="237"/>
      <c r="C950" s="297"/>
      <c r="D950" s="237"/>
      <c r="E950" s="237"/>
    </row>
    <row r="951" spans="2:5" ht="12.75">
      <c r="B951" s="237"/>
      <c r="C951" s="297"/>
      <c r="D951" s="237"/>
      <c r="E951" s="237"/>
    </row>
    <row r="952" spans="2:5" ht="12.75">
      <c r="B952" s="237"/>
      <c r="C952" s="297"/>
      <c r="D952" s="237"/>
      <c r="E952" s="237"/>
    </row>
    <row r="953" spans="2:5" ht="12.75">
      <c r="B953" s="237"/>
      <c r="C953" s="297"/>
      <c r="D953" s="237"/>
      <c r="E953" s="237"/>
    </row>
    <row r="954" spans="2:5" ht="12.75">
      <c r="B954" s="237"/>
      <c r="C954" s="297"/>
      <c r="D954" s="237"/>
      <c r="E954" s="237"/>
    </row>
    <row r="955" spans="2:5" ht="12.75">
      <c r="B955" s="237"/>
      <c r="C955" s="297"/>
      <c r="D955" s="237"/>
      <c r="E955" s="237"/>
    </row>
    <row r="956" spans="2:5" ht="12.75">
      <c r="B956" s="237"/>
      <c r="C956" s="297"/>
      <c r="D956" s="237"/>
      <c r="E956" s="237"/>
    </row>
    <row r="957" spans="2:5" ht="12.75">
      <c r="B957" s="237"/>
      <c r="C957" s="297"/>
      <c r="D957" s="237"/>
      <c r="E957" s="237"/>
    </row>
    <row r="958" spans="2:5" ht="12.75">
      <c r="B958" s="237"/>
      <c r="C958" s="297"/>
      <c r="D958" s="237"/>
      <c r="E958" s="237"/>
    </row>
    <row r="959" spans="2:5" ht="12.75">
      <c r="B959" s="237"/>
      <c r="C959" s="297"/>
      <c r="D959" s="237"/>
      <c r="E959" s="237"/>
    </row>
    <row r="960" spans="2:5" ht="12.75">
      <c r="B960" s="237"/>
      <c r="C960" s="297"/>
      <c r="D960" s="237"/>
      <c r="E960" s="237"/>
    </row>
    <row r="961" spans="2:5" ht="12.75">
      <c r="B961" s="237"/>
      <c r="C961" s="297"/>
      <c r="D961" s="237"/>
      <c r="E961" s="237"/>
    </row>
    <row r="962" spans="2:5" ht="12.75">
      <c r="B962" s="237"/>
      <c r="C962" s="297"/>
      <c r="D962" s="237"/>
      <c r="E962" s="237"/>
    </row>
    <row r="963" spans="2:5" ht="12.75">
      <c r="B963" s="237"/>
      <c r="C963" s="297"/>
      <c r="D963" s="237"/>
      <c r="E963" s="237"/>
    </row>
    <row r="964" spans="2:5" ht="12.75">
      <c r="B964" s="237"/>
      <c r="C964" s="297"/>
      <c r="D964" s="237"/>
      <c r="E964" s="237"/>
    </row>
    <row r="965" spans="2:5" ht="12.75">
      <c r="B965" s="237"/>
      <c r="C965" s="297"/>
      <c r="D965" s="237"/>
      <c r="E965" s="237"/>
    </row>
    <row r="966" spans="2:5" ht="12.75">
      <c r="B966" s="237"/>
      <c r="C966" s="297"/>
      <c r="D966" s="237"/>
      <c r="E966" s="237"/>
    </row>
    <row r="967" spans="2:5" ht="12.75">
      <c r="B967" s="237"/>
      <c r="C967" s="297"/>
      <c r="D967" s="237"/>
      <c r="E967" s="237"/>
    </row>
    <row r="968" spans="2:5" ht="12.75">
      <c r="B968" s="237"/>
      <c r="C968" s="297"/>
      <c r="D968" s="237"/>
      <c r="E968" s="237"/>
    </row>
    <row r="969" spans="2:5" ht="12.75">
      <c r="B969" s="237"/>
      <c r="C969" s="297"/>
      <c r="D969" s="237"/>
      <c r="E969" s="237"/>
    </row>
    <row r="970" spans="2:5" ht="12.75">
      <c r="B970" s="237"/>
      <c r="C970" s="297"/>
      <c r="D970" s="237"/>
      <c r="E970" s="237"/>
    </row>
    <row r="971" spans="2:5" ht="12.75">
      <c r="B971" s="237"/>
      <c r="C971" s="297"/>
      <c r="D971" s="237"/>
      <c r="E971" s="237"/>
    </row>
    <row r="972" spans="2:5" ht="12.75">
      <c r="B972" s="237"/>
      <c r="C972" s="297"/>
      <c r="D972" s="237"/>
      <c r="E972" s="237"/>
    </row>
    <row r="973" spans="2:5" ht="12.75">
      <c r="B973" s="237"/>
      <c r="C973" s="297"/>
      <c r="D973" s="237"/>
      <c r="E973" s="237"/>
    </row>
    <row r="974" spans="2:5" ht="12.75">
      <c r="B974" s="237"/>
      <c r="C974" s="297"/>
      <c r="D974" s="237"/>
      <c r="E974" s="237"/>
    </row>
    <row r="975" spans="2:5" ht="12.75">
      <c r="B975" s="237"/>
      <c r="C975" s="297"/>
      <c r="D975" s="237"/>
      <c r="E975" s="237"/>
    </row>
    <row r="976" spans="2:5" ht="12.75">
      <c r="B976" s="237"/>
      <c r="C976" s="297"/>
      <c r="D976" s="237"/>
      <c r="E976" s="237"/>
    </row>
    <row r="977" spans="2:5" ht="12.75">
      <c r="B977" s="237"/>
      <c r="C977" s="297"/>
      <c r="D977" s="237"/>
      <c r="E977" s="237"/>
    </row>
    <row r="978" spans="2:5" ht="12.75">
      <c r="B978" s="237"/>
      <c r="C978" s="297"/>
      <c r="D978" s="237"/>
      <c r="E978" s="237"/>
    </row>
    <row r="979" spans="2:5" ht="12.75">
      <c r="B979" s="237"/>
      <c r="C979" s="297"/>
      <c r="D979" s="237"/>
      <c r="E979" s="237"/>
    </row>
    <row r="980" spans="2:5" ht="12.75">
      <c r="B980" s="237"/>
      <c r="C980" s="297"/>
      <c r="D980" s="237"/>
      <c r="E980" s="237"/>
    </row>
    <row r="981" spans="2:5" ht="12.75">
      <c r="B981" s="237"/>
      <c r="C981" s="297"/>
      <c r="D981" s="237"/>
      <c r="E981" s="237"/>
    </row>
    <row r="982" spans="2:5" ht="12.75">
      <c r="B982" s="237"/>
      <c r="C982" s="297"/>
      <c r="D982" s="237"/>
      <c r="E982" s="237"/>
    </row>
    <row r="983" spans="2:5" ht="12.75">
      <c r="B983" s="237"/>
      <c r="C983" s="297"/>
      <c r="D983" s="237"/>
      <c r="E983" s="237"/>
    </row>
    <row r="984" spans="2:5" ht="12.75">
      <c r="B984" s="237"/>
      <c r="C984" s="297"/>
      <c r="D984" s="237"/>
      <c r="E984" s="237"/>
    </row>
    <row r="985" spans="2:5" ht="12.75">
      <c r="B985" s="237"/>
      <c r="C985" s="297"/>
      <c r="D985" s="237"/>
      <c r="E985" s="237"/>
    </row>
    <row r="986" spans="2:5" ht="12.75">
      <c r="B986" s="237"/>
      <c r="C986" s="297"/>
      <c r="D986" s="237"/>
      <c r="E986" s="237"/>
    </row>
    <row r="987" spans="2:5" ht="12.75">
      <c r="B987" s="237"/>
      <c r="C987" s="297"/>
      <c r="D987" s="237"/>
      <c r="E987" s="237"/>
    </row>
    <row r="988" spans="2:5" ht="12.75">
      <c r="B988" s="237"/>
      <c r="C988" s="297"/>
      <c r="D988" s="237"/>
      <c r="E988" s="237"/>
    </row>
    <row r="989" spans="2:5" ht="12.75">
      <c r="B989" s="237"/>
      <c r="C989" s="297"/>
      <c r="D989" s="237"/>
      <c r="E989" s="237"/>
    </row>
    <row r="990" spans="2:5" ht="12.75">
      <c r="B990" s="237"/>
      <c r="C990" s="297"/>
      <c r="D990" s="237"/>
      <c r="E990" s="237"/>
    </row>
    <row r="991" spans="2:5" ht="12.75">
      <c r="B991" s="237"/>
      <c r="C991" s="297"/>
      <c r="D991" s="237"/>
      <c r="E991" s="237"/>
    </row>
    <row r="992" spans="2:5" ht="12.75">
      <c r="B992" s="237"/>
      <c r="C992" s="297"/>
      <c r="D992" s="237"/>
      <c r="E992" s="237"/>
    </row>
    <row r="993" spans="2:5" ht="12.75">
      <c r="B993" s="237"/>
      <c r="C993" s="297"/>
      <c r="D993" s="237"/>
      <c r="E993" s="237"/>
    </row>
    <row r="994" spans="2:5" ht="12.75">
      <c r="B994" s="237"/>
      <c r="C994" s="297"/>
      <c r="D994" s="237"/>
      <c r="E994" s="237"/>
    </row>
    <row r="995" spans="2:5" ht="12.75">
      <c r="B995" s="237"/>
      <c r="C995" s="297"/>
      <c r="D995" s="237"/>
      <c r="E995" s="237"/>
    </row>
    <row r="996" spans="2:5" ht="12.75">
      <c r="B996" s="237"/>
      <c r="C996" s="297"/>
      <c r="D996" s="237"/>
      <c r="E996" s="237"/>
    </row>
    <row r="997" spans="2:5" ht="12.75">
      <c r="B997" s="237"/>
      <c r="C997" s="297"/>
      <c r="D997" s="237"/>
      <c r="E997" s="237"/>
    </row>
    <row r="998" spans="2:5" ht="12.75">
      <c r="B998" s="237"/>
      <c r="C998" s="297"/>
      <c r="D998" s="237"/>
      <c r="E998" s="237"/>
    </row>
    <row r="999" spans="2:5" ht="12.75">
      <c r="B999" s="237"/>
      <c r="C999" s="297"/>
      <c r="D999" s="237"/>
      <c r="E999" s="237"/>
    </row>
    <row r="1000" spans="2:5" ht="12.75">
      <c r="B1000" s="237"/>
      <c r="C1000" s="297"/>
      <c r="D1000" s="237"/>
      <c r="E1000" s="237"/>
    </row>
    <row r="1001" spans="2:5" ht="12.75">
      <c r="B1001" s="237"/>
      <c r="C1001" s="297"/>
      <c r="D1001" s="237"/>
      <c r="E1001" s="237"/>
    </row>
    <row r="1002" spans="2:5" ht="12.75">
      <c r="B1002" s="237"/>
      <c r="C1002" s="297"/>
      <c r="D1002" s="237"/>
      <c r="E1002" s="237"/>
    </row>
    <row r="1003" spans="2:5" ht="12.75">
      <c r="B1003" s="237"/>
      <c r="C1003" s="297"/>
      <c r="D1003" s="237"/>
      <c r="E1003" s="237"/>
    </row>
    <row r="1004" spans="2:5" ht="12.75">
      <c r="B1004" s="237"/>
      <c r="C1004" s="297"/>
      <c r="D1004" s="237"/>
      <c r="E1004" s="237"/>
    </row>
    <row r="1005" spans="2:5" ht="12.75">
      <c r="B1005" s="237"/>
      <c r="C1005" s="297"/>
      <c r="D1005" s="237"/>
      <c r="E1005" s="237"/>
    </row>
    <row r="1006" spans="2:5" ht="12.75">
      <c r="B1006" s="237"/>
      <c r="C1006" s="297"/>
      <c r="D1006" s="237"/>
      <c r="E1006" s="237"/>
    </row>
    <row r="1007" spans="2:5" ht="12.75">
      <c r="B1007" s="237"/>
      <c r="C1007" s="297"/>
      <c r="D1007" s="237"/>
      <c r="E1007" s="237"/>
    </row>
    <row r="1008" spans="2:5" ht="12.75">
      <c r="B1008" s="237"/>
      <c r="C1008" s="297"/>
      <c r="D1008" s="237"/>
      <c r="E1008" s="237"/>
    </row>
    <row r="1009" spans="2:5" ht="12.75">
      <c r="B1009" s="237"/>
      <c r="C1009" s="297"/>
      <c r="D1009" s="237"/>
      <c r="E1009" s="237"/>
    </row>
    <row r="1010" spans="2:5" ht="12.75">
      <c r="B1010" s="237"/>
      <c r="C1010" s="297"/>
      <c r="D1010" s="237"/>
      <c r="E1010" s="237"/>
    </row>
    <row r="1011" spans="2:5" ht="12.75">
      <c r="B1011" s="237"/>
      <c r="C1011" s="297"/>
      <c r="D1011" s="237"/>
      <c r="E1011" s="237"/>
    </row>
    <row r="1012" spans="2:5" ht="12.75">
      <c r="B1012" s="237"/>
      <c r="C1012" s="297"/>
      <c r="D1012" s="237"/>
      <c r="E1012" s="237"/>
    </row>
    <row r="1013" spans="2:5" ht="12.75">
      <c r="B1013" s="237"/>
      <c r="C1013" s="297"/>
      <c r="D1013" s="237"/>
      <c r="E1013" s="237"/>
    </row>
    <row r="1014" spans="2:5" ht="12.75">
      <c r="B1014" s="237"/>
      <c r="C1014" s="297"/>
      <c r="D1014" s="237"/>
      <c r="E1014" s="237"/>
    </row>
    <row r="1015" spans="2:5" ht="12.75">
      <c r="B1015" s="237"/>
      <c r="C1015" s="297"/>
      <c r="D1015" s="237"/>
      <c r="E1015" s="237"/>
    </row>
    <row r="1016" spans="2:5" ht="12.75">
      <c r="B1016" s="237"/>
      <c r="C1016" s="297"/>
      <c r="D1016" s="237"/>
      <c r="E1016" s="237"/>
    </row>
    <row r="1017" spans="2:5" ht="12.75">
      <c r="B1017" s="237"/>
      <c r="C1017" s="297"/>
      <c r="D1017" s="237"/>
      <c r="E1017" s="237"/>
    </row>
    <row r="1018" spans="2:5" ht="12.75">
      <c r="B1018" s="237"/>
      <c r="C1018" s="297"/>
      <c r="D1018" s="237"/>
      <c r="E1018" s="237"/>
    </row>
    <row r="1019" spans="2:5" ht="12.75">
      <c r="B1019" s="237"/>
      <c r="C1019" s="297"/>
      <c r="D1019" s="237"/>
      <c r="E1019" s="237"/>
    </row>
    <row r="1020" spans="2:5" ht="12.75">
      <c r="B1020" s="237"/>
      <c r="C1020" s="297"/>
      <c r="D1020" s="237"/>
      <c r="E1020" s="237"/>
    </row>
    <row r="1021" spans="2:5" ht="12.75">
      <c r="B1021" s="237"/>
      <c r="C1021" s="297"/>
      <c r="D1021" s="237"/>
      <c r="E1021" s="237"/>
    </row>
    <row r="1022" spans="2:5" ht="12.75">
      <c r="B1022" s="237"/>
      <c r="C1022" s="297"/>
      <c r="D1022" s="237"/>
      <c r="E1022" s="237"/>
    </row>
    <row r="1023" spans="2:5" ht="12.75">
      <c r="B1023" s="237"/>
      <c r="C1023" s="297"/>
      <c r="D1023" s="237"/>
      <c r="E1023" s="237"/>
    </row>
    <row r="1024" spans="2:5" ht="12.75">
      <c r="B1024" s="237"/>
      <c r="C1024" s="297"/>
      <c r="D1024" s="237"/>
      <c r="E1024" s="237"/>
    </row>
    <row r="1025" spans="2:5" ht="12.75">
      <c r="B1025" s="237"/>
      <c r="C1025" s="297"/>
      <c r="D1025" s="237"/>
      <c r="E1025" s="237"/>
    </row>
    <row r="1026" spans="2:5" ht="12.75">
      <c r="B1026" s="237"/>
      <c r="C1026" s="297"/>
      <c r="D1026" s="237"/>
      <c r="E1026" s="237"/>
    </row>
    <row r="1027" spans="2:5" ht="12.75">
      <c r="B1027" s="237"/>
      <c r="C1027" s="297"/>
      <c r="D1027" s="237"/>
      <c r="E1027" s="237"/>
    </row>
    <row r="1028" spans="2:5" ht="12.75">
      <c r="B1028" s="237"/>
      <c r="C1028" s="297"/>
      <c r="D1028" s="237"/>
      <c r="E1028" s="237"/>
    </row>
    <row r="1029" spans="2:5" ht="12.75">
      <c r="B1029" s="237"/>
      <c r="C1029" s="297"/>
      <c r="D1029" s="237"/>
      <c r="E1029" s="237"/>
    </row>
    <row r="1030" spans="2:5" ht="12.75">
      <c r="B1030" s="237"/>
      <c r="C1030" s="297"/>
      <c r="D1030" s="237"/>
      <c r="E1030" s="237"/>
    </row>
    <row r="1031" spans="2:5" ht="12.75">
      <c r="B1031" s="237"/>
      <c r="C1031" s="297"/>
      <c r="D1031" s="237"/>
      <c r="E1031" s="237"/>
    </row>
    <row r="1032" spans="2:5" ht="12.75">
      <c r="B1032" s="237"/>
      <c r="C1032" s="297"/>
      <c r="D1032" s="237"/>
      <c r="E1032" s="237"/>
    </row>
    <row r="1033" spans="2:5" ht="12.75">
      <c r="B1033" s="237"/>
      <c r="C1033" s="297"/>
      <c r="D1033" s="237"/>
      <c r="E1033" s="237"/>
    </row>
    <row r="1034" spans="2:5" ht="12.75">
      <c r="B1034" s="237"/>
      <c r="C1034" s="297"/>
      <c r="D1034" s="237"/>
      <c r="E1034" s="237"/>
    </row>
    <row r="1035" spans="2:5" ht="12.75">
      <c r="B1035" s="237"/>
      <c r="C1035" s="297"/>
      <c r="D1035" s="237"/>
      <c r="E1035" s="237"/>
    </row>
    <row r="1036" spans="2:5" ht="12.75">
      <c r="B1036" s="237"/>
      <c r="C1036" s="297"/>
      <c r="D1036" s="237"/>
      <c r="E1036" s="237"/>
    </row>
    <row r="1037" spans="2:5" ht="12.75">
      <c r="B1037" s="237"/>
      <c r="C1037" s="297"/>
      <c r="D1037" s="237"/>
      <c r="E1037" s="237"/>
    </row>
    <row r="1038" spans="2:5" ht="12.75">
      <c r="B1038" s="237"/>
      <c r="C1038" s="297"/>
      <c r="D1038" s="237"/>
      <c r="E1038" s="237"/>
    </row>
    <row r="1039" spans="2:5" ht="12.75">
      <c r="B1039" s="237"/>
      <c r="C1039" s="297"/>
      <c r="D1039" s="237"/>
      <c r="E1039" s="237"/>
    </row>
    <row r="1040" spans="2:5" ht="12.75">
      <c r="B1040" s="237"/>
      <c r="C1040" s="297"/>
      <c r="D1040" s="237"/>
      <c r="E1040" s="237"/>
    </row>
    <row r="1041" spans="2:5" ht="12.75">
      <c r="B1041" s="237"/>
      <c r="C1041" s="297"/>
      <c r="D1041" s="237"/>
      <c r="E1041" s="237"/>
    </row>
    <row r="1042" spans="2:5" ht="12.75">
      <c r="B1042" s="237"/>
      <c r="C1042" s="297"/>
      <c r="D1042" s="237"/>
      <c r="E1042" s="237"/>
    </row>
    <row r="1043" spans="2:5" ht="12.75">
      <c r="B1043" s="237"/>
      <c r="C1043" s="297"/>
      <c r="D1043" s="237"/>
      <c r="E1043" s="237"/>
    </row>
    <row r="1044" spans="2:5" ht="12.75">
      <c r="B1044" s="237"/>
      <c r="C1044" s="297"/>
      <c r="D1044" s="237"/>
      <c r="E1044" s="237"/>
    </row>
    <row r="1045" spans="2:5" ht="12.75">
      <c r="B1045" s="237"/>
      <c r="C1045" s="297"/>
      <c r="D1045" s="237"/>
      <c r="E1045" s="237"/>
    </row>
    <row r="1046" spans="2:5" ht="12.75">
      <c r="B1046" s="237"/>
      <c r="C1046" s="297"/>
      <c r="D1046" s="237"/>
      <c r="E1046" s="237"/>
    </row>
    <row r="1047" spans="2:5" ht="12.75">
      <c r="B1047" s="237"/>
      <c r="C1047" s="297"/>
      <c r="D1047" s="237"/>
      <c r="E1047" s="237"/>
    </row>
    <row r="1048" spans="2:5" ht="12.75">
      <c r="B1048" s="237"/>
      <c r="C1048" s="297"/>
      <c r="D1048" s="237"/>
      <c r="E1048" s="237"/>
    </row>
    <row r="1049" spans="2:5" ht="12.75">
      <c r="B1049" s="237"/>
      <c r="C1049" s="297"/>
      <c r="D1049" s="237"/>
      <c r="E1049" s="237"/>
    </row>
    <row r="1050" spans="2:5" ht="12.75">
      <c r="B1050" s="237"/>
      <c r="C1050" s="297"/>
      <c r="D1050" s="237"/>
      <c r="E1050" s="237"/>
    </row>
    <row r="1051" spans="2:5" ht="12.75">
      <c r="B1051" s="237"/>
      <c r="C1051" s="297"/>
      <c r="D1051" s="237"/>
      <c r="E1051" s="237"/>
    </row>
    <row r="1052" spans="2:5" ht="12.75">
      <c r="B1052" s="237"/>
      <c r="C1052" s="297"/>
      <c r="D1052" s="237"/>
      <c r="E1052" s="237"/>
    </row>
    <row r="1053" spans="2:5" ht="12.75">
      <c r="B1053" s="237"/>
      <c r="C1053" s="297"/>
      <c r="D1053" s="237"/>
      <c r="E1053" s="237"/>
    </row>
    <row r="1054" spans="2:5" ht="12.75">
      <c r="B1054" s="237"/>
      <c r="C1054" s="297"/>
      <c r="D1054" s="237"/>
      <c r="E1054" s="237"/>
    </row>
    <row r="1055" spans="2:5" ht="12.75">
      <c r="B1055" s="237"/>
      <c r="C1055" s="297"/>
      <c r="D1055" s="237"/>
      <c r="E1055" s="237"/>
    </row>
    <row r="1056" spans="2:5" ht="12.75">
      <c r="B1056" s="237"/>
      <c r="C1056" s="297"/>
      <c r="D1056" s="237"/>
      <c r="E1056" s="237"/>
    </row>
    <row r="1057" spans="2:5" ht="12.75">
      <c r="B1057" s="237"/>
      <c r="C1057" s="297"/>
      <c r="D1057" s="237"/>
      <c r="E1057" s="237"/>
    </row>
    <row r="1058" spans="2:5" ht="12.75">
      <c r="B1058" s="237"/>
      <c r="C1058" s="297"/>
      <c r="D1058" s="237"/>
      <c r="E1058" s="237"/>
    </row>
    <row r="1059" spans="2:5" ht="12.75">
      <c r="B1059" s="237"/>
      <c r="C1059" s="297"/>
      <c r="D1059" s="237"/>
      <c r="E1059" s="237"/>
    </row>
    <row r="1060" spans="2:5" ht="12.75">
      <c r="B1060" s="237"/>
      <c r="C1060" s="297"/>
      <c r="D1060" s="237"/>
      <c r="E1060" s="237"/>
    </row>
    <row r="1061" spans="2:5" ht="12.75">
      <c r="B1061" s="237"/>
      <c r="C1061" s="297"/>
      <c r="D1061" s="237"/>
      <c r="E1061" s="237"/>
    </row>
    <row r="1062" spans="2:5" ht="12.75">
      <c r="B1062" s="237"/>
      <c r="C1062" s="297"/>
      <c r="D1062" s="237"/>
      <c r="E1062" s="237"/>
    </row>
    <row r="1063" spans="2:5" ht="12.75">
      <c r="B1063" s="237"/>
      <c r="C1063" s="297"/>
      <c r="D1063" s="237"/>
      <c r="E1063" s="237"/>
    </row>
    <row r="1064" spans="2:5" ht="12.75">
      <c r="B1064" s="237"/>
      <c r="C1064" s="297"/>
      <c r="D1064" s="237"/>
      <c r="E1064" s="237"/>
    </row>
    <row r="1065" spans="2:5" ht="12.75">
      <c r="B1065" s="237"/>
      <c r="C1065" s="297"/>
      <c r="D1065" s="237"/>
      <c r="E1065" s="237"/>
    </row>
    <row r="1066" spans="2:5" ht="12.75">
      <c r="B1066" s="237"/>
      <c r="C1066" s="297"/>
      <c r="D1066" s="237"/>
      <c r="E1066" s="237"/>
    </row>
    <row r="1067" spans="2:5" ht="12.75">
      <c r="B1067" s="237"/>
      <c r="C1067" s="297"/>
      <c r="D1067" s="237"/>
      <c r="E1067" s="237"/>
    </row>
    <row r="1068" spans="2:5" ht="12.75">
      <c r="B1068" s="237"/>
      <c r="C1068" s="297"/>
      <c r="D1068" s="237"/>
      <c r="E1068" s="237"/>
    </row>
    <row r="1069" spans="2:5" ht="12.75">
      <c r="B1069" s="237"/>
      <c r="C1069" s="297"/>
      <c r="D1069" s="237"/>
      <c r="E1069" s="237"/>
    </row>
    <row r="1070" spans="2:5" ht="12.75">
      <c r="B1070" s="237"/>
      <c r="C1070" s="297"/>
      <c r="D1070" s="237"/>
      <c r="E1070" s="237"/>
    </row>
    <row r="1071" spans="2:5" ht="12.75">
      <c r="B1071" s="237"/>
      <c r="C1071" s="297"/>
      <c r="D1071" s="237"/>
      <c r="E1071" s="237"/>
    </row>
    <row r="1072" spans="2:5" ht="12.75">
      <c r="B1072" s="237"/>
      <c r="C1072" s="297"/>
      <c r="D1072" s="237"/>
      <c r="E1072" s="237"/>
    </row>
    <row r="1073" spans="2:5" ht="12.75">
      <c r="B1073" s="237"/>
      <c r="C1073" s="297"/>
      <c r="D1073" s="237"/>
      <c r="E1073" s="237"/>
    </row>
    <row r="1074" spans="2:5" ht="12.75">
      <c r="B1074" s="237"/>
      <c r="C1074" s="297"/>
      <c r="D1074" s="237"/>
      <c r="E1074" s="237"/>
    </row>
    <row r="1075" spans="2:5" ht="12.75">
      <c r="B1075" s="237"/>
      <c r="C1075" s="297"/>
      <c r="D1075" s="237"/>
      <c r="E1075" s="237"/>
    </row>
    <row r="1076" spans="2:5" ht="12.75">
      <c r="B1076" s="237"/>
      <c r="C1076" s="297"/>
      <c r="D1076" s="237"/>
      <c r="E1076" s="237"/>
    </row>
    <row r="1077" spans="2:5" ht="12.75">
      <c r="B1077" s="237"/>
      <c r="C1077" s="297"/>
      <c r="D1077" s="237"/>
      <c r="E1077" s="237"/>
    </row>
    <row r="1078" spans="2:5" ht="12.75">
      <c r="B1078" s="237"/>
      <c r="C1078" s="297"/>
      <c r="D1078" s="237"/>
      <c r="E1078" s="237"/>
    </row>
    <row r="1079" spans="2:5" ht="12.75">
      <c r="B1079" s="237"/>
      <c r="C1079" s="297"/>
      <c r="D1079" s="237"/>
      <c r="E1079" s="237"/>
    </row>
    <row r="1080" spans="2:5" ht="12.75">
      <c r="B1080" s="237"/>
      <c r="C1080" s="297"/>
      <c r="D1080" s="237"/>
      <c r="E1080" s="237"/>
    </row>
    <row r="1081" spans="2:5" ht="12.75">
      <c r="B1081" s="237"/>
      <c r="C1081" s="297"/>
      <c r="D1081" s="237"/>
      <c r="E1081" s="237"/>
    </row>
    <row r="1082" spans="2:5" ht="12.75">
      <c r="B1082" s="237"/>
      <c r="C1082" s="297"/>
      <c r="D1082" s="237"/>
      <c r="E1082" s="237"/>
    </row>
    <row r="1083" spans="2:5" ht="12.75">
      <c r="B1083" s="237"/>
      <c r="C1083" s="297"/>
      <c r="D1083" s="237"/>
      <c r="E1083" s="237"/>
    </row>
    <row r="1084" spans="2:5" ht="12.75">
      <c r="B1084" s="237"/>
      <c r="C1084" s="297"/>
      <c r="D1084" s="237"/>
      <c r="E1084" s="237"/>
    </row>
    <row r="1085" spans="2:5" ht="12.75">
      <c r="B1085" s="237"/>
      <c r="C1085" s="297"/>
      <c r="D1085" s="237"/>
      <c r="E1085" s="237"/>
    </row>
    <row r="1086" spans="2:5" ht="12.75">
      <c r="B1086" s="237"/>
      <c r="C1086" s="297"/>
      <c r="D1086" s="237"/>
      <c r="E1086" s="237"/>
    </row>
    <row r="1087" spans="2:5" ht="12.75">
      <c r="B1087" s="237"/>
      <c r="C1087" s="297"/>
      <c r="D1087" s="237"/>
      <c r="E1087" s="237"/>
    </row>
    <row r="1088" spans="2:5" ht="12.75">
      <c r="B1088" s="237"/>
      <c r="C1088" s="297"/>
      <c r="D1088" s="237"/>
      <c r="E1088" s="237"/>
    </row>
    <row r="1089" spans="2:5" ht="12.75">
      <c r="B1089" s="237"/>
      <c r="C1089" s="297"/>
      <c r="D1089" s="237"/>
      <c r="E1089" s="237"/>
    </row>
    <row r="1090" spans="2:5" ht="12.75">
      <c r="B1090" s="237"/>
      <c r="C1090" s="297"/>
      <c r="D1090" s="237"/>
      <c r="E1090" s="237"/>
    </row>
    <row r="1091" spans="2:5" ht="12.75">
      <c r="B1091" s="237"/>
      <c r="C1091" s="297"/>
      <c r="D1091" s="237"/>
      <c r="E1091" s="237"/>
    </row>
    <row r="1092" spans="2:5" ht="12.75">
      <c r="B1092" s="237"/>
      <c r="C1092" s="297"/>
      <c r="D1092" s="237"/>
      <c r="E1092" s="237"/>
    </row>
    <row r="1093" spans="2:5" ht="12.75">
      <c r="B1093" s="237"/>
      <c r="C1093" s="297"/>
      <c r="D1093" s="237"/>
      <c r="E1093" s="237"/>
    </row>
    <row r="1094" spans="2:5" ht="12.75">
      <c r="B1094" s="237"/>
      <c r="C1094" s="297"/>
      <c r="D1094" s="237"/>
      <c r="E1094" s="237"/>
    </row>
    <row r="1095" spans="2:5" ht="12.75">
      <c r="B1095" s="237"/>
      <c r="C1095" s="297"/>
      <c r="D1095" s="237"/>
      <c r="E1095" s="237"/>
    </row>
    <row r="1096" spans="2:5" ht="12.75">
      <c r="B1096" s="237"/>
      <c r="C1096" s="297"/>
      <c r="D1096" s="237"/>
      <c r="E1096" s="237"/>
    </row>
    <row r="1097" spans="2:5" ht="12.75">
      <c r="B1097" s="237"/>
      <c r="C1097" s="297"/>
      <c r="D1097" s="237"/>
      <c r="E1097" s="237"/>
    </row>
    <row r="1098" spans="2:5" ht="12.75">
      <c r="B1098" s="237"/>
      <c r="C1098" s="297"/>
      <c r="D1098" s="237"/>
      <c r="E1098" s="237"/>
    </row>
    <row r="1099" spans="2:5" ht="12.75">
      <c r="B1099" s="237"/>
      <c r="C1099" s="297"/>
      <c r="D1099" s="237"/>
      <c r="E1099" s="237"/>
    </row>
    <row r="1100" spans="2:5" ht="12.75">
      <c r="B1100" s="237"/>
      <c r="C1100" s="297"/>
      <c r="D1100" s="237"/>
      <c r="E1100" s="237"/>
    </row>
    <row r="1101" spans="2:5" ht="12.75">
      <c r="B1101" s="237"/>
      <c r="C1101" s="297"/>
      <c r="D1101" s="237"/>
      <c r="E1101" s="237"/>
    </row>
    <row r="1102" spans="2:5" ht="12.75">
      <c r="B1102" s="237"/>
      <c r="C1102" s="297"/>
      <c r="D1102" s="237"/>
      <c r="E1102" s="237"/>
    </row>
    <row r="1103" spans="2:5" ht="12.75">
      <c r="B1103" s="237"/>
      <c r="C1103" s="297"/>
      <c r="D1103" s="237"/>
      <c r="E1103" s="237"/>
    </row>
    <row r="1104" spans="2:5" ht="12.75">
      <c r="B1104" s="237"/>
      <c r="C1104" s="297"/>
      <c r="D1104" s="237"/>
      <c r="E1104" s="237"/>
    </row>
    <row r="1105" spans="2:5" ht="12.75">
      <c r="B1105" s="237"/>
      <c r="C1105" s="297"/>
      <c r="D1105" s="237"/>
      <c r="E1105" s="237"/>
    </row>
    <row r="1106" spans="2:5" ht="12.75">
      <c r="B1106" s="237"/>
      <c r="C1106" s="297"/>
      <c r="D1106" s="237"/>
      <c r="E1106" s="237"/>
    </row>
    <row r="1107" spans="2:5" ht="12.75">
      <c r="B1107" s="237"/>
      <c r="C1107" s="297"/>
      <c r="D1107" s="237"/>
      <c r="E1107" s="237"/>
    </row>
    <row r="1108" spans="2:5" ht="12.75">
      <c r="B1108" s="237"/>
      <c r="C1108" s="297"/>
      <c r="D1108" s="237"/>
      <c r="E1108" s="237"/>
    </row>
    <row r="1109" spans="2:5" ht="12.75">
      <c r="B1109" s="237"/>
      <c r="C1109" s="297"/>
      <c r="D1109" s="237"/>
      <c r="E1109" s="237"/>
    </row>
    <row r="1110" spans="2:5" ht="12.75">
      <c r="B1110" s="237"/>
      <c r="C1110" s="297"/>
      <c r="D1110" s="237"/>
      <c r="E1110" s="237"/>
    </row>
    <row r="1111" spans="2:5" ht="12.75">
      <c r="B1111" s="237"/>
      <c r="C1111" s="297"/>
      <c r="D1111" s="237"/>
      <c r="E1111" s="237"/>
    </row>
    <row r="1112" spans="2:5" ht="12.75">
      <c r="B1112" s="237"/>
      <c r="C1112" s="297"/>
      <c r="D1112" s="237"/>
      <c r="E1112" s="237"/>
    </row>
    <row r="1113" spans="2:5" ht="12.75">
      <c r="B1113" s="237"/>
      <c r="C1113" s="297"/>
      <c r="D1113" s="237"/>
      <c r="E1113" s="237"/>
    </row>
    <row r="1114" spans="2:5" ht="12.75">
      <c r="B1114" s="237"/>
      <c r="C1114" s="297"/>
      <c r="D1114" s="237"/>
      <c r="E1114" s="237"/>
    </row>
    <row r="1115" spans="2:5" ht="12.75">
      <c r="B1115" s="237"/>
      <c r="C1115" s="297"/>
      <c r="D1115" s="237"/>
      <c r="E1115" s="237"/>
    </row>
    <row r="1116" spans="2:5" ht="12.75">
      <c r="B1116" s="237"/>
      <c r="C1116" s="297"/>
      <c r="D1116" s="237"/>
      <c r="E1116" s="237"/>
    </row>
    <row r="1117" spans="2:5" ht="12.75">
      <c r="B1117" s="237"/>
      <c r="C1117" s="297"/>
      <c r="D1117" s="237"/>
      <c r="E1117" s="237"/>
    </row>
    <row r="1118" spans="2:5" ht="12.75">
      <c r="B1118" s="237"/>
      <c r="C1118" s="297"/>
      <c r="D1118" s="237"/>
      <c r="E1118" s="237"/>
    </row>
    <row r="1119" spans="2:5" ht="12.75">
      <c r="B1119" s="237"/>
      <c r="C1119" s="297"/>
      <c r="D1119" s="237"/>
      <c r="E1119" s="237"/>
    </row>
    <row r="1120" spans="2:5" ht="12.75">
      <c r="B1120" s="237"/>
      <c r="C1120" s="297"/>
      <c r="D1120" s="237"/>
      <c r="E1120" s="237"/>
    </row>
    <row r="1121" spans="2:5" ht="12.75">
      <c r="B1121" s="237"/>
      <c r="C1121" s="297"/>
      <c r="D1121" s="237"/>
      <c r="E1121" s="237"/>
    </row>
    <row r="1122" spans="2:5" ht="12.75">
      <c r="B1122" s="237"/>
      <c r="C1122" s="297"/>
      <c r="D1122" s="237"/>
      <c r="E1122" s="237"/>
    </row>
    <row r="1123" spans="2:5" ht="12.75">
      <c r="B1123" s="237"/>
      <c r="C1123" s="297"/>
      <c r="D1123" s="237"/>
      <c r="E1123" s="237"/>
    </row>
    <row r="1124" spans="2:5" ht="12.75">
      <c r="B1124" s="237"/>
      <c r="C1124" s="297"/>
      <c r="D1124" s="237"/>
      <c r="E1124" s="237"/>
    </row>
    <row r="1125" spans="2:5" ht="12.75">
      <c r="B1125" s="237"/>
      <c r="C1125" s="297"/>
      <c r="D1125" s="237"/>
      <c r="E1125" s="237"/>
    </row>
    <row r="1126" spans="2:5" ht="12.75">
      <c r="B1126" s="237"/>
      <c r="C1126" s="297"/>
      <c r="D1126" s="237"/>
      <c r="E1126" s="237"/>
    </row>
    <row r="1127" spans="2:5" ht="12.75">
      <c r="B1127" s="237"/>
      <c r="C1127" s="297"/>
      <c r="D1127" s="237"/>
      <c r="E1127" s="237"/>
    </row>
    <row r="1128" spans="2:5" ht="12.75">
      <c r="B1128" s="237"/>
      <c r="C1128" s="297"/>
      <c r="D1128" s="237"/>
      <c r="E1128" s="237"/>
    </row>
    <row r="1129" spans="2:5" ht="12.75">
      <c r="B1129" s="237"/>
      <c r="C1129" s="297"/>
      <c r="D1129" s="237"/>
      <c r="E1129" s="237"/>
    </row>
    <row r="1130" spans="2:5" ht="12.75">
      <c r="B1130" s="237"/>
      <c r="C1130" s="297"/>
      <c r="D1130" s="237"/>
      <c r="E1130" s="237"/>
    </row>
    <row r="1131" spans="2:5" ht="12.75">
      <c r="B1131" s="237"/>
      <c r="C1131" s="297"/>
      <c r="D1131" s="237"/>
      <c r="E1131" s="237"/>
    </row>
    <row r="1132" spans="2:5" ht="12.75">
      <c r="B1132" s="237"/>
      <c r="C1132" s="297"/>
      <c r="D1132" s="237"/>
      <c r="E1132" s="237"/>
    </row>
    <row r="1133" spans="2:5" ht="12.75">
      <c r="B1133" s="237"/>
      <c r="C1133" s="297"/>
      <c r="D1133" s="237"/>
      <c r="E1133" s="237"/>
    </row>
    <row r="1134" spans="2:5" ht="12.75">
      <c r="B1134" s="237"/>
      <c r="C1134" s="297"/>
      <c r="D1134" s="237"/>
      <c r="E1134" s="237"/>
    </row>
    <row r="1135" spans="2:5" ht="12.75">
      <c r="B1135" s="237"/>
      <c r="C1135" s="297"/>
      <c r="D1135" s="237"/>
      <c r="E1135" s="237"/>
    </row>
    <row r="1136" spans="2:5" ht="12.75">
      <c r="B1136" s="237"/>
      <c r="C1136" s="297"/>
      <c r="D1136" s="237"/>
      <c r="E1136" s="237"/>
    </row>
    <row r="1137" spans="2:5" ht="12.75">
      <c r="B1137" s="237"/>
      <c r="C1137" s="297"/>
      <c r="D1137" s="237"/>
      <c r="E1137" s="237"/>
    </row>
    <row r="1138" spans="2:5" ht="12.75">
      <c r="B1138" s="237"/>
      <c r="C1138" s="297"/>
      <c r="D1138" s="237"/>
      <c r="E1138" s="237"/>
    </row>
    <row r="1139" spans="2:5" ht="12.75">
      <c r="B1139" s="237"/>
      <c r="C1139" s="297"/>
      <c r="D1139" s="237"/>
      <c r="E1139" s="237"/>
    </row>
    <row r="1140" spans="2:5" ht="12.75">
      <c r="B1140" s="237"/>
      <c r="C1140" s="297"/>
      <c r="D1140" s="237"/>
      <c r="E1140" s="237"/>
    </row>
    <row r="1141" spans="2:5" ht="12.75">
      <c r="B1141" s="237"/>
      <c r="C1141" s="297"/>
      <c r="D1141" s="237"/>
      <c r="E1141" s="237"/>
    </row>
    <row r="1142" spans="2:5" ht="12.75">
      <c r="B1142" s="237"/>
      <c r="C1142" s="297"/>
      <c r="D1142" s="237"/>
      <c r="E1142" s="237"/>
    </row>
    <row r="1143" spans="2:5" ht="12.75">
      <c r="B1143" s="237"/>
      <c r="C1143" s="297"/>
      <c r="D1143" s="237"/>
      <c r="E1143" s="237"/>
    </row>
    <row r="1144" spans="2:5" ht="12.75">
      <c r="B1144" s="237"/>
      <c r="C1144" s="297"/>
      <c r="D1144" s="237"/>
      <c r="E1144" s="237"/>
    </row>
    <row r="1145" spans="2:5" ht="12.75">
      <c r="B1145" s="237"/>
      <c r="C1145" s="297"/>
      <c r="D1145" s="237"/>
      <c r="E1145" s="237"/>
    </row>
    <row r="1146" spans="2:5" ht="12.75">
      <c r="B1146" s="237"/>
      <c r="C1146" s="297"/>
      <c r="D1146" s="237"/>
      <c r="E1146" s="237"/>
    </row>
    <row r="1147" spans="2:5" ht="12.75">
      <c r="B1147" s="237"/>
      <c r="C1147" s="297"/>
      <c r="D1147" s="237"/>
      <c r="E1147" s="237"/>
    </row>
    <row r="1148" spans="2:5" ht="12.75">
      <c r="B1148" s="237"/>
      <c r="C1148" s="297"/>
      <c r="D1148" s="237"/>
      <c r="E1148" s="237"/>
    </row>
    <row r="1149" spans="2:5" ht="12.75">
      <c r="B1149" s="237"/>
      <c r="C1149" s="297"/>
      <c r="D1149" s="237"/>
      <c r="E1149" s="237"/>
    </row>
    <row r="1150" spans="2:5" ht="12.75">
      <c r="B1150" s="237"/>
      <c r="C1150" s="297"/>
      <c r="D1150" s="237"/>
      <c r="E1150" s="237"/>
    </row>
    <row r="1151" spans="2:5" ht="12.75">
      <c r="B1151" s="237"/>
      <c r="C1151" s="297"/>
      <c r="D1151" s="237"/>
      <c r="E1151" s="237"/>
    </row>
    <row r="1152" spans="2:5" ht="12.75">
      <c r="B1152" s="237"/>
      <c r="C1152" s="297"/>
      <c r="D1152" s="237"/>
      <c r="E1152" s="237"/>
    </row>
    <row r="1153" spans="2:5" ht="12.75">
      <c r="B1153" s="237"/>
      <c r="C1153" s="297"/>
      <c r="D1153" s="237"/>
      <c r="E1153" s="237"/>
    </row>
    <row r="1154" spans="2:5" ht="12.75">
      <c r="B1154" s="237"/>
      <c r="C1154" s="297"/>
      <c r="D1154" s="237"/>
      <c r="E1154" s="237"/>
    </row>
    <row r="1155" spans="2:5" ht="12.75">
      <c r="B1155" s="237"/>
      <c r="C1155" s="297"/>
      <c r="D1155" s="237"/>
      <c r="E1155" s="237"/>
    </row>
    <row r="1156" spans="2:5" ht="12.75">
      <c r="B1156" s="237"/>
      <c r="C1156" s="297"/>
      <c r="D1156" s="237"/>
      <c r="E1156" s="237"/>
    </row>
    <row r="1157" spans="2:5" ht="12.75">
      <c r="B1157" s="237"/>
      <c r="C1157" s="297"/>
      <c r="D1157" s="237"/>
      <c r="E1157" s="237"/>
    </row>
    <row r="1158" spans="2:5" ht="12.75">
      <c r="B1158" s="237"/>
      <c r="C1158" s="297"/>
      <c r="D1158" s="237"/>
      <c r="E1158" s="237"/>
    </row>
    <row r="1159" spans="2:5" ht="12.75">
      <c r="B1159" s="237"/>
      <c r="C1159" s="297"/>
      <c r="D1159" s="237"/>
      <c r="E1159" s="237"/>
    </row>
    <row r="1160" spans="2:5" ht="12.75">
      <c r="B1160" s="237"/>
      <c r="C1160" s="297"/>
      <c r="D1160" s="237"/>
      <c r="E1160" s="237"/>
    </row>
    <row r="1161" spans="2:5" ht="12.75">
      <c r="B1161" s="237"/>
      <c r="C1161" s="297"/>
      <c r="D1161" s="237"/>
      <c r="E1161" s="237"/>
    </row>
    <row r="1162" spans="2:5" ht="12.75">
      <c r="B1162" s="237"/>
      <c r="C1162" s="297"/>
      <c r="D1162" s="237"/>
      <c r="E1162" s="237"/>
    </row>
    <row r="1163" spans="2:5" ht="12.75">
      <c r="B1163" s="237"/>
      <c r="C1163" s="297"/>
      <c r="D1163" s="237"/>
      <c r="E1163" s="237"/>
    </row>
    <row r="1164" spans="2:5" ht="12.75">
      <c r="B1164" s="237"/>
      <c r="C1164" s="297"/>
      <c r="D1164" s="237"/>
      <c r="E1164" s="237"/>
    </row>
    <row r="1165" spans="2:5" ht="12.75">
      <c r="B1165" s="237"/>
      <c r="C1165" s="297"/>
      <c r="D1165" s="237"/>
      <c r="E1165" s="237"/>
    </row>
    <row r="1166" spans="2:5" ht="12.75">
      <c r="B1166" s="237"/>
      <c r="C1166" s="297"/>
      <c r="D1166" s="237"/>
      <c r="E1166" s="237"/>
    </row>
    <row r="1167" spans="2:5" ht="12.75">
      <c r="B1167" s="237"/>
      <c r="C1167" s="297"/>
      <c r="D1167" s="237"/>
      <c r="E1167" s="237"/>
    </row>
    <row r="1168" spans="2:5" ht="12.75">
      <c r="B1168" s="237"/>
      <c r="C1168" s="297"/>
      <c r="D1168" s="237"/>
      <c r="E1168" s="237"/>
    </row>
    <row r="1169" spans="2:5" ht="12.75">
      <c r="B1169" s="237"/>
      <c r="C1169" s="297"/>
      <c r="D1169" s="237"/>
      <c r="E1169" s="237"/>
    </row>
    <row r="1170" spans="2:5" ht="12.75">
      <c r="B1170" s="237"/>
      <c r="C1170" s="297"/>
      <c r="D1170" s="237"/>
      <c r="E1170" s="237"/>
    </row>
    <row r="1171" spans="2:5" ht="12.75">
      <c r="B1171" s="237"/>
      <c r="C1171" s="297"/>
      <c r="D1171" s="237"/>
      <c r="E1171" s="237"/>
    </row>
    <row r="1172" spans="2:5" ht="12.75">
      <c r="B1172" s="237"/>
      <c r="C1172" s="297"/>
      <c r="D1172" s="237"/>
      <c r="E1172" s="237"/>
    </row>
    <row r="1173" spans="2:5" ht="12.75">
      <c r="B1173" s="237"/>
      <c r="C1173" s="297"/>
      <c r="D1173" s="237"/>
      <c r="E1173" s="237"/>
    </row>
    <row r="1174" spans="2:5" ht="12.75">
      <c r="B1174" s="237"/>
      <c r="C1174" s="297"/>
      <c r="D1174" s="237"/>
      <c r="E1174" s="237"/>
    </row>
    <row r="1175" spans="2:5" ht="12.75">
      <c r="B1175" s="237"/>
      <c r="C1175" s="297"/>
      <c r="D1175" s="237"/>
      <c r="E1175" s="237"/>
    </row>
    <row r="1176" spans="2:5" ht="12.75">
      <c r="B1176" s="237"/>
      <c r="C1176" s="297"/>
      <c r="D1176" s="237"/>
      <c r="E1176" s="237"/>
    </row>
    <row r="1177" spans="2:5" ht="12.75">
      <c r="B1177" s="237"/>
      <c r="C1177" s="297"/>
      <c r="D1177" s="237"/>
      <c r="E1177" s="237"/>
    </row>
    <row r="1178" spans="2:5" ht="12.75">
      <c r="B1178" s="237"/>
      <c r="C1178" s="297"/>
      <c r="D1178" s="237"/>
      <c r="E1178" s="237"/>
    </row>
    <row r="1179" spans="2:5" ht="12.75">
      <c r="B1179" s="237"/>
      <c r="C1179" s="297"/>
      <c r="D1179" s="237"/>
      <c r="E1179" s="237"/>
    </row>
    <row r="1180" spans="2:5" ht="12.75">
      <c r="B1180" s="237"/>
      <c r="C1180" s="297"/>
      <c r="D1180" s="237"/>
      <c r="E1180" s="237"/>
    </row>
    <row r="1181" spans="2:5" ht="12.75">
      <c r="B1181" s="237"/>
      <c r="C1181" s="297"/>
      <c r="D1181" s="237"/>
      <c r="E1181" s="237"/>
    </row>
    <row r="1182" spans="2:5" ht="12.75">
      <c r="B1182" s="237"/>
      <c r="C1182" s="297"/>
      <c r="D1182" s="237"/>
      <c r="E1182" s="237"/>
    </row>
    <row r="1183" spans="2:5" ht="12.75">
      <c r="B1183" s="237"/>
      <c r="C1183" s="297"/>
      <c r="D1183" s="237"/>
      <c r="E1183" s="237"/>
    </row>
    <row r="1184" spans="2:5" ht="12.75">
      <c r="B1184" s="237"/>
      <c r="C1184" s="297"/>
      <c r="D1184" s="237"/>
      <c r="E1184" s="237"/>
    </row>
    <row r="1185" spans="2:5" ht="12.75">
      <c r="B1185" s="237"/>
      <c r="C1185" s="297"/>
      <c r="D1185" s="237"/>
      <c r="E1185" s="237"/>
    </row>
    <row r="1186" spans="2:5" ht="12.75">
      <c r="B1186" s="237"/>
      <c r="C1186" s="297"/>
      <c r="D1186" s="237"/>
      <c r="E1186" s="237"/>
    </row>
    <row r="1187" spans="2:5" ht="12.75">
      <c r="B1187" s="237"/>
      <c r="C1187" s="297"/>
      <c r="D1187" s="237"/>
      <c r="E1187" s="237"/>
    </row>
    <row r="1188" spans="2:5" ht="12.75">
      <c r="B1188" s="237"/>
      <c r="C1188" s="297"/>
      <c r="D1188" s="237"/>
      <c r="E1188" s="237"/>
    </row>
    <row r="1189" spans="2:5" ht="12.75">
      <c r="B1189" s="237"/>
      <c r="C1189" s="297"/>
      <c r="D1189" s="237"/>
      <c r="E1189" s="237"/>
    </row>
    <row r="1190" spans="2:5" ht="12.75">
      <c r="B1190" s="237"/>
      <c r="C1190" s="297"/>
      <c r="D1190" s="237"/>
      <c r="E1190" s="237"/>
    </row>
    <row r="1191" spans="2:5" ht="12.75">
      <c r="B1191" s="237"/>
      <c r="C1191" s="297"/>
      <c r="D1191" s="237"/>
      <c r="E1191" s="237"/>
    </row>
    <row r="1192" spans="2:5" ht="12.75">
      <c r="B1192" s="237"/>
      <c r="C1192" s="297"/>
      <c r="D1192" s="237"/>
      <c r="E1192" s="237"/>
    </row>
    <row r="1193" spans="2:5" ht="12.75">
      <c r="B1193" s="237"/>
      <c r="C1193" s="297"/>
      <c r="D1193" s="237"/>
      <c r="E1193" s="237"/>
    </row>
    <row r="1194" spans="2:5" ht="12.75">
      <c r="B1194" s="237"/>
      <c r="C1194" s="297"/>
      <c r="D1194" s="237"/>
      <c r="E1194" s="237"/>
    </row>
    <row r="1195" spans="2:5" ht="12.75">
      <c r="B1195" s="237"/>
      <c r="C1195" s="297"/>
      <c r="D1195" s="237"/>
      <c r="E1195" s="237"/>
    </row>
    <row r="1196" spans="2:5" ht="12.75">
      <c r="B1196" s="237"/>
      <c r="C1196" s="297"/>
      <c r="D1196" s="237"/>
      <c r="E1196" s="237"/>
    </row>
    <row r="1197" spans="2:5" ht="12.75">
      <c r="B1197" s="237"/>
      <c r="C1197" s="297"/>
      <c r="D1197" s="237"/>
      <c r="E1197" s="237"/>
    </row>
    <row r="1198" spans="2:5" ht="12.75">
      <c r="B1198" s="237"/>
      <c r="C1198" s="297"/>
      <c r="D1198" s="237"/>
      <c r="E1198" s="237"/>
    </row>
    <row r="1199" spans="2:5" ht="12.75">
      <c r="B1199" s="237"/>
      <c r="C1199" s="297"/>
      <c r="D1199" s="237"/>
      <c r="E1199" s="237"/>
    </row>
    <row r="1200" spans="2:5" ht="12.75">
      <c r="B1200" s="237"/>
      <c r="C1200" s="297"/>
      <c r="D1200" s="237"/>
      <c r="E1200" s="237"/>
    </row>
    <row r="1201" spans="2:5" ht="12.75">
      <c r="B1201" s="237"/>
      <c r="C1201" s="297"/>
      <c r="D1201" s="237"/>
      <c r="E1201" s="237"/>
    </row>
    <row r="1202" spans="2:5" ht="12.75">
      <c r="B1202" s="237"/>
      <c r="C1202" s="297"/>
      <c r="D1202" s="237"/>
      <c r="E1202" s="237"/>
    </row>
    <row r="1203" spans="2:5" ht="12.75">
      <c r="B1203" s="237"/>
      <c r="C1203" s="297"/>
      <c r="D1203" s="237"/>
      <c r="E1203" s="237"/>
    </row>
    <row r="1204" spans="2:5" ht="12.75">
      <c r="B1204" s="237"/>
      <c r="C1204" s="297"/>
      <c r="D1204" s="237"/>
      <c r="E1204" s="237"/>
    </row>
    <row r="1205" spans="2:5" ht="12.75">
      <c r="B1205" s="237"/>
      <c r="C1205" s="297"/>
      <c r="D1205" s="237"/>
      <c r="E1205" s="237"/>
    </row>
    <row r="1206" spans="2:5" ht="12.75">
      <c r="B1206" s="237"/>
      <c r="C1206" s="297"/>
      <c r="D1206" s="237"/>
      <c r="E1206" s="237"/>
    </row>
    <row r="1207" spans="2:5" ht="12.75">
      <c r="B1207" s="237"/>
      <c r="C1207" s="297"/>
      <c r="D1207" s="237"/>
      <c r="E1207" s="237"/>
    </row>
    <row r="1208" spans="2:5" ht="12.75">
      <c r="B1208" s="237"/>
      <c r="C1208" s="297"/>
      <c r="D1208" s="237"/>
      <c r="E1208" s="237"/>
    </row>
    <row r="1209" spans="2:5" ht="12.75">
      <c r="B1209" s="237"/>
      <c r="C1209" s="297"/>
      <c r="D1209" s="237"/>
      <c r="E1209" s="237"/>
    </row>
    <row r="1210" spans="2:5" ht="12.75">
      <c r="B1210" s="237"/>
      <c r="C1210" s="297"/>
      <c r="D1210" s="237"/>
      <c r="E1210" s="237"/>
    </row>
    <row r="1211" spans="2:5" ht="12.75">
      <c r="B1211" s="237"/>
      <c r="C1211" s="297"/>
      <c r="D1211" s="237"/>
      <c r="E1211" s="237"/>
    </row>
    <row r="1212" spans="2:5" ht="12.75">
      <c r="B1212" s="237"/>
      <c r="C1212" s="297"/>
      <c r="D1212" s="237"/>
      <c r="E1212" s="237"/>
    </row>
    <row r="1213" spans="2:5" ht="12.75">
      <c r="B1213" s="237"/>
      <c r="C1213" s="297"/>
      <c r="D1213" s="237"/>
      <c r="E1213" s="237"/>
    </row>
    <row r="1214" spans="2:5" ht="12.75">
      <c r="B1214" s="237"/>
      <c r="C1214" s="297"/>
      <c r="D1214" s="237"/>
      <c r="E1214" s="237"/>
    </row>
    <row r="1215" spans="2:5" ht="12.75">
      <c r="B1215" s="237"/>
      <c r="C1215" s="297"/>
      <c r="D1215" s="237"/>
      <c r="E1215" s="237"/>
    </row>
    <row r="1216" spans="2:5" ht="12.75">
      <c r="B1216" s="237"/>
      <c r="C1216" s="297"/>
      <c r="D1216" s="237"/>
      <c r="E1216" s="237"/>
    </row>
    <row r="1217" spans="2:5" ht="12.75">
      <c r="B1217" s="237"/>
      <c r="C1217" s="297"/>
      <c r="D1217" s="237"/>
      <c r="E1217" s="237"/>
    </row>
    <row r="1218" spans="2:5" ht="12.75">
      <c r="B1218" s="237"/>
      <c r="C1218" s="297"/>
      <c r="D1218" s="237"/>
      <c r="E1218" s="237"/>
    </row>
    <row r="1219" spans="2:5" ht="12.75">
      <c r="B1219" s="237"/>
      <c r="C1219" s="297"/>
      <c r="D1219" s="237"/>
      <c r="E1219" s="237"/>
    </row>
    <row r="1220" spans="2:5" ht="12.75">
      <c r="B1220" s="237"/>
      <c r="C1220" s="297"/>
      <c r="D1220" s="237"/>
      <c r="E1220" s="237"/>
    </row>
    <row r="1221" spans="2:5" ht="12.75">
      <c r="B1221" s="237"/>
      <c r="C1221" s="297"/>
      <c r="D1221" s="237"/>
      <c r="E1221" s="237"/>
    </row>
    <row r="1222" spans="2:5" ht="12.75">
      <c r="B1222" s="237"/>
      <c r="C1222" s="297"/>
      <c r="D1222" s="237"/>
      <c r="E1222" s="237"/>
    </row>
    <row r="1223" spans="2:5" ht="12.75">
      <c r="B1223" s="237"/>
      <c r="C1223" s="297"/>
      <c r="D1223" s="237"/>
      <c r="E1223" s="237"/>
    </row>
    <row r="1224" spans="2:5" ht="12.75">
      <c r="B1224" s="237"/>
      <c r="C1224" s="297"/>
      <c r="D1224" s="237"/>
      <c r="E1224" s="237"/>
    </row>
    <row r="1225" spans="2:5" ht="12.75">
      <c r="B1225" s="237"/>
      <c r="C1225" s="297"/>
      <c r="D1225" s="237"/>
      <c r="E1225" s="237"/>
    </row>
    <row r="1226" spans="2:5" ht="12.75">
      <c r="B1226" s="237"/>
      <c r="C1226" s="297"/>
      <c r="D1226" s="237"/>
      <c r="E1226" s="237"/>
    </row>
    <row r="1227" spans="2:5" ht="12.75">
      <c r="B1227" s="237"/>
      <c r="C1227" s="297"/>
      <c r="D1227" s="237"/>
      <c r="E1227" s="237"/>
    </row>
    <row r="1228" spans="2:5" ht="12.75">
      <c r="B1228" s="237"/>
      <c r="C1228" s="297"/>
      <c r="D1228" s="237"/>
      <c r="E1228" s="237"/>
    </row>
    <row r="1229" spans="2:5" ht="12.75">
      <c r="B1229" s="237"/>
      <c r="C1229" s="297"/>
      <c r="D1229" s="237"/>
      <c r="E1229" s="237"/>
    </row>
    <row r="1230" spans="2:5" ht="12.75">
      <c r="B1230" s="237"/>
      <c r="C1230" s="297"/>
      <c r="D1230" s="237"/>
      <c r="E1230" s="237"/>
    </row>
    <row r="1231" spans="2:5" ht="12.75">
      <c r="B1231" s="237"/>
      <c r="C1231" s="297"/>
      <c r="D1231" s="237"/>
      <c r="E1231" s="237"/>
    </row>
    <row r="1232" spans="2:5" ht="12.75">
      <c r="B1232" s="237"/>
      <c r="C1232" s="297"/>
      <c r="D1232" s="237"/>
      <c r="E1232" s="237"/>
    </row>
    <row r="1233" spans="2:5" ht="12.75">
      <c r="B1233" s="237"/>
      <c r="C1233" s="297"/>
      <c r="D1233" s="237"/>
      <c r="E1233" s="237"/>
    </row>
    <row r="1234" spans="2:5" ht="12.75">
      <c r="B1234" s="237"/>
      <c r="C1234" s="297"/>
      <c r="D1234" s="237"/>
      <c r="E1234" s="237"/>
    </row>
    <row r="1235" spans="2:5" ht="12.75">
      <c r="B1235" s="237"/>
      <c r="C1235" s="297"/>
      <c r="D1235" s="237"/>
      <c r="E1235" s="237"/>
    </row>
    <row r="1236" spans="2:5" ht="12.75">
      <c r="B1236" s="237"/>
      <c r="C1236" s="297"/>
      <c r="D1236" s="237"/>
      <c r="E1236" s="237"/>
    </row>
    <row r="1237" spans="2:5" ht="12.75">
      <c r="B1237" s="237"/>
      <c r="C1237" s="297"/>
      <c r="D1237" s="237"/>
      <c r="E1237" s="237"/>
    </row>
    <row r="1238" spans="2:5" ht="12.75">
      <c r="B1238" s="237"/>
      <c r="C1238" s="297"/>
      <c r="D1238" s="237"/>
      <c r="E1238" s="237"/>
    </row>
    <row r="1239" spans="2:5" ht="12.75">
      <c r="B1239" s="237"/>
      <c r="C1239" s="297"/>
      <c r="D1239" s="237"/>
      <c r="E1239" s="237"/>
    </row>
    <row r="1240" spans="2:5" ht="12.75">
      <c r="B1240" s="237"/>
      <c r="C1240" s="297"/>
      <c r="D1240" s="237"/>
      <c r="E1240" s="237"/>
    </row>
    <row r="1241" spans="2:5" ht="12.75">
      <c r="B1241" s="237"/>
      <c r="C1241" s="297"/>
      <c r="D1241" s="237"/>
      <c r="E1241" s="237"/>
    </row>
    <row r="1242" spans="2:5" ht="12.75">
      <c r="B1242" s="237"/>
      <c r="C1242" s="297"/>
      <c r="D1242" s="237"/>
      <c r="E1242" s="237"/>
    </row>
    <row r="1243" spans="2:5" ht="12.75">
      <c r="B1243" s="237"/>
      <c r="C1243" s="297"/>
      <c r="D1243" s="237"/>
      <c r="E1243" s="237"/>
    </row>
    <row r="1244" spans="2:5" ht="12.75">
      <c r="B1244" s="237"/>
      <c r="C1244" s="297"/>
      <c r="D1244" s="237"/>
      <c r="E1244" s="237"/>
    </row>
    <row r="1245" spans="2:5" ht="12.75">
      <c r="B1245" s="237"/>
      <c r="C1245" s="297"/>
      <c r="D1245" s="237"/>
      <c r="E1245" s="237"/>
    </row>
    <row r="1246" spans="2:5" ht="12.75">
      <c r="B1246" s="237"/>
      <c r="C1246" s="297"/>
      <c r="D1246" s="237"/>
      <c r="E1246" s="237"/>
    </row>
    <row r="1247" spans="2:5" ht="12.75">
      <c r="B1247" s="237"/>
      <c r="C1247" s="297"/>
      <c r="D1247" s="237"/>
      <c r="E1247" s="237"/>
    </row>
    <row r="1248" spans="2:5" ht="12.75">
      <c r="B1248" s="237"/>
      <c r="C1248" s="297"/>
      <c r="D1248" s="237"/>
      <c r="E1248" s="237"/>
    </row>
    <row r="1249" spans="2:5" ht="12.75">
      <c r="B1249" s="237"/>
      <c r="C1249" s="297"/>
      <c r="D1249" s="237"/>
      <c r="E1249" s="237"/>
    </row>
    <row r="1250" spans="2:5" ht="12.75">
      <c r="B1250" s="237"/>
      <c r="C1250" s="297"/>
      <c r="D1250" s="237"/>
      <c r="E1250" s="237"/>
    </row>
    <row r="1251" spans="2:5" ht="12.75">
      <c r="B1251" s="237"/>
      <c r="C1251" s="297"/>
      <c r="D1251" s="237"/>
      <c r="E1251" s="237"/>
    </row>
    <row r="1252" spans="2:5" ht="12.75">
      <c r="B1252" s="237"/>
      <c r="C1252" s="297"/>
      <c r="D1252" s="237"/>
      <c r="E1252" s="237"/>
    </row>
    <row r="1253" spans="2:5" ht="12.75">
      <c r="B1253" s="237"/>
      <c r="C1253" s="297"/>
      <c r="D1253" s="237"/>
      <c r="E1253" s="237"/>
    </row>
    <row r="1254" spans="2:5" ht="12.75">
      <c r="B1254" s="237"/>
      <c r="C1254" s="297"/>
      <c r="D1254" s="237"/>
      <c r="E1254" s="237"/>
    </row>
    <row r="1255" spans="2:5" ht="12.75">
      <c r="B1255" s="237"/>
      <c r="C1255" s="297"/>
      <c r="D1255" s="237"/>
      <c r="E1255" s="237"/>
    </row>
    <row r="1256" spans="2:5" ht="12.75">
      <c r="B1256" s="237"/>
      <c r="C1256" s="297"/>
      <c r="D1256" s="237"/>
      <c r="E1256" s="237"/>
    </row>
    <row r="1257" spans="2:5" ht="12.75">
      <c r="B1257" s="237"/>
      <c r="C1257" s="297"/>
      <c r="D1257" s="237"/>
      <c r="E1257" s="237"/>
    </row>
    <row r="1258" spans="2:5" ht="12.75">
      <c r="B1258" s="237"/>
      <c r="C1258" s="297"/>
      <c r="D1258" s="237"/>
      <c r="E1258" s="237"/>
    </row>
    <row r="1259" spans="2:5" ht="12.75">
      <c r="B1259" s="237"/>
      <c r="C1259" s="297"/>
      <c r="D1259" s="237"/>
      <c r="E1259" s="237"/>
    </row>
    <row r="1260" spans="2:5" ht="12.75">
      <c r="B1260" s="237"/>
      <c r="C1260" s="297"/>
      <c r="D1260" s="237"/>
      <c r="E1260" s="237"/>
    </row>
    <row r="1261" spans="2:5" ht="12.75">
      <c r="B1261" s="237"/>
      <c r="C1261" s="297"/>
      <c r="D1261" s="237"/>
      <c r="E1261" s="237"/>
    </row>
    <row r="1262" spans="2:5" ht="12.75">
      <c r="B1262" s="237"/>
      <c r="C1262" s="297"/>
      <c r="D1262" s="237"/>
      <c r="E1262" s="237"/>
    </row>
    <row r="1263" spans="2:5" ht="12.75">
      <c r="B1263" s="237"/>
      <c r="C1263" s="297"/>
      <c r="D1263" s="237"/>
      <c r="E1263" s="237"/>
    </row>
    <row r="1264" spans="2:5" ht="12.75">
      <c r="B1264" s="237"/>
      <c r="C1264" s="297"/>
      <c r="D1264" s="237"/>
      <c r="E1264" s="237"/>
    </row>
    <row r="1265" spans="2:5" ht="12.75">
      <c r="B1265" s="237"/>
      <c r="C1265" s="297"/>
      <c r="D1265" s="237"/>
      <c r="E1265" s="237"/>
    </row>
    <row r="1266" spans="2:5" ht="12.75">
      <c r="B1266" s="237"/>
      <c r="C1266" s="297"/>
      <c r="D1266" s="237"/>
      <c r="E1266" s="237"/>
    </row>
    <row r="1267" spans="2:5" ht="12.75">
      <c r="B1267" s="237"/>
      <c r="C1267" s="297"/>
      <c r="D1267" s="237"/>
      <c r="E1267" s="237"/>
    </row>
    <row r="1268" spans="2:5" ht="12.75">
      <c r="B1268" s="237"/>
      <c r="C1268" s="297"/>
      <c r="D1268" s="237"/>
      <c r="E1268" s="237"/>
    </row>
    <row r="1269" spans="2:5" ht="12.75">
      <c r="B1269" s="237"/>
      <c r="C1269" s="297"/>
      <c r="D1269" s="237"/>
      <c r="E1269" s="237"/>
    </row>
    <row r="1270" spans="2:5" ht="12.75">
      <c r="B1270" s="237"/>
      <c r="C1270" s="297"/>
      <c r="D1270" s="237"/>
      <c r="E1270" s="237"/>
    </row>
    <row r="1271" spans="2:5" ht="12.75">
      <c r="B1271" s="237"/>
      <c r="C1271" s="297"/>
      <c r="D1271" s="237"/>
      <c r="E1271" s="237"/>
    </row>
    <row r="1272" spans="2:5" ht="12.75">
      <c r="B1272" s="237"/>
      <c r="C1272" s="297"/>
      <c r="D1272" s="237"/>
      <c r="E1272" s="237"/>
    </row>
    <row r="1273" spans="2:5" ht="12.75">
      <c r="B1273" s="237"/>
      <c r="C1273" s="297"/>
      <c r="D1273" s="237"/>
      <c r="E1273" s="237"/>
    </row>
    <row r="1274" spans="2:5" ht="12.75">
      <c r="B1274" s="237"/>
      <c r="C1274" s="297"/>
      <c r="D1274" s="237"/>
      <c r="E1274" s="237"/>
    </row>
    <row r="1275" spans="2:5" ht="12.75">
      <c r="B1275" s="237"/>
      <c r="C1275" s="297"/>
      <c r="D1275" s="237"/>
      <c r="E1275" s="237"/>
    </row>
    <row r="1276" spans="2:5" ht="12.75">
      <c r="B1276" s="237"/>
      <c r="C1276" s="297"/>
      <c r="D1276" s="237"/>
      <c r="E1276" s="237"/>
    </row>
    <row r="1277" spans="2:5" ht="12.75">
      <c r="B1277" s="237"/>
      <c r="C1277" s="297"/>
      <c r="D1277" s="237"/>
      <c r="E1277" s="237"/>
    </row>
    <row r="1278" spans="2:5" ht="12.75">
      <c r="B1278" s="237"/>
      <c r="C1278" s="297"/>
      <c r="D1278" s="237"/>
      <c r="E1278" s="237"/>
    </row>
    <row r="1279" spans="2:5" ht="12.75">
      <c r="B1279" s="237"/>
      <c r="C1279" s="297"/>
      <c r="D1279" s="237"/>
      <c r="E1279" s="237"/>
    </row>
    <row r="1280" spans="2:5" ht="12.75">
      <c r="B1280" s="237"/>
      <c r="C1280" s="297"/>
      <c r="D1280" s="237"/>
      <c r="E1280" s="237"/>
    </row>
    <row r="1281" spans="2:5" ht="12.75">
      <c r="B1281" s="237"/>
      <c r="C1281" s="297"/>
      <c r="D1281" s="237"/>
      <c r="E1281" s="237"/>
    </row>
    <row r="1282" spans="2:5" ht="12.75">
      <c r="B1282" s="237"/>
      <c r="C1282" s="297"/>
      <c r="D1282" s="237"/>
      <c r="E1282" s="237"/>
    </row>
    <row r="1283" spans="2:5" ht="12.75">
      <c r="B1283" s="237"/>
      <c r="C1283" s="297"/>
      <c r="D1283" s="237"/>
      <c r="E1283" s="237"/>
    </row>
    <row r="1284" spans="2:5" ht="12.75">
      <c r="B1284" s="237"/>
      <c r="C1284" s="297"/>
      <c r="D1284" s="237"/>
      <c r="E1284" s="237"/>
    </row>
    <row r="1285" spans="2:5" ht="12.75">
      <c r="B1285" s="237"/>
      <c r="C1285" s="297"/>
      <c r="D1285" s="237"/>
      <c r="E1285" s="237"/>
    </row>
    <row r="1286" spans="2:5" ht="12.75">
      <c r="B1286" s="237"/>
      <c r="C1286" s="297"/>
      <c r="D1286" s="237"/>
      <c r="E1286" s="237"/>
    </row>
    <row r="1287" spans="2:5" ht="12.75">
      <c r="B1287" s="237"/>
      <c r="C1287" s="297"/>
      <c r="D1287" s="237"/>
      <c r="E1287" s="237"/>
    </row>
    <row r="1288" spans="2:5" ht="12.75">
      <c r="B1288" s="237"/>
      <c r="C1288" s="297"/>
      <c r="D1288" s="237"/>
      <c r="E1288" s="237"/>
    </row>
    <row r="1289" spans="2:5" ht="12.75">
      <c r="B1289" s="237"/>
      <c r="C1289" s="297"/>
      <c r="D1289" s="237"/>
      <c r="E1289" s="237"/>
    </row>
    <row r="1290" spans="2:5" ht="12.75">
      <c r="B1290" s="237"/>
      <c r="C1290" s="297"/>
      <c r="D1290" s="237"/>
      <c r="E1290" s="237"/>
    </row>
    <row r="1291" spans="2:5" ht="12.75">
      <c r="B1291" s="237"/>
      <c r="C1291" s="297"/>
      <c r="D1291" s="237"/>
      <c r="E1291" s="237"/>
    </row>
    <row r="1292" spans="2:5" ht="12.75">
      <c r="B1292" s="237"/>
      <c r="C1292" s="297"/>
      <c r="D1292" s="237"/>
      <c r="E1292" s="237"/>
    </row>
    <row r="1293" spans="2:5" ht="12.75">
      <c r="B1293" s="237"/>
      <c r="C1293" s="297"/>
      <c r="D1293" s="237"/>
      <c r="E1293" s="237"/>
    </row>
    <row r="1294" spans="2:5" ht="12.75">
      <c r="B1294" s="237"/>
      <c r="C1294" s="297"/>
      <c r="D1294" s="237"/>
      <c r="E1294" s="237"/>
    </row>
    <row r="1295" spans="2:5" ht="12.75">
      <c r="B1295" s="237"/>
      <c r="C1295" s="297"/>
      <c r="D1295" s="237"/>
      <c r="E1295" s="237"/>
    </row>
    <row r="1296" spans="2:5" ht="12.75">
      <c r="B1296" s="237"/>
      <c r="C1296" s="297"/>
      <c r="D1296" s="237"/>
      <c r="E1296" s="237"/>
    </row>
    <row r="1297" spans="2:5" ht="12.75">
      <c r="B1297" s="237"/>
      <c r="C1297" s="297"/>
      <c r="D1297" s="237"/>
      <c r="E1297" s="237"/>
    </row>
    <row r="1298" spans="2:5" ht="12.75">
      <c r="B1298" s="237"/>
      <c r="C1298" s="297"/>
      <c r="D1298" s="237"/>
      <c r="E1298" s="237"/>
    </row>
    <row r="1299" spans="2:5" ht="12.75">
      <c r="B1299" s="237"/>
      <c r="C1299" s="297"/>
      <c r="D1299" s="237"/>
      <c r="E1299" s="237"/>
    </row>
    <row r="1300" spans="2:5" ht="12.75">
      <c r="B1300" s="237"/>
      <c r="C1300" s="297"/>
      <c r="D1300" s="237"/>
      <c r="E1300" s="237"/>
    </row>
    <row r="1301" spans="2:5" ht="12.75">
      <c r="B1301" s="237"/>
      <c r="C1301" s="297"/>
      <c r="D1301" s="237"/>
      <c r="E1301" s="237"/>
    </row>
    <row r="1302" spans="2:5" ht="12.75">
      <c r="B1302" s="237"/>
      <c r="C1302" s="297"/>
      <c r="D1302" s="237"/>
      <c r="E1302" s="237"/>
    </row>
    <row r="1303" spans="2:5" ht="12.75">
      <c r="B1303" s="237"/>
      <c r="C1303" s="297"/>
      <c r="D1303" s="237"/>
      <c r="E1303" s="237"/>
    </row>
    <row r="1304" spans="2:5" ht="12.75">
      <c r="B1304" s="237"/>
      <c r="C1304" s="297"/>
      <c r="D1304" s="237"/>
      <c r="E1304" s="237"/>
    </row>
    <row r="1305" spans="2:5" ht="12.75">
      <c r="B1305" s="237"/>
      <c r="C1305" s="297"/>
      <c r="D1305" s="237"/>
      <c r="E1305" s="237"/>
    </row>
    <row r="1306" spans="2:5" ht="12.75">
      <c r="B1306" s="237"/>
      <c r="C1306" s="297"/>
      <c r="D1306" s="237"/>
      <c r="E1306" s="237"/>
    </row>
    <row r="1307" spans="2:5" ht="12.75">
      <c r="B1307" s="237"/>
      <c r="C1307" s="297"/>
      <c r="D1307" s="237"/>
      <c r="E1307" s="237"/>
    </row>
    <row r="1308" spans="2:5" ht="12.75">
      <c r="B1308" s="237"/>
      <c r="C1308" s="297"/>
      <c r="D1308" s="237"/>
      <c r="E1308" s="237"/>
    </row>
    <row r="1309" spans="2:5" ht="12.75">
      <c r="B1309" s="237"/>
      <c r="C1309" s="297"/>
      <c r="D1309" s="237"/>
      <c r="E1309" s="237"/>
    </row>
    <row r="1310" spans="2:5" ht="12.75">
      <c r="B1310" s="237"/>
      <c r="C1310" s="297"/>
      <c r="D1310" s="237"/>
      <c r="E1310" s="237"/>
    </row>
    <row r="1311" spans="2:5" ht="12.75">
      <c r="B1311" s="237"/>
      <c r="C1311" s="297"/>
      <c r="D1311" s="237"/>
      <c r="E1311" s="237"/>
    </row>
    <row r="1312" spans="2:5" ht="12.75">
      <c r="B1312" s="237"/>
      <c r="C1312" s="297"/>
      <c r="D1312" s="237"/>
      <c r="E1312" s="237"/>
    </row>
    <row r="1313" spans="2:5" ht="12.75">
      <c r="B1313" s="237"/>
      <c r="C1313" s="297"/>
      <c r="D1313" s="237"/>
      <c r="E1313" s="237"/>
    </row>
    <row r="1314" spans="2:5" ht="12.75">
      <c r="B1314" s="237"/>
      <c r="C1314" s="297"/>
      <c r="D1314" s="237"/>
      <c r="E1314" s="237"/>
    </row>
    <row r="1315" spans="2:5" ht="12.75">
      <c r="B1315" s="237"/>
      <c r="C1315" s="297"/>
      <c r="D1315" s="237"/>
      <c r="E1315" s="237"/>
    </row>
    <row r="1316" spans="2:5" ht="12.75">
      <c r="B1316" s="237"/>
      <c r="C1316" s="297"/>
      <c r="D1316" s="237"/>
      <c r="E1316" s="237"/>
    </row>
    <row r="1317" spans="2:5" ht="12.75">
      <c r="B1317" s="237"/>
      <c r="C1317" s="297"/>
      <c r="D1317" s="237"/>
      <c r="E1317" s="237"/>
    </row>
    <row r="1318" spans="2:5" ht="12.75">
      <c r="B1318" s="237"/>
      <c r="C1318" s="297"/>
      <c r="D1318" s="237"/>
      <c r="E1318" s="237"/>
    </row>
    <row r="1319" spans="2:5" ht="12.75">
      <c r="B1319" s="237"/>
      <c r="C1319" s="297"/>
      <c r="D1319" s="237"/>
      <c r="E1319" s="237"/>
    </row>
    <row r="1320" spans="2:5" ht="12.75">
      <c r="B1320" s="237"/>
      <c r="C1320" s="297"/>
      <c r="D1320" s="237"/>
      <c r="E1320" s="237"/>
    </row>
    <row r="1321" spans="2:5" ht="12.75">
      <c r="B1321" s="237"/>
      <c r="C1321" s="297"/>
      <c r="D1321" s="237"/>
      <c r="E1321" s="237"/>
    </row>
    <row r="1322" spans="2:5" ht="12.75">
      <c r="B1322" s="237"/>
      <c r="C1322" s="297"/>
      <c r="D1322" s="237"/>
      <c r="E1322" s="237"/>
    </row>
    <row r="1323" spans="2:5" ht="12.75">
      <c r="B1323" s="237"/>
      <c r="C1323" s="297"/>
      <c r="D1323" s="237"/>
      <c r="E1323" s="237"/>
    </row>
    <row r="1324" spans="2:5" ht="12.75">
      <c r="B1324" s="237"/>
      <c r="C1324" s="297"/>
      <c r="D1324" s="237"/>
      <c r="E1324" s="237"/>
    </row>
    <row r="1325" spans="2:5" ht="12.75">
      <c r="B1325" s="237"/>
      <c r="C1325" s="297"/>
      <c r="D1325" s="237"/>
      <c r="E1325" s="237"/>
    </row>
    <row r="1326" spans="2:5" ht="12.75">
      <c r="B1326" s="237"/>
      <c r="C1326" s="297"/>
      <c r="D1326" s="237"/>
      <c r="E1326" s="237"/>
    </row>
    <row r="1327" spans="2:5" ht="12.75">
      <c r="B1327" s="237"/>
      <c r="C1327" s="297"/>
      <c r="D1327" s="237"/>
      <c r="E1327" s="237"/>
    </row>
    <row r="1328" spans="2:5" ht="12.75">
      <c r="B1328" s="237"/>
      <c r="C1328" s="297"/>
      <c r="D1328" s="237"/>
      <c r="E1328" s="237"/>
    </row>
    <row r="1329" spans="2:5" ht="12.75">
      <c r="B1329" s="237"/>
      <c r="C1329" s="297"/>
      <c r="D1329" s="237"/>
      <c r="E1329" s="237"/>
    </row>
    <row r="1330" spans="2:5" ht="12.75">
      <c r="B1330" s="237"/>
      <c r="C1330" s="297"/>
      <c r="D1330" s="237"/>
      <c r="E1330" s="237"/>
    </row>
    <row r="1331" spans="2:5" ht="12.75">
      <c r="B1331" s="237"/>
      <c r="C1331" s="297"/>
      <c r="D1331" s="237"/>
      <c r="E1331" s="237"/>
    </row>
    <row r="1332" spans="2:5" ht="12.75">
      <c r="B1332" s="237"/>
      <c r="C1332" s="297"/>
      <c r="D1332" s="237"/>
      <c r="E1332" s="237"/>
    </row>
    <row r="1333" spans="2:5" ht="12.75">
      <c r="B1333" s="237"/>
      <c r="C1333" s="297"/>
      <c r="D1333" s="237"/>
      <c r="E1333" s="237"/>
    </row>
    <row r="1334" spans="2:5" ht="12.75">
      <c r="B1334" s="237"/>
      <c r="C1334" s="297"/>
      <c r="D1334" s="237"/>
      <c r="E1334" s="237"/>
    </row>
    <row r="1335" spans="2:5" ht="12.75">
      <c r="B1335" s="237"/>
      <c r="C1335" s="297"/>
      <c r="D1335" s="237"/>
      <c r="E1335" s="237"/>
    </row>
    <row r="1336" spans="2:5" ht="12.75">
      <c r="B1336" s="237"/>
      <c r="C1336" s="297"/>
      <c r="D1336" s="237"/>
      <c r="E1336" s="237"/>
    </row>
    <row r="1337" spans="2:5" ht="12.75">
      <c r="B1337" s="237"/>
      <c r="C1337" s="297"/>
      <c r="D1337" s="237"/>
      <c r="E1337" s="237"/>
    </row>
    <row r="1338" spans="2:5" ht="12.75">
      <c r="B1338" s="237"/>
      <c r="C1338" s="297"/>
      <c r="D1338" s="237"/>
      <c r="E1338" s="237"/>
    </row>
    <row r="1339" spans="2:5" ht="12.75">
      <c r="B1339" s="237"/>
      <c r="C1339" s="297"/>
      <c r="D1339" s="237"/>
      <c r="E1339" s="237"/>
    </row>
    <row r="1340" spans="2:5" ht="12.75">
      <c r="B1340" s="237"/>
      <c r="C1340" s="297"/>
      <c r="D1340" s="237"/>
      <c r="E1340" s="237"/>
    </row>
    <row r="1341" spans="2:5" ht="12.75">
      <c r="B1341" s="237"/>
      <c r="C1341" s="297"/>
      <c r="D1341" s="237"/>
      <c r="E1341" s="237"/>
    </row>
    <row r="1342" spans="2:5" ht="12.75">
      <c r="B1342" s="237"/>
      <c r="C1342" s="297"/>
      <c r="D1342" s="237"/>
      <c r="E1342" s="237"/>
    </row>
    <row r="1343" spans="2:5" ht="12.75">
      <c r="B1343" s="237"/>
      <c r="C1343" s="297"/>
      <c r="D1343" s="237"/>
      <c r="E1343" s="237"/>
    </row>
    <row r="1344" spans="2:5" ht="12.75">
      <c r="B1344" s="237"/>
      <c r="C1344" s="297"/>
      <c r="D1344" s="237"/>
      <c r="E1344" s="237"/>
    </row>
    <row r="1345" spans="2:5" ht="12.75">
      <c r="B1345" s="237"/>
      <c r="C1345" s="297"/>
      <c r="D1345" s="237"/>
      <c r="E1345" s="237"/>
    </row>
    <row r="1346" spans="2:5" ht="12.75">
      <c r="B1346" s="237"/>
      <c r="C1346" s="297"/>
      <c r="D1346" s="237"/>
      <c r="E1346" s="237"/>
    </row>
    <row r="1347" spans="2:5" ht="12.75">
      <c r="B1347" s="237"/>
      <c r="C1347" s="297"/>
      <c r="D1347" s="237"/>
      <c r="E1347" s="237"/>
    </row>
    <row r="1348" spans="2:5" ht="12.75">
      <c r="B1348" s="237"/>
      <c r="C1348" s="297"/>
      <c r="D1348" s="237"/>
      <c r="E1348" s="237"/>
    </row>
    <row r="1349" spans="2:5" ht="12.75">
      <c r="B1349" s="237"/>
      <c r="C1349" s="297"/>
      <c r="D1349" s="237"/>
      <c r="E1349" s="237"/>
    </row>
    <row r="1350" spans="2:5" ht="12.75">
      <c r="B1350" s="237"/>
      <c r="C1350" s="297"/>
      <c r="D1350" s="237"/>
      <c r="E1350" s="237"/>
    </row>
    <row r="1351" spans="2:5" ht="12.75">
      <c r="B1351" s="237"/>
      <c r="C1351" s="297"/>
      <c r="D1351" s="237"/>
      <c r="E1351" s="237"/>
    </row>
    <row r="1352" spans="2:5" ht="12.75">
      <c r="B1352" s="237"/>
      <c r="C1352" s="297"/>
      <c r="D1352" s="237"/>
      <c r="E1352" s="237"/>
    </row>
    <row r="1353" spans="2:5" ht="12.75">
      <c r="B1353" s="237"/>
      <c r="C1353" s="297"/>
      <c r="D1353" s="237"/>
      <c r="E1353" s="237"/>
    </row>
    <row r="1354" spans="2:5" ht="12.75">
      <c r="B1354" s="237"/>
      <c r="C1354" s="297"/>
      <c r="D1354" s="237"/>
      <c r="E1354" s="237"/>
    </row>
    <row r="1355" spans="2:5" ht="12.75">
      <c r="B1355" s="237"/>
      <c r="C1355" s="297"/>
      <c r="D1355" s="237"/>
      <c r="E1355" s="237"/>
    </row>
    <row r="1356" spans="2:5" ht="12.75">
      <c r="B1356" s="237"/>
      <c r="C1356" s="297"/>
      <c r="D1356" s="237"/>
      <c r="E1356" s="237"/>
    </row>
    <row r="1357" spans="2:5" ht="12.75">
      <c r="B1357" s="237"/>
      <c r="C1357" s="297"/>
      <c r="D1357" s="237"/>
      <c r="E1357" s="237"/>
    </row>
    <row r="1358" spans="2:5" ht="12.75">
      <c r="B1358" s="237"/>
      <c r="C1358" s="297"/>
      <c r="D1358" s="237"/>
      <c r="E1358" s="237"/>
    </row>
    <row r="1359" spans="2:5" ht="12.75">
      <c r="B1359" s="237"/>
      <c r="C1359" s="297"/>
      <c r="D1359" s="237"/>
      <c r="E1359" s="237"/>
    </row>
    <row r="1360" spans="2:5" ht="12.75">
      <c r="B1360" s="237"/>
      <c r="C1360" s="297"/>
      <c r="D1360" s="237"/>
      <c r="E1360" s="237"/>
    </row>
    <row r="1361" spans="2:5" ht="12.75">
      <c r="B1361" s="237"/>
      <c r="C1361" s="297"/>
      <c r="D1361" s="237"/>
      <c r="E1361" s="237"/>
    </row>
    <row r="1362" spans="2:5" ht="12.75">
      <c r="B1362" s="237"/>
      <c r="C1362" s="297"/>
      <c r="D1362" s="237"/>
      <c r="E1362" s="237"/>
    </row>
    <row r="1363" spans="2:5" ht="12.75">
      <c r="B1363" s="237"/>
      <c r="C1363" s="297"/>
      <c r="D1363" s="237"/>
      <c r="E1363" s="237"/>
    </row>
    <row r="1364" spans="2:5" ht="12.75">
      <c r="B1364" s="237"/>
      <c r="C1364" s="297"/>
      <c r="D1364" s="237"/>
      <c r="E1364" s="237"/>
    </row>
    <row r="1365" spans="2:5" ht="12.75">
      <c r="B1365" s="237"/>
      <c r="C1365" s="297"/>
      <c r="D1365" s="237"/>
      <c r="E1365" s="237"/>
    </row>
    <row r="1366" spans="2:5" ht="12.75">
      <c r="B1366" s="237"/>
      <c r="C1366" s="297"/>
      <c r="D1366" s="237"/>
      <c r="E1366" s="237"/>
    </row>
    <row r="1367" spans="2:5" ht="12.75">
      <c r="B1367" s="237"/>
      <c r="C1367" s="297"/>
      <c r="D1367" s="237"/>
      <c r="E1367" s="237"/>
    </row>
    <row r="1368" spans="2:5" ht="12.75">
      <c r="B1368" s="237"/>
      <c r="C1368" s="297"/>
      <c r="D1368" s="237"/>
      <c r="E1368" s="237"/>
    </row>
    <row r="1369" spans="2:5" ht="12.75">
      <c r="B1369" s="237"/>
      <c r="C1369" s="297"/>
      <c r="D1369" s="237"/>
      <c r="E1369" s="237"/>
    </row>
    <row r="1370" spans="2:5" ht="12.75">
      <c r="B1370" s="237"/>
      <c r="C1370" s="297"/>
      <c r="D1370" s="237"/>
      <c r="E1370" s="237"/>
    </row>
    <row r="1371" spans="2:5" ht="12.75">
      <c r="B1371" s="237"/>
      <c r="C1371" s="297"/>
      <c r="D1371" s="237"/>
      <c r="E1371" s="237"/>
    </row>
    <row r="1372" spans="2:5" ht="12.75">
      <c r="B1372" s="237"/>
      <c r="C1372" s="297"/>
      <c r="D1372" s="237"/>
      <c r="E1372" s="237"/>
    </row>
    <row r="1373" spans="2:5" ht="12.75">
      <c r="B1373" s="237"/>
      <c r="C1373" s="297"/>
      <c r="D1373" s="237"/>
      <c r="E1373" s="237"/>
    </row>
    <row r="1374" spans="2:5" ht="12.75">
      <c r="B1374" s="237"/>
      <c r="C1374" s="297"/>
      <c r="D1374" s="237"/>
      <c r="E1374" s="237"/>
    </row>
    <row r="1375" spans="2:5" ht="12.75">
      <c r="B1375" s="237"/>
      <c r="C1375" s="297"/>
      <c r="D1375" s="237"/>
      <c r="E1375" s="237"/>
    </row>
    <row r="1376" spans="2:5" ht="12.75">
      <c r="B1376" s="237"/>
      <c r="C1376" s="297"/>
      <c r="D1376" s="237"/>
      <c r="E1376" s="237"/>
    </row>
    <row r="1377" spans="2:5" ht="12.75">
      <c r="B1377" s="237"/>
      <c r="C1377" s="297"/>
      <c r="D1377" s="237"/>
      <c r="E1377" s="237"/>
    </row>
    <row r="1378" spans="2:5" ht="12.75">
      <c r="B1378" s="237"/>
      <c r="C1378" s="297"/>
      <c r="D1378" s="237"/>
      <c r="E1378" s="237"/>
    </row>
    <row r="1379" spans="2:5" ht="12.75">
      <c r="B1379" s="237"/>
      <c r="C1379" s="297"/>
      <c r="D1379" s="237"/>
      <c r="E1379" s="237"/>
    </row>
    <row r="1380" spans="2:5" ht="12.75">
      <c r="B1380" s="237"/>
      <c r="C1380" s="297"/>
      <c r="D1380" s="237"/>
      <c r="E1380" s="237"/>
    </row>
    <row r="1381" spans="2:5" ht="12.75">
      <c r="B1381" s="237"/>
      <c r="C1381" s="297"/>
      <c r="D1381" s="237"/>
      <c r="E1381" s="237"/>
    </row>
    <row r="1382" spans="2:5" ht="12.75">
      <c r="B1382" s="237"/>
      <c r="C1382" s="297"/>
      <c r="D1382" s="237"/>
      <c r="E1382" s="237"/>
    </row>
    <row r="1383" spans="2:5" ht="12.75">
      <c r="B1383" s="237"/>
      <c r="C1383" s="297"/>
      <c r="D1383" s="237"/>
      <c r="E1383" s="237"/>
    </row>
    <row r="1384" spans="2:5" ht="12.75">
      <c r="B1384" s="237"/>
      <c r="C1384" s="297"/>
      <c r="D1384" s="237"/>
      <c r="E1384" s="237"/>
    </row>
    <row r="1385" spans="2:5" ht="12.75">
      <c r="B1385" s="237"/>
      <c r="C1385" s="297"/>
      <c r="D1385" s="237"/>
      <c r="E1385" s="237"/>
    </row>
    <row r="1386" spans="2:5" ht="12.75">
      <c r="B1386" s="237"/>
      <c r="C1386" s="297"/>
      <c r="D1386" s="237"/>
      <c r="E1386" s="237"/>
    </row>
    <row r="1387" spans="2:5" ht="12.75">
      <c r="B1387" s="237"/>
      <c r="C1387" s="297"/>
      <c r="D1387" s="237"/>
      <c r="E1387" s="237"/>
    </row>
    <row r="1388" spans="2:5" ht="12.75">
      <c r="B1388" s="237"/>
      <c r="C1388" s="297"/>
      <c r="D1388" s="237"/>
      <c r="E1388" s="237"/>
    </row>
    <row r="1389" spans="2:5" ht="12.75">
      <c r="B1389" s="237"/>
      <c r="C1389" s="297"/>
      <c r="D1389" s="237"/>
      <c r="E1389" s="237"/>
    </row>
    <row r="1390" spans="2:5" ht="12.75">
      <c r="B1390" s="237"/>
      <c r="C1390" s="297"/>
      <c r="D1390" s="237"/>
      <c r="E1390" s="237"/>
    </row>
  </sheetData>
  <mergeCells count="11">
    <mergeCell ref="E8:E10"/>
    <mergeCell ref="A6:H6"/>
    <mergeCell ref="A7:H7"/>
    <mergeCell ref="H8:H10"/>
    <mergeCell ref="A257:D257"/>
    <mergeCell ref="F8:F10"/>
    <mergeCell ref="G8:G10"/>
    <mergeCell ref="A8:A10"/>
    <mergeCell ref="B8:B10"/>
    <mergeCell ref="C8:C10"/>
    <mergeCell ref="D8:D10"/>
  </mergeCells>
  <printOptions horizontalCentered="1"/>
  <pageMargins left="0.71" right="0.2362204724409449" top="0.2362204724409449" bottom="0.32" header="0.2362204724409449" footer="0.26"/>
  <pageSetup fitToHeight="4" fitToWidth="4" horizontalDpi="600" verticalDpi="600" orientation="portrait" paperSize="9" scale="84" r:id="rId1"/>
  <rowBreaks count="2" manualBreakCount="2">
    <brk id="68" max="7" man="1"/>
    <brk id="179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8"/>
  <sheetViews>
    <sheetView workbookViewId="0" topLeftCell="A85">
      <selection activeCell="D101" sqref="D101"/>
    </sheetView>
  </sheetViews>
  <sheetFormatPr defaultColWidth="9.00390625" defaultRowHeight="12.75"/>
  <cols>
    <col min="1" max="1" width="6.25390625" style="172" customWidth="1"/>
    <col min="2" max="2" width="7.125" style="172" customWidth="1"/>
    <col min="3" max="3" width="6.00390625" style="172" customWidth="1"/>
    <col min="4" max="4" width="49.00390625" style="172" customWidth="1"/>
    <col min="5" max="5" width="13.625" style="172" customWidth="1"/>
    <col min="6" max="6" width="14.00390625" style="172" customWidth="1"/>
    <col min="7" max="16384" width="9.125" style="172" customWidth="1"/>
  </cols>
  <sheetData>
    <row r="1" spans="5:6" ht="12">
      <c r="E1" s="173" t="s">
        <v>580</v>
      </c>
      <c r="F1" s="379"/>
    </row>
    <row r="2" spans="5:6" ht="12">
      <c r="E2" s="173" t="s">
        <v>404</v>
      </c>
      <c r="F2" s="379"/>
    </row>
    <row r="3" spans="4:6" ht="12">
      <c r="D3" s="174"/>
      <c r="E3" s="173" t="s">
        <v>218</v>
      </c>
      <c r="F3" s="379"/>
    </row>
    <row r="4" spans="4:6" ht="12">
      <c r="D4" s="174"/>
      <c r="E4" s="173" t="s">
        <v>724</v>
      </c>
      <c r="F4" s="379"/>
    </row>
    <row r="5" spans="4:6" ht="8.25" customHeight="1">
      <c r="D5" s="174"/>
      <c r="E5" s="173"/>
      <c r="F5" s="173"/>
    </row>
    <row r="6" spans="1:6" ht="15.75">
      <c r="A6" s="1035" t="s">
        <v>405</v>
      </c>
      <c r="B6" s="1035"/>
      <c r="C6" s="1035"/>
      <c r="D6" s="1035"/>
      <c r="E6" s="1035"/>
      <c r="F6" s="1035"/>
    </row>
    <row r="7" spans="1:6" ht="15.75">
      <c r="A7" s="1035" t="s">
        <v>406</v>
      </c>
      <c r="B7" s="1035"/>
      <c r="C7" s="1035"/>
      <c r="D7" s="1035"/>
      <c r="E7" s="1035"/>
      <c r="F7" s="1035"/>
    </row>
    <row r="8" spans="1:6" ht="12.75" customHeight="1">
      <c r="A8" s="1035" t="s">
        <v>407</v>
      </c>
      <c r="B8" s="1035"/>
      <c r="C8" s="1035"/>
      <c r="D8" s="1035"/>
      <c r="E8" s="1035"/>
      <c r="F8" s="1035"/>
    </row>
    <row r="9" spans="1:6" ht="8.25" customHeight="1" thickBot="1">
      <c r="A9" s="174"/>
      <c r="B9" s="174"/>
      <c r="C9" s="174"/>
      <c r="D9" s="174"/>
      <c r="E9" s="174"/>
      <c r="F9" s="175" t="s">
        <v>408</v>
      </c>
    </row>
    <row r="10" spans="1:6" ht="12.75" customHeight="1">
      <c r="A10" s="1042" t="s">
        <v>220</v>
      </c>
      <c r="B10" s="1043"/>
      <c r="C10" s="1044"/>
      <c r="D10" s="886" t="s">
        <v>409</v>
      </c>
      <c r="E10" s="886" t="s">
        <v>373</v>
      </c>
      <c r="F10" s="1045" t="s">
        <v>594</v>
      </c>
    </row>
    <row r="11" spans="1:6" ht="11.25" customHeight="1" thickBot="1">
      <c r="A11" s="1048" t="s">
        <v>72</v>
      </c>
      <c r="B11" s="1049" t="s">
        <v>625</v>
      </c>
      <c r="C11" s="1049" t="s">
        <v>590</v>
      </c>
      <c r="D11" s="884"/>
      <c r="E11" s="884"/>
      <c r="F11" s="1046"/>
    </row>
    <row r="12" spans="1:6" ht="0.75" customHeight="1" hidden="1" thickBot="1">
      <c r="A12" s="885"/>
      <c r="B12" s="879"/>
      <c r="C12" s="879"/>
      <c r="D12" s="879"/>
      <c r="E12" s="879"/>
      <c r="F12" s="1047"/>
    </row>
    <row r="13" spans="1:6" ht="10.5" thickBot="1">
      <c r="A13" s="380">
        <v>1</v>
      </c>
      <c r="B13" s="381">
        <v>2</v>
      </c>
      <c r="C13" s="382">
        <v>3</v>
      </c>
      <c r="D13" s="382">
        <v>4</v>
      </c>
      <c r="E13" s="382">
        <v>5</v>
      </c>
      <c r="F13" s="383">
        <v>6</v>
      </c>
    </row>
    <row r="14" spans="1:6" ht="12" customHeight="1" thickBot="1">
      <c r="A14" s="1050" t="s">
        <v>410</v>
      </c>
      <c r="B14" s="1053"/>
      <c r="C14" s="1053"/>
      <c r="D14" s="1053"/>
      <c r="E14" s="1053"/>
      <c r="F14" s="1054"/>
    </row>
    <row r="15" spans="1:6" ht="12" customHeight="1" thickBot="1">
      <c r="A15" s="434">
        <v>803</v>
      </c>
      <c r="B15" s="435"/>
      <c r="C15" s="435"/>
      <c r="D15" s="72" t="s">
        <v>153</v>
      </c>
      <c r="E15" s="601">
        <f>E16</f>
        <v>571098</v>
      </c>
      <c r="F15" s="446">
        <f>F16</f>
        <v>571098</v>
      </c>
    </row>
    <row r="16" spans="1:6" ht="12" customHeight="1">
      <c r="A16" s="436"/>
      <c r="B16" s="437">
        <v>80309</v>
      </c>
      <c r="C16" s="437"/>
      <c r="D16" s="64" t="s">
        <v>154</v>
      </c>
      <c r="E16" s="600">
        <f>SUM(E17:E28)</f>
        <v>571098</v>
      </c>
      <c r="F16" s="445">
        <f>SUM(F17:F30)</f>
        <v>571098</v>
      </c>
    </row>
    <row r="17" spans="1:6" ht="12" customHeight="1">
      <c r="A17" s="436"/>
      <c r="B17" s="438"/>
      <c r="C17" s="438">
        <v>2338</v>
      </c>
      <c r="D17" s="120" t="s">
        <v>464</v>
      </c>
      <c r="E17" s="598">
        <f>'Dochody-ukł.wykon.'!F150</f>
        <v>428324</v>
      </c>
      <c r="F17" s="597"/>
    </row>
    <row r="18" spans="1:6" ht="12" customHeight="1">
      <c r="A18" s="436"/>
      <c r="B18" s="438"/>
      <c r="C18" s="438"/>
      <c r="D18" s="120" t="s">
        <v>465</v>
      </c>
      <c r="E18" s="599"/>
      <c r="F18" s="597"/>
    </row>
    <row r="19" spans="1:6" ht="12" customHeight="1">
      <c r="A19" s="436"/>
      <c r="B19" s="438"/>
      <c r="C19" s="438">
        <v>2339</v>
      </c>
      <c r="D19" s="120" t="s">
        <v>464</v>
      </c>
      <c r="E19" s="598">
        <f>'Dochody-ukł.wykon.'!F152</f>
        <v>142774</v>
      </c>
      <c r="F19" s="597"/>
    </row>
    <row r="20" spans="1:6" ht="12" customHeight="1">
      <c r="A20" s="436"/>
      <c r="B20" s="438"/>
      <c r="C20" s="438"/>
      <c r="D20" s="120" t="s">
        <v>465</v>
      </c>
      <c r="E20" s="599"/>
      <c r="F20" s="597"/>
    </row>
    <row r="21" spans="1:6" ht="12" customHeight="1">
      <c r="A21" s="436"/>
      <c r="B21" s="438"/>
      <c r="C21" s="110">
        <v>3218</v>
      </c>
      <c r="D21" s="126" t="s">
        <v>155</v>
      </c>
      <c r="E21" s="599"/>
      <c r="F21" s="444">
        <f>'WYDATKI ukł.wyk.'!H320</f>
        <v>399877</v>
      </c>
    </row>
    <row r="22" spans="1:6" ht="12" customHeight="1">
      <c r="A22" s="436"/>
      <c r="B22" s="438"/>
      <c r="C22" s="110">
        <v>3219</v>
      </c>
      <c r="D22" s="126" t="s">
        <v>155</v>
      </c>
      <c r="E22" s="599"/>
      <c r="F22" s="444">
        <f>'WYDATKI ukł.wyk.'!H321</f>
        <v>133292</v>
      </c>
    </row>
    <row r="23" spans="1:6" ht="12" customHeight="1">
      <c r="A23" s="436"/>
      <c r="B23" s="438"/>
      <c r="C23" s="110">
        <v>4178</v>
      </c>
      <c r="D23" s="126" t="s">
        <v>86</v>
      </c>
      <c r="E23" s="599"/>
      <c r="F23" s="444">
        <f>'WYDATKI ukł.wyk.'!H323</f>
        <v>17507</v>
      </c>
    </row>
    <row r="24" spans="1:6" ht="12" customHeight="1">
      <c r="A24" s="436"/>
      <c r="B24" s="438"/>
      <c r="C24" s="110">
        <v>4179</v>
      </c>
      <c r="D24" s="126" t="s">
        <v>86</v>
      </c>
      <c r="E24" s="599"/>
      <c r="F24" s="444">
        <f>'WYDATKI ukł.wyk.'!H324</f>
        <v>5836</v>
      </c>
    </row>
    <row r="25" spans="1:6" ht="12" customHeight="1">
      <c r="A25" s="436"/>
      <c r="B25" s="438"/>
      <c r="C25" s="110">
        <v>4218</v>
      </c>
      <c r="D25" s="126" t="s">
        <v>87</v>
      </c>
      <c r="E25" s="599"/>
      <c r="F25" s="444">
        <f>'WYDATKI ukł.wyk.'!H326</f>
        <v>2179</v>
      </c>
    </row>
    <row r="26" spans="1:6" ht="12" customHeight="1">
      <c r="A26" s="436"/>
      <c r="B26" s="438"/>
      <c r="C26" s="110">
        <v>4219</v>
      </c>
      <c r="D26" s="126" t="s">
        <v>87</v>
      </c>
      <c r="E26" s="599"/>
      <c r="F26" s="444">
        <f>'WYDATKI ukł.wyk.'!H327</f>
        <v>726</v>
      </c>
    </row>
    <row r="27" spans="1:6" ht="12" customHeight="1">
      <c r="A27" s="436"/>
      <c r="B27" s="438"/>
      <c r="C27" s="110">
        <v>4308</v>
      </c>
      <c r="D27" s="126" t="s">
        <v>76</v>
      </c>
      <c r="E27" s="599"/>
      <c r="F27" s="444">
        <f>'WYDATKI ukł.wyk.'!H329</f>
        <v>8321</v>
      </c>
    </row>
    <row r="28" spans="1:6" ht="12" customHeight="1">
      <c r="A28" s="436"/>
      <c r="B28" s="438"/>
      <c r="C28" s="110">
        <v>4309</v>
      </c>
      <c r="D28" s="126" t="s">
        <v>76</v>
      </c>
      <c r="E28" s="438"/>
      <c r="F28" s="444">
        <f>'WYDATKI ukł.wyk.'!H330</f>
        <v>2773</v>
      </c>
    </row>
    <row r="29" spans="1:6" ht="12" customHeight="1">
      <c r="A29" s="436"/>
      <c r="B29" s="438"/>
      <c r="C29" s="110">
        <v>4748</v>
      </c>
      <c r="D29" s="109" t="s">
        <v>417</v>
      </c>
      <c r="E29" s="438"/>
      <c r="F29" s="444">
        <f>'WYDATKI ukł.wyk.'!H332</f>
        <v>440</v>
      </c>
    </row>
    <row r="30" spans="1:6" ht="12" customHeight="1">
      <c r="A30" s="436"/>
      <c r="B30" s="438"/>
      <c r="C30" s="110">
        <v>4749</v>
      </c>
      <c r="D30" s="109" t="s">
        <v>417</v>
      </c>
      <c r="E30" s="438"/>
      <c r="F30" s="444">
        <f>'WYDATKI ukł.wyk.'!H333</f>
        <v>147</v>
      </c>
    </row>
    <row r="31" spans="1:6" ht="12" customHeight="1" thickBot="1">
      <c r="A31" s="439"/>
      <c r="B31" s="440"/>
      <c r="C31" s="440"/>
      <c r="D31" s="440"/>
      <c r="E31" s="440"/>
      <c r="F31" s="441"/>
    </row>
    <row r="32" spans="1:6" ht="12.75" thickBot="1">
      <c r="A32" s="384">
        <v>851</v>
      </c>
      <c r="B32" s="385"/>
      <c r="C32" s="386"/>
      <c r="D32" s="387" t="s">
        <v>156</v>
      </c>
      <c r="E32" s="388">
        <f>SUM(E33)</f>
        <v>13925</v>
      </c>
      <c r="F32" s="389">
        <f>SUM(F33)</f>
        <v>13925</v>
      </c>
    </row>
    <row r="33" spans="1:6" ht="12">
      <c r="A33" s="390"/>
      <c r="B33" s="391">
        <v>85154</v>
      </c>
      <c r="C33" s="392"/>
      <c r="D33" s="393" t="s">
        <v>316</v>
      </c>
      <c r="E33" s="394">
        <f>E34</f>
        <v>13925</v>
      </c>
      <c r="F33" s="395">
        <f>SUM(F37:F39)</f>
        <v>13925</v>
      </c>
    </row>
    <row r="34" spans="1:6" ht="12">
      <c r="A34" s="390"/>
      <c r="B34" s="396"/>
      <c r="C34" s="397">
        <v>2330</v>
      </c>
      <c r="D34" s="398" t="s">
        <v>411</v>
      </c>
      <c r="E34" s="400">
        <f>'Dochody-ukł.wykon.'!H162</f>
        <v>13925</v>
      </c>
      <c r="F34" s="399"/>
    </row>
    <row r="35" spans="1:6" ht="12">
      <c r="A35" s="390"/>
      <c r="B35" s="396"/>
      <c r="C35" s="397"/>
      <c r="D35" s="398" t="s">
        <v>412</v>
      </c>
      <c r="E35" s="396"/>
      <c r="F35" s="399"/>
    </row>
    <row r="36" spans="1:6" ht="12">
      <c r="A36" s="390"/>
      <c r="B36" s="396"/>
      <c r="C36" s="397"/>
      <c r="D36" s="398" t="s">
        <v>413</v>
      </c>
      <c r="E36" s="400"/>
      <c r="F36" s="399"/>
    </row>
    <row r="37" spans="1:6" ht="12.75">
      <c r="A37" s="390"/>
      <c r="B37" s="396"/>
      <c r="C37" s="397">
        <v>4110</v>
      </c>
      <c r="D37" s="109" t="s">
        <v>84</v>
      </c>
      <c r="E37" s="400"/>
      <c r="F37" s="402">
        <f>'WYDATKI ukł.wyk.'!H345</f>
        <v>846</v>
      </c>
    </row>
    <row r="38" spans="1:6" ht="12.75">
      <c r="A38" s="390"/>
      <c r="B38" s="396"/>
      <c r="C38" s="397">
        <v>4170</v>
      </c>
      <c r="D38" s="109" t="s">
        <v>86</v>
      </c>
      <c r="E38" s="400"/>
      <c r="F38" s="402">
        <f>'WYDATKI ukł.wyk.'!H346</f>
        <v>2704</v>
      </c>
    </row>
    <row r="39" spans="1:6" ht="12">
      <c r="A39" s="390"/>
      <c r="B39" s="396"/>
      <c r="C39" s="397">
        <v>4300</v>
      </c>
      <c r="D39" s="401" t="s">
        <v>76</v>
      </c>
      <c r="E39" s="396"/>
      <c r="F39" s="402">
        <f>'WYDATKI ukł.wyk.'!H347</f>
        <v>10375</v>
      </c>
    </row>
    <row r="40" spans="1:6" ht="12.75" thickBot="1">
      <c r="A40" s="390"/>
      <c r="B40" s="396"/>
      <c r="C40" s="397"/>
      <c r="D40" s="173"/>
      <c r="E40" s="396"/>
      <c r="F40" s="402"/>
    </row>
    <row r="41" spans="1:6" ht="13.5" thickBot="1">
      <c r="A41" s="757">
        <v>854</v>
      </c>
      <c r="B41" s="758"/>
      <c r="C41" s="451"/>
      <c r="D41" s="455" t="s">
        <v>180</v>
      </c>
      <c r="E41" s="759">
        <f>E42</f>
        <v>153880</v>
      </c>
      <c r="F41" s="760">
        <f>F42</f>
        <v>156235</v>
      </c>
    </row>
    <row r="42" spans="1:6" ht="12.75">
      <c r="A42" s="390"/>
      <c r="B42" s="413">
        <v>85415</v>
      </c>
      <c r="C42" s="449"/>
      <c r="D42" s="64" t="s">
        <v>185</v>
      </c>
      <c r="E42" s="602">
        <f>SUM(E43:E58)</f>
        <v>153880</v>
      </c>
      <c r="F42" s="841">
        <f>SUM(F43:F61)</f>
        <v>156235</v>
      </c>
    </row>
    <row r="43" spans="1:6" ht="12">
      <c r="A43" s="390"/>
      <c r="B43" s="396"/>
      <c r="C43" s="397">
        <v>2338</v>
      </c>
      <c r="D43" s="120" t="s">
        <v>464</v>
      </c>
      <c r="E43" s="400">
        <f>'Dochody-ukł.wykon.'!F243</f>
        <v>104638</v>
      </c>
      <c r="F43" s="402"/>
    </row>
    <row r="44" spans="1:6" ht="12">
      <c r="A44" s="390"/>
      <c r="B44" s="396"/>
      <c r="C44" s="397"/>
      <c r="D44" s="120" t="s">
        <v>465</v>
      </c>
      <c r="E44" s="603"/>
      <c r="F44" s="402"/>
    </row>
    <row r="45" spans="1:6" ht="12">
      <c r="A45" s="390"/>
      <c r="B45" s="396"/>
      <c r="C45" s="397">
        <v>2339</v>
      </c>
      <c r="D45" s="120" t="s">
        <v>464</v>
      </c>
      <c r="E45" s="400">
        <f>'Dochody-ukł.wykon.'!F245</f>
        <v>49242</v>
      </c>
      <c r="F45" s="402"/>
    </row>
    <row r="46" spans="1:6" ht="12">
      <c r="A46" s="390"/>
      <c r="B46" s="396"/>
      <c r="C46" s="397"/>
      <c r="D46" s="120" t="s">
        <v>465</v>
      </c>
      <c r="E46" s="603"/>
      <c r="F46" s="402"/>
    </row>
    <row r="47" spans="1:6" ht="12.75">
      <c r="A47" s="390"/>
      <c r="B47" s="396"/>
      <c r="C47" s="107">
        <v>3248</v>
      </c>
      <c r="D47" s="109" t="s">
        <v>187</v>
      </c>
      <c r="E47" s="603"/>
      <c r="F47" s="402">
        <f>'WYDATKI ukł.wyk.'!H583</f>
        <v>98736</v>
      </c>
    </row>
    <row r="48" spans="1:6" ht="12.75">
      <c r="A48" s="390"/>
      <c r="B48" s="396"/>
      <c r="C48" s="107">
        <v>3249</v>
      </c>
      <c r="D48" s="109" t="s">
        <v>187</v>
      </c>
      <c r="E48" s="603"/>
      <c r="F48" s="402">
        <f>'WYDATKI ukł.wyk.'!H584</f>
        <v>46464</v>
      </c>
    </row>
    <row r="49" spans="1:6" ht="12.75">
      <c r="A49" s="390"/>
      <c r="B49" s="396"/>
      <c r="C49" s="107">
        <v>4118</v>
      </c>
      <c r="D49" s="109" t="s">
        <v>84</v>
      </c>
      <c r="E49" s="603"/>
      <c r="F49" s="402">
        <f>'WYDATKI ukł.wyk.'!H585</f>
        <v>119</v>
      </c>
    </row>
    <row r="50" spans="1:6" ht="12.75">
      <c r="A50" s="390"/>
      <c r="B50" s="396"/>
      <c r="C50" s="107">
        <v>4119</v>
      </c>
      <c r="D50" s="109" t="s">
        <v>84</v>
      </c>
      <c r="E50" s="603"/>
      <c r="F50" s="402">
        <f>'WYDATKI ukł.wyk.'!H586</f>
        <v>56</v>
      </c>
    </row>
    <row r="51" spans="1:6" ht="12.75">
      <c r="A51" s="390"/>
      <c r="B51" s="396"/>
      <c r="C51" s="107">
        <v>4128</v>
      </c>
      <c r="D51" s="109" t="s">
        <v>85</v>
      </c>
      <c r="E51" s="603"/>
      <c r="F51" s="402">
        <f>'WYDATKI ukł.wyk.'!H587</f>
        <v>17</v>
      </c>
    </row>
    <row r="52" spans="1:6" ht="12.75">
      <c r="A52" s="390"/>
      <c r="B52" s="396"/>
      <c r="C52" s="107">
        <v>4129</v>
      </c>
      <c r="D52" s="109" t="s">
        <v>85</v>
      </c>
      <c r="E52" s="603"/>
      <c r="F52" s="402">
        <f>'WYDATKI ukł.wyk.'!H588</f>
        <v>8</v>
      </c>
    </row>
    <row r="53" spans="1:6" ht="12.75">
      <c r="A53" s="390"/>
      <c r="B53" s="396"/>
      <c r="C53" s="107">
        <v>4178</v>
      </c>
      <c r="D53" s="109" t="s">
        <v>86</v>
      </c>
      <c r="E53" s="603"/>
      <c r="F53" s="402">
        <f>'WYDATKI ukł.wyk.'!H589</f>
        <v>2312</v>
      </c>
    </row>
    <row r="54" spans="1:6" ht="12.75">
      <c r="A54" s="390"/>
      <c r="B54" s="396"/>
      <c r="C54" s="107">
        <v>4179</v>
      </c>
      <c r="D54" s="109" t="s">
        <v>86</v>
      </c>
      <c r="E54" s="603"/>
      <c r="F54" s="402">
        <f>'WYDATKI ukł.wyk.'!H590</f>
        <v>1088</v>
      </c>
    </row>
    <row r="55" spans="1:6" ht="12.75">
      <c r="A55" s="390"/>
      <c r="B55" s="396"/>
      <c r="C55" s="107">
        <v>4218</v>
      </c>
      <c r="D55" s="126" t="s">
        <v>87</v>
      </c>
      <c r="E55" s="603"/>
      <c r="F55" s="402">
        <f>'WYDATKI ukł.wyk.'!H591</f>
        <v>3218</v>
      </c>
    </row>
    <row r="56" spans="1:6" ht="12.75">
      <c r="A56" s="390"/>
      <c r="B56" s="396"/>
      <c r="C56" s="107">
        <v>4219</v>
      </c>
      <c r="D56" s="126" t="s">
        <v>87</v>
      </c>
      <c r="E56" s="603"/>
      <c r="F56" s="402">
        <f>'WYDATKI ukł.wyk.'!H592</f>
        <v>1514</v>
      </c>
    </row>
    <row r="57" spans="1:6" ht="12.75">
      <c r="A57" s="390"/>
      <c r="B57" s="396"/>
      <c r="C57" s="107">
        <v>4308</v>
      </c>
      <c r="D57" s="109" t="s">
        <v>76</v>
      </c>
      <c r="E57" s="603"/>
      <c r="F57" s="402">
        <f>'WYDATKI ukł.wyk.'!H594</f>
        <v>1659</v>
      </c>
    </row>
    <row r="58" spans="1:6" ht="12.75">
      <c r="A58" s="390"/>
      <c r="B58" s="396"/>
      <c r="C58" s="107">
        <v>4309</v>
      </c>
      <c r="D58" s="109" t="s">
        <v>76</v>
      </c>
      <c r="E58" s="603"/>
      <c r="F58" s="402">
        <f>'WYDATKI ukł.wyk.'!H595</f>
        <v>781</v>
      </c>
    </row>
    <row r="59" spans="1:6" ht="12.75">
      <c r="A59" s="390"/>
      <c r="B59" s="396"/>
      <c r="C59" s="107">
        <v>4748</v>
      </c>
      <c r="D59" s="109" t="s">
        <v>417</v>
      </c>
      <c r="E59" s="603"/>
      <c r="F59" s="402">
        <f>'WYDATKI ukł.wyk.'!H596</f>
        <v>179</v>
      </c>
    </row>
    <row r="60" spans="1:6" ht="12.75">
      <c r="A60" s="390"/>
      <c r="B60" s="396"/>
      <c r="C60" s="107">
        <v>4749</v>
      </c>
      <c r="D60" s="109" t="s">
        <v>417</v>
      </c>
      <c r="E60" s="603"/>
      <c r="F60" s="402">
        <f>'WYDATKI ukł.wyk.'!H597</f>
        <v>84</v>
      </c>
    </row>
    <row r="61" spans="1:6" ht="12">
      <c r="A61" s="390"/>
      <c r="B61" s="403"/>
      <c r="C61" s="396"/>
      <c r="D61" s="173"/>
      <c r="E61" s="396"/>
      <c r="F61" s="402"/>
    </row>
    <row r="62" spans="1:6" ht="5.25" customHeight="1" thickBot="1">
      <c r="A62" s="404"/>
      <c r="B62" s="405"/>
      <c r="C62" s="406"/>
      <c r="D62" s="407"/>
      <c r="E62" s="406"/>
      <c r="F62" s="408"/>
    </row>
    <row r="63" spans="1:6" ht="12" customHeight="1" thickBot="1">
      <c r="A63" s="1050" t="s">
        <v>414</v>
      </c>
      <c r="B63" s="1051"/>
      <c r="C63" s="1051"/>
      <c r="D63" s="1051"/>
      <c r="E63" s="1051"/>
      <c r="F63" s="1052"/>
    </row>
    <row r="64" spans="1:6" ht="12" customHeight="1" thickBot="1">
      <c r="A64" s="434">
        <v>600</v>
      </c>
      <c r="B64" s="435"/>
      <c r="C64" s="435"/>
      <c r="D64" s="442" t="s">
        <v>66</v>
      </c>
      <c r="E64" s="435"/>
      <c r="F64" s="446">
        <f>F65</f>
        <v>8423</v>
      </c>
    </row>
    <row r="65" spans="1:6" ht="12" customHeight="1">
      <c r="A65" s="436"/>
      <c r="B65" s="437">
        <v>60014</v>
      </c>
      <c r="C65" s="437"/>
      <c r="D65" s="443" t="s">
        <v>68</v>
      </c>
      <c r="E65" s="437"/>
      <c r="F65" s="445">
        <f>F66</f>
        <v>8423</v>
      </c>
    </row>
    <row r="66" spans="1:6" ht="12" customHeight="1">
      <c r="A66" s="436"/>
      <c r="B66" s="438"/>
      <c r="C66" s="438">
        <v>2310</v>
      </c>
      <c r="D66" s="420" t="s">
        <v>418</v>
      </c>
      <c r="E66" s="438"/>
      <c r="F66" s="444">
        <f>'WYDATKI ukł.wyk.'!H32</f>
        <v>8423</v>
      </c>
    </row>
    <row r="67" spans="1:6" ht="12" customHeight="1">
      <c r="A67" s="436"/>
      <c r="B67" s="438"/>
      <c r="C67" s="438"/>
      <c r="D67" s="420" t="s">
        <v>419</v>
      </c>
      <c r="E67" s="438"/>
      <c r="F67" s="597"/>
    </row>
    <row r="68" spans="1:6" ht="12" customHeight="1">
      <c r="A68" s="436"/>
      <c r="B68" s="800"/>
      <c r="C68" s="800"/>
      <c r="D68" s="420"/>
      <c r="E68" s="800"/>
      <c r="F68" s="801"/>
    </row>
    <row r="69" spans="1:6" ht="12" customHeight="1" thickBot="1">
      <c r="A69" s="847">
        <v>750</v>
      </c>
      <c r="B69" s="798"/>
      <c r="C69" s="798"/>
      <c r="D69" s="594" t="s">
        <v>122</v>
      </c>
      <c r="E69" s="798"/>
      <c r="F69" s="848">
        <f>F70</f>
        <v>70000</v>
      </c>
    </row>
    <row r="70" spans="1:6" ht="12" customHeight="1">
      <c r="A70" s="436"/>
      <c r="B70" s="437">
        <v>75020</v>
      </c>
      <c r="C70" s="803"/>
      <c r="D70" s="448" t="s">
        <v>129</v>
      </c>
      <c r="E70" s="803"/>
      <c r="F70" s="810">
        <f>F71</f>
        <v>70000</v>
      </c>
    </row>
    <row r="71" spans="1:6" ht="12" customHeight="1">
      <c r="A71" s="436"/>
      <c r="B71" s="800"/>
      <c r="C71" s="800">
        <v>6630</v>
      </c>
      <c r="D71" s="126" t="s">
        <v>752</v>
      </c>
      <c r="E71" s="800"/>
      <c r="F71" s="808">
        <f>'WYDATKI ukł.wyk.'!H163</f>
        <v>70000</v>
      </c>
    </row>
    <row r="72" spans="1:6" ht="12" customHeight="1">
      <c r="A72" s="436"/>
      <c r="B72" s="800"/>
      <c r="C72" s="800"/>
      <c r="D72" s="126" t="s">
        <v>754</v>
      </c>
      <c r="E72" s="800"/>
      <c r="F72" s="801"/>
    </row>
    <row r="73" spans="1:6" ht="12" customHeight="1" thickBot="1">
      <c r="A73" s="436"/>
      <c r="B73" s="800"/>
      <c r="C73" s="800"/>
      <c r="D73" s="420"/>
      <c r="E73" s="800"/>
      <c r="F73" s="801"/>
    </row>
    <row r="74" spans="1:6" ht="12" customHeight="1" thickBot="1">
      <c r="A74" s="434">
        <v>851</v>
      </c>
      <c r="B74" s="802"/>
      <c r="C74" s="802"/>
      <c r="D74" s="447" t="s">
        <v>156</v>
      </c>
      <c r="E74" s="811">
        <f>E75</f>
        <v>13000</v>
      </c>
      <c r="F74" s="446">
        <f>F75</f>
        <v>13000</v>
      </c>
    </row>
    <row r="75" spans="1:6" ht="12" customHeight="1">
      <c r="A75" s="436"/>
      <c r="B75" s="437">
        <v>85111</v>
      </c>
      <c r="C75" s="803"/>
      <c r="D75" s="448" t="s">
        <v>703</v>
      </c>
      <c r="E75" s="809">
        <f>E76</f>
        <v>13000</v>
      </c>
      <c r="F75" s="810">
        <f>F79</f>
        <v>13000</v>
      </c>
    </row>
    <row r="76" spans="1:6" ht="12" customHeight="1">
      <c r="A76" s="436"/>
      <c r="B76" s="800"/>
      <c r="C76" s="238">
        <v>6610</v>
      </c>
      <c r="D76" s="804" t="s">
        <v>708</v>
      </c>
      <c r="E76" s="805">
        <f>'Dochody-ukł.wykon.'!H157</f>
        <v>13000</v>
      </c>
      <c r="F76" s="806"/>
    </row>
    <row r="77" spans="1:6" ht="12" customHeight="1">
      <c r="A77" s="436"/>
      <c r="B77" s="800"/>
      <c r="C77" s="238"/>
      <c r="D77" s="242" t="s">
        <v>709</v>
      </c>
      <c r="E77" s="807"/>
      <c r="F77" s="806"/>
    </row>
    <row r="78" spans="1:6" ht="12" customHeight="1">
      <c r="A78" s="436"/>
      <c r="B78" s="800"/>
      <c r="C78" s="238"/>
      <c r="D78" s="120" t="s">
        <v>710</v>
      </c>
      <c r="E78" s="807"/>
      <c r="F78" s="806"/>
    </row>
    <row r="79" spans="1:6" ht="12" customHeight="1">
      <c r="A79" s="436"/>
      <c r="B79" s="800"/>
      <c r="C79" s="278">
        <v>6220</v>
      </c>
      <c r="D79" s="242" t="s">
        <v>704</v>
      </c>
      <c r="E79" s="807"/>
      <c r="F79" s="808">
        <f>'WYDATKI ukł.wyk.'!H337</f>
        <v>13000</v>
      </c>
    </row>
    <row r="80" spans="1:6" ht="12" customHeight="1">
      <c r="A80" s="436"/>
      <c r="B80" s="800"/>
      <c r="C80" s="278"/>
      <c r="D80" s="242" t="s">
        <v>705</v>
      </c>
      <c r="E80" s="807"/>
      <c r="F80" s="806"/>
    </row>
    <row r="81" spans="1:6" ht="12" customHeight="1">
      <c r="A81" s="436"/>
      <c r="B81" s="800"/>
      <c r="C81" s="278"/>
      <c r="D81" s="242" t="s">
        <v>706</v>
      </c>
      <c r="E81" s="807"/>
      <c r="F81" s="806"/>
    </row>
    <row r="82" spans="1:6" ht="12" customHeight="1" thickBot="1">
      <c r="A82" s="439"/>
      <c r="B82" s="798"/>
      <c r="C82" s="798"/>
      <c r="D82" s="429"/>
      <c r="E82" s="798"/>
      <c r="F82" s="799"/>
    </row>
    <row r="83" spans="1:7" ht="12.75" thickBot="1">
      <c r="A83" s="384">
        <v>852</v>
      </c>
      <c r="B83" s="386"/>
      <c r="C83" s="409"/>
      <c r="D83" s="447" t="s">
        <v>162</v>
      </c>
      <c r="E83" s="410">
        <f>E96+E84+E103</f>
        <v>507904</v>
      </c>
      <c r="F83" s="411">
        <f>F96+F84+F103</f>
        <v>1184732</v>
      </c>
      <c r="G83" s="176"/>
    </row>
    <row r="84" spans="1:7" ht="12">
      <c r="A84" s="412"/>
      <c r="B84" s="413">
        <v>85201</v>
      </c>
      <c r="C84" s="414"/>
      <c r="D84" s="414" t="s">
        <v>163</v>
      </c>
      <c r="E84" s="415">
        <f>E85</f>
        <v>311304</v>
      </c>
      <c r="F84" s="416">
        <f>SUM(F88:F94)</f>
        <v>895736</v>
      </c>
      <c r="G84" s="176"/>
    </row>
    <row r="85" spans="1:7" ht="12">
      <c r="A85" s="412"/>
      <c r="B85" s="417"/>
      <c r="C85" s="397">
        <v>2310</v>
      </c>
      <c r="D85" s="401" t="s">
        <v>415</v>
      </c>
      <c r="E85" s="418">
        <f>'Dochody-ukł.wykon.'!F178</f>
        <v>311304</v>
      </c>
      <c r="F85" s="419"/>
      <c r="G85" s="176"/>
    </row>
    <row r="86" spans="1:7" ht="12">
      <c r="A86" s="412"/>
      <c r="B86" s="417"/>
      <c r="C86" s="397"/>
      <c r="D86" s="420" t="s">
        <v>315</v>
      </c>
      <c r="E86" s="418"/>
      <c r="F86" s="421"/>
      <c r="G86" s="176"/>
    </row>
    <row r="87" spans="1:7" ht="12">
      <c r="A87" s="412"/>
      <c r="B87" s="417"/>
      <c r="C87" s="397">
        <v>2310</v>
      </c>
      <c r="D87" s="401" t="s">
        <v>418</v>
      </c>
      <c r="E87" s="418"/>
      <c r="F87" s="421"/>
      <c r="G87" s="176"/>
    </row>
    <row r="88" spans="1:7" ht="12">
      <c r="A88" s="412"/>
      <c r="B88" s="417"/>
      <c r="C88" s="397"/>
      <c r="D88" s="401" t="s">
        <v>419</v>
      </c>
      <c r="E88" s="418"/>
      <c r="F88" s="421">
        <f>'WYDATKI ukł.wyk.'!H355</f>
        <v>584432</v>
      </c>
      <c r="G88" s="176"/>
    </row>
    <row r="89" spans="1:7" ht="12">
      <c r="A89" s="412"/>
      <c r="B89" s="417"/>
      <c r="C89" s="397">
        <v>4010</v>
      </c>
      <c r="D89" s="401" t="s">
        <v>82</v>
      </c>
      <c r="E89" s="418"/>
      <c r="F89" s="421">
        <v>200000</v>
      </c>
      <c r="G89" s="176"/>
    </row>
    <row r="90" spans="1:7" ht="12">
      <c r="A90" s="412"/>
      <c r="B90" s="417"/>
      <c r="C90" s="397">
        <v>4110</v>
      </c>
      <c r="D90" s="401" t="s">
        <v>416</v>
      </c>
      <c r="E90" s="418"/>
      <c r="F90" s="421">
        <v>33093</v>
      </c>
      <c r="G90" s="176"/>
    </row>
    <row r="91" spans="1:7" ht="12">
      <c r="A91" s="412"/>
      <c r="B91" s="417"/>
      <c r="C91" s="397">
        <v>4120</v>
      </c>
      <c r="D91" s="420" t="s">
        <v>85</v>
      </c>
      <c r="E91" s="418"/>
      <c r="F91" s="421">
        <v>4992</v>
      </c>
      <c r="G91" s="176"/>
    </row>
    <row r="92" spans="1:7" ht="12">
      <c r="A92" s="412"/>
      <c r="B92" s="417"/>
      <c r="C92" s="397">
        <v>4210</v>
      </c>
      <c r="D92" s="401" t="s">
        <v>87</v>
      </c>
      <c r="E92" s="418"/>
      <c r="F92" s="421">
        <v>27440</v>
      </c>
      <c r="G92" s="176"/>
    </row>
    <row r="93" spans="1:7" ht="12">
      <c r="A93" s="412"/>
      <c r="B93" s="417"/>
      <c r="C93" s="397">
        <v>4300</v>
      </c>
      <c r="D93" s="401" t="s">
        <v>76</v>
      </c>
      <c r="E93" s="418"/>
      <c r="F93" s="421">
        <v>45179</v>
      </c>
      <c r="G93" s="176"/>
    </row>
    <row r="94" spans="1:7" ht="12.75">
      <c r="A94" s="412"/>
      <c r="B94" s="417"/>
      <c r="C94" s="397">
        <v>4740</v>
      </c>
      <c r="D94" s="109" t="s">
        <v>417</v>
      </c>
      <c r="E94" s="418"/>
      <c r="F94" s="421">
        <v>600</v>
      </c>
      <c r="G94" s="176"/>
    </row>
    <row r="95" spans="1:7" ht="12">
      <c r="A95" s="412"/>
      <c r="B95" s="417"/>
      <c r="C95" s="422"/>
      <c r="D95" s="422"/>
      <c r="E95" s="423"/>
      <c r="F95" s="419"/>
      <c r="G95" s="176"/>
    </row>
    <row r="96" spans="1:6" ht="12">
      <c r="A96" s="390"/>
      <c r="B96" s="391">
        <v>85204</v>
      </c>
      <c r="C96" s="424"/>
      <c r="D96" s="424" t="s">
        <v>171</v>
      </c>
      <c r="E96" s="425">
        <f>E97</f>
        <v>56600</v>
      </c>
      <c r="F96" s="426">
        <f>F101+F99</f>
        <v>148996</v>
      </c>
    </row>
    <row r="97" spans="1:6" ht="12">
      <c r="A97" s="427"/>
      <c r="B97" s="420"/>
      <c r="C97" s="397">
        <v>2310</v>
      </c>
      <c r="D97" s="401" t="s">
        <v>415</v>
      </c>
      <c r="E97" s="418">
        <v>56600</v>
      </c>
      <c r="F97" s="421"/>
    </row>
    <row r="98" spans="1:6" ht="12">
      <c r="A98" s="427"/>
      <c r="B98" s="420"/>
      <c r="C98" s="397"/>
      <c r="D98" s="420" t="s">
        <v>315</v>
      </c>
      <c r="E98" s="418"/>
      <c r="F98" s="421"/>
    </row>
    <row r="99" spans="1:6" ht="12">
      <c r="A99" s="427"/>
      <c r="B99" s="420"/>
      <c r="C99" s="397">
        <v>2310</v>
      </c>
      <c r="D99" s="401" t="s">
        <v>418</v>
      </c>
      <c r="E99" s="418"/>
      <c r="F99" s="421">
        <f>'WYDATKI ukł.wyk.'!H439</f>
        <v>92396</v>
      </c>
    </row>
    <row r="100" spans="1:6" ht="12">
      <c r="A100" s="427"/>
      <c r="B100" s="420"/>
      <c r="C100" s="397"/>
      <c r="D100" s="401" t="s">
        <v>419</v>
      </c>
      <c r="E100" s="418"/>
      <c r="F100" s="421"/>
    </row>
    <row r="101" spans="1:6" ht="12">
      <c r="A101" s="427"/>
      <c r="B101" s="420"/>
      <c r="C101" s="397">
        <v>3110</v>
      </c>
      <c r="D101" s="420" t="s">
        <v>164</v>
      </c>
      <c r="E101" s="418"/>
      <c r="F101" s="421">
        <v>56600</v>
      </c>
    </row>
    <row r="102" spans="1:6" ht="12">
      <c r="A102" s="427"/>
      <c r="B102" s="420"/>
      <c r="C102" s="397"/>
      <c r="D102" s="401"/>
      <c r="E102" s="418"/>
      <c r="F102" s="421"/>
    </row>
    <row r="103" spans="1:6" ht="12">
      <c r="A103" s="427"/>
      <c r="B103" s="792">
        <v>85295</v>
      </c>
      <c r="C103" s="392"/>
      <c r="D103" s="424" t="s">
        <v>60</v>
      </c>
      <c r="E103" s="425">
        <f>E104</f>
        <v>140000</v>
      </c>
      <c r="F103" s="426">
        <f>SUM(F106:F106)</f>
        <v>140000</v>
      </c>
    </row>
    <row r="104" spans="1:6" ht="12">
      <c r="A104" s="427"/>
      <c r="B104" s="420"/>
      <c r="C104" s="397">
        <v>2310</v>
      </c>
      <c r="D104" s="401" t="s">
        <v>415</v>
      </c>
      <c r="E104" s="418">
        <f>'Dochody-ukł.wykon.'!H213</f>
        <v>140000</v>
      </c>
      <c r="F104" s="421"/>
    </row>
    <row r="105" spans="1:6" ht="12">
      <c r="A105" s="427"/>
      <c r="B105" s="420"/>
      <c r="C105" s="397"/>
      <c r="D105" s="420" t="s">
        <v>315</v>
      </c>
      <c r="E105" s="418"/>
      <c r="F105" s="421"/>
    </row>
    <row r="106" spans="1:6" ht="12">
      <c r="A106" s="427"/>
      <c r="B106" s="420"/>
      <c r="C106" s="397">
        <v>4270</v>
      </c>
      <c r="D106" s="401" t="s">
        <v>89</v>
      </c>
      <c r="E106" s="418"/>
      <c r="F106" s="421">
        <f>140000</f>
        <v>140000</v>
      </c>
    </row>
    <row r="107" spans="1:6" ht="12.75" thickBot="1">
      <c r="A107" s="427"/>
      <c r="B107" s="420"/>
      <c r="C107" s="397"/>
      <c r="D107" s="401"/>
      <c r="E107" s="418"/>
      <c r="F107" s="421"/>
    </row>
    <row r="108" spans="1:6" ht="13.5" thickBot="1">
      <c r="A108" s="450">
        <v>853</v>
      </c>
      <c r="B108" s="447"/>
      <c r="C108" s="451"/>
      <c r="D108" s="455" t="s">
        <v>176</v>
      </c>
      <c r="E108" s="452"/>
      <c r="F108" s="453">
        <f>F109</f>
        <v>616103</v>
      </c>
    </row>
    <row r="109" spans="1:6" ht="12">
      <c r="A109" s="427"/>
      <c r="B109" s="448">
        <v>85333</v>
      </c>
      <c r="C109" s="449"/>
      <c r="D109" s="596" t="s">
        <v>178</v>
      </c>
      <c r="E109" s="415"/>
      <c r="F109" s="416">
        <f>F110</f>
        <v>616103</v>
      </c>
    </row>
    <row r="110" spans="1:6" ht="12">
      <c r="A110" s="427"/>
      <c r="B110" s="420"/>
      <c r="C110" s="397">
        <v>2310</v>
      </c>
      <c r="D110" s="401" t="s">
        <v>418</v>
      </c>
      <c r="E110" s="418"/>
      <c r="F110" s="421">
        <f>'WYDATKI ukł.wyk.'!H515</f>
        <v>616103</v>
      </c>
    </row>
    <row r="111" spans="1:6" ht="12">
      <c r="A111" s="427"/>
      <c r="B111" s="420"/>
      <c r="C111" s="397"/>
      <c r="D111" s="401" t="s">
        <v>419</v>
      </c>
      <c r="E111" s="418"/>
      <c r="F111" s="421"/>
    </row>
    <row r="112" spans="1:6" ht="12.75" thickBot="1">
      <c r="A112" s="427"/>
      <c r="B112" s="420"/>
      <c r="C112" s="397"/>
      <c r="D112" s="173"/>
      <c r="E112" s="418"/>
      <c r="F112" s="421"/>
    </row>
    <row r="113" spans="1:6" ht="13.5" thickBot="1">
      <c r="A113" s="450">
        <v>854</v>
      </c>
      <c r="B113" s="447"/>
      <c r="C113" s="451"/>
      <c r="D113" s="455" t="s">
        <v>180</v>
      </c>
      <c r="E113" s="452"/>
      <c r="F113" s="453">
        <f>F114</f>
        <v>124800</v>
      </c>
    </row>
    <row r="114" spans="1:6" ht="12.75">
      <c r="A114" s="427"/>
      <c r="B114" s="448">
        <v>85406</v>
      </c>
      <c r="C114" s="449"/>
      <c r="D114" s="64" t="s">
        <v>182</v>
      </c>
      <c r="E114" s="415"/>
      <c r="F114" s="416">
        <f>F115</f>
        <v>124800</v>
      </c>
    </row>
    <row r="115" spans="1:6" ht="12">
      <c r="A115" s="427"/>
      <c r="B115" s="420"/>
      <c r="C115" s="397">
        <v>2310</v>
      </c>
      <c r="D115" s="401" t="s">
        <v>418</v>
      </c>
      <c r="E115" s="418"/>
      <c r="F115" s="421">
        <f>'WYDATKI ukł.wyk.'!H540</f>
        <v>124800</v>
      </c>
    </row>
    <row r="116" spans="1:6" ht="12">
      <c r="A116" s="427"/>
      <c r="B116" s="420"/>
      <c r="C116" s="397"/>
      <c r="D116" s="401" t="s">
        <v>419</v>
      </c>
      <c r="E116" s="418"/>
      <c r="F116" s="421"/>
    </row>
    <row r="117" spans="1:6" ht="12.75" thickBot="1">
      <c r="A117" s="427"/>
      <c r="B117" s="420"/>
      <c r="C117" s="397"/>
      <c r="D117" s="401"/>
      <c r="E117" s="418"/>
      <c r="F117" s="421"/>
    </row>
    <row r="118" spans="1:6" ht="13.5" thickBot="1">
      <c r="A118" s="450">
        <v>921</v>
      </c>
      <c r="B118" s="447"/>
      <c r="C118" s="451"/>
      <c r="D118" s="454" t="s">
        <v>189</v>
      </c>
      <c r="E118" s="452"/>
      <c r="F118" s="453">
        <f>F119</f>
        <v>35000</v>
      </c>
    </row>
    <row r="119" spans="1:6" ht="12.75">
      <c r="A119" s="427"/>
      <c r="B119" s="448">
        <v>92116</v>
      </c>
      <c r="C119" s="449"/>
      <c r="D119" s="88" t="s">
        <v>191</v>
      </c>
      <c r="E119" s="415"/>
      <c r="F119" s="416">
        <f>F120</f>
        <v>35000</v>
      </c>
    </row>
    <row r="120" spans="1:6" ht="12">
      <c r="A120" s="427"/>
      <c r="B120" s="420"/>
      <c r="C120" s="397">
        <v>2310</v>
      </c>
      <c r="D120" s="401" t="s">
        <v>418</v>
      </c>
      <c r="E120" s="418"/>
      <c r="F120" s="421">
        <f>'WYDATKI ukł.wyk.'!H643</f>
        <v>35000</v>
      </c>
    </row>
    <row r="121" spans="1:6" ht="12.75" thickBot="1">
      <c r="A121" s="428"/>
      <c r="B121" s="429"/>
      <c r="C121" s="430"/>
      <c r="D121" s="431" t="s">
        <v>419</v>
      </c>
      <c r="E121" s="432"/>
      <c r="F121" s="433"/>
    </row>
    <row r="122" spans="1:7" ht="13.5" thickBot="1">
      <c r="A122" s="379"/>
      <c r="B122" s="379"/>
      <c r="C122" s="379"/>
      <c r="D122" s="456" t="s">
        <v>398</v>
      </c>
      <c r="E122" s="457">
        <f>E118+E113+E108+E83+E41+E15+E32+E74</f>
        <v>1259807</v>
      </c>
      <c r="F122" s="364">
        <f>F118+F113+F108+F83+F41+F15+F32+F74+F64+F69</f>
        <v>2793316</v>
      </c>
      <c r="G122" s="379"/>
    </row>
    <row r="123" spans="1:7" ht="12.75">
      <c r="A123" s="379"/>
      <c r="B123" s="379"/>
      <c r="C123" s="379"/>
      <c r="D123" s="365" t="s">
        <v>399</v>
      </c>
      <c r="E123" s="366"/>
      <c r="F123" s="367">
        <v>2755600</v>
      </c>
      <c r="G123" s="379"/>
    </row>
    <row r="124" spans="1:7" ht="12.75">
      <c r="A124" s="379"/>
      <c r="B124" s="379"/>
      <c r="C124" s="379"/>
      <c r="D124" s="368" t="s">
        <v>400</v>
      </c>
      <c r="E124" s="369"/>
      <c r="F124" s="370">
        <f>F89+F53+F54+F38+F23+F24</f>
        <v>229447</v>
      </c>
      <c r="G124" s="379"/>
    </row>
    <row r="125" spans="1:7" ht="12.75">
      <c r="A125" s="379"/>
      <c r="B125" s="379"/>
      <c r="C125" s="379"/>
      <c r="D125" s="368" t="s">
        <v>401</v>
      </c>
      <c r="E125" s="369"/>
      <c r="F125" s="370">
        <f>F91+F90+F37</f>
        <v>38931</v>
      </c>
      <c r="G125" s="379"/>
    </row>
    <row r="126" spans="1:7" ht="12.75">
      <c r="A126" s="379"/>
      <c r="B126" s="379"/>
      <c r="C126" s="379"/>
      <c r="D126" s="368" t="s">
        <v>402</v>
      </c>
      <c r="E126" s="369"/>
      <c r="F126" s="370">
        <f>F101</f>
        <v>56600</v>
      </c>
      <c r="G126" s="379"/>
    </row>
    <row r="127" spans="1:7" ht="12.75">
      <c r="A127" s="379"/>
      <c r="B127" s="379"/>
      <c r="C127" s="379"/>
      <c r="D127" s="371" t="s">
        <v>420</v>
      </c>
      <c r="E127" s="372"/>
      <c r="F127" s="458">
        <f>F120+F115+F99+F88+F66+F110</f>
        <v>1461154</v>
      </c>
      <c r="G127" s="379"/>
    </row>
    <row r="128" spans="1:7" ht="13.5" thickBot="1">
      <c r="A128" s="379"/>
      <c r="B128" s="379"/>
      <c r="C128" s="379"/>
      <c r="D128" s="374" t="s">
        <v>403</v>
      </c>
      <c r="E128" s="375"/>
      <c r="F128" s="376">
        <f>F79+F71</f>
        <v>83000</v>
      </c>
      <c r="G128" s="379"/>
    </row>
    <row r="129" spans="1:7" ht="12">
      <c r="A129" s="379"/>
      <c r="B129" s="379"/>
      <c r="C129" s="379"/>
      <c r="D129" s="379"/>
      <c r="E129" s="379"/>
      <c r="F129" s="379"/>
      <c r="G129" s="379"/>
    </row>
    <row r="130" spans="1:7" ht="12">
      <c r="A130" s="379"/>
      <c r="B130" s="379"/>
      <c r="C130" s="379"/>
      <c r="D130" s="379"/>
      <c r="E130" s="379"/>
      <c r="F130" s="379"/>
      <c r="G130" s="379"/>
    </row>
    <row r="131" spans="1:7" ht="12">
      <c r="A131" s="379" t="s">
        <v>762</v>
      </c>
      <c r="B131" s="379"/>
      <c r="C131" s="379"/>
      <c r="D131" s="379"/>
      <c r="E131" s="379"/>
      <c r="F131" s="379"/>
      <c r="G131" s="379"/>
    </row>
    <row r="132" spans="1:7" ht="12">
      <c r="A132" s="379" t="s">
        <v>764</v>
      </c>
      <c r="B132" s="379"/>
      <c r="C132" s="379"/>
      <c r="D132" s="379"/>
      <c r="E132" s="379"/>
      <c r="F132" s="379"/>
      <c r="G132" s="379"/>
    </row>
    <row r="133" spans="1:7" ht="12">
      <c r="A133" s="379" t="s">
        <v>763</v>
      </c>
      <c r="B133" s="379"/>
      <c r="C133" s="379"/>
      <c r="D133" s="379"/>
      <c r="E133" s="379"/>
      <c r="F133" s="379"/>
      <c r="G133" s="379"/>
    </row>
    <row r="134" spans="1:7" ht="12">
      <c r="A134" s="379"/>
      <c r="B134" s="379"/>
      <c r="C134" s="379"/>
      <c r="D134" s="379"/>
      <c r="E134" s="379"/>
      <c r="F134" s="379"/>
      <c r="G134" s="379"/>
    </row>
    <row r="135" spans="1:7" ht="12">
      <c r="A135" s="379"/>
      <c r="B135" s="379"/>
      <c r="C135" s="379"/>
      <c r="D135" s="379"/>
      <c r="E135" s="379"/>
      <c r="F135" s="379"/>
      <c r="G135" s="379"/>
    </row>
    <row r="136" spans="1:7" ht="12">
      <c r="A136" s="379"/>
      <c r="B136" s="379"/>
      <c r="C136" s="379"/>
      <c r="D136" s="379"/>
      <c r="E136" s="379"/>
      <c r="F136" s="379"/>
      <c r="G136" s="379"/>
    </row>
    <row r="137" spans="1:7" ht="12">
      <c r="A137" s="379"/>
      <c r="B137" s="379"/>
      <c r="C137" s="379"/>
      <c r="D137" s="379"/>
      <c r="E137" s="379"/>
      <c r="F137" s="379"/>
      <c r="G137" s="379"/>
    </row>
    <row r="138" spans="1:7" ht="12">
      <c r="A138" s="379"/>
      <c r="B138" s="379"/>
      <c r="C138" s="379"/>
      <c r="D138" s="379"/>
      <c r="E138" s="379"/>
      <c r="F138" s="379"/>
      <c r="G138" s="379"/>
    </row>
    <row r="139" spans="1:7" ht="12">
      <c r="A139" s="379"/>
      <c r="B139" s="379"/>
      <c r="C139" s="379"/>
      <c r="D139" s="379"/>
      <c r="E139" s="379"/>
      <c r="F139" s="379"/>
      <c r="G139" s="379"/>
    </row>
    <row r="140" spans="1:7" ht="12">
      <c r="A140" s="379"/>
      <c r="B140" s="379"/>
      <c r="C140" s="379"/>
      <c r="D140" s="379"/>
      <c r="E140" s="379"/>
      <c r="F140" s="379"/>
      <c r="G140" s="379"/>
    </row>
    <row r="141" spans="1:7" ht="12">
      <c r="A141" s="379"/>
      <c r="B141" s="379"/>
      <c r="C141" s="379"/>
      <c r="D141" s="379"/>
      <c r="E141" s="379"/>
      <c r="F141" s="379"/>
      <c r="G141" s="379"/>
    </row>
    <row r="142" spans="1:7" ht="12">
      <c r="A142" s="379"/>
      <c r="B142" s="379"/>
      <c r="C142" s="379"/>
      <c r="D142" s="379"/>
      <c r="E142" s="379"/>
      <c r="F142" s="379"/>
      <c r="G142" s="379"/>
    </row>
    <row r="143" spans="1:7" ht="12">
      <c r="A143" s="379"/>
      <c r="B143" s="379"/>
      <c r="C143" s="379"/>
      <c r="D143" s="379"/>
      <c r="E143" s="379"/>
      <c r="F143" s="379"/>
      <c r="G143" s="379"/>
    </row>
    <row r="144" spans="1:7" ht="12">
      <c r="A144" s="379"/>
      <c r="B144" s="379"/>
      <c r="C144" s="379"/>
      <c r="D144" s="379"/>
      <c r="E144" s="379"/>
      <c r="F144" s="379"/>
      <c r="G144" s="379"/>
    </row>
    <row r="145" spans="1:7" ht="12">
      <c r="A145" s="379"/>
      <c r="B145" s="379"/>
      <c r="C145" s="379"/>
      <c r="D145" s="379"/>
      <c r="E145" s="379"/>
      <c r="F145" s="379"/>
      <c r="G145" s="379"/>
    </row>
    <row r="146" spans="1:7" ht="12">
      <c r="A146" s="379"/>
      <c r="B146" s="379"/>
      <c r="C146" s="379"/>
      <c r="D146" s="379"/>
      <c r="E146" s="379"/>
      <c r="F146" s="379"/>
      <c r="G146" s="379"/>
    </row>
    <row r="147" spans="1:7" ht="12">
      <c r="A147" s="379"/>
      <c r="B147" s="379"/>
      <c r="C147" s="379"/>
      <c r="D147" s="379"/>
      <c r="E147" s="379"/>
      <c r="F147" s="379"/>
      <c r="G147" s="379"/>
    </row>
    <row r="148" spans="1:7" ht="12">
      <c r="A148" s="379"/>
      <c r="B148" s="379"/>
      <c r="C148" s="379"/>
      <c r="D148" s="379"/>
      <c r="E148" s="379"/>
      <c r="F148" s="379"/>
      <c r="G148" s="379"/>
    </row>
    <row r="149" spans="1:7" ht="12">
      <c r="A149" s="379"/>
      <c r="B149" s="379"/>
      <c r="C149" s="379"/>
      <c r="D149" s="379"/>
      <c r="E149" s="379"/>
      <c r="F149" s="379"/>
      <c r="G149" s="379"/>
    </row>
    <row r="150" spans="1:7" ht="12">
      <c r="A150" s="379"/>
      <c r="B150" s="379"/>
      <c r="C150" s="379"/>
      <c r="D150" s="379"/>
      <c r="E150" s="379"/>
      <c r="F150" s="379"/>
      <c r="G150" s="379"/>
    </row>
    <row r="151" spans="1:7" ht="12">
      <c r="A151" s="379"/>
      <c r="B151" s="379"/>
      <c r="C151" s="379"/>
      <c r="D151" s="379"/>
      <c r="E151" s="379"/>
      <c r="F151" s="379"/>
      <c r="G151" s="379"/>
    </row>
    <row r="152" spans="1:7" ht="12">
      <c r="A152" s="379"/>
      <c r="B152" s="379"/>
      <c r="C152" s="379"/>
      <c r="D152" s="379"/>
      <c r="E152" s="379"/>
      <c r="F152" s="379"/>
      <c r="G152" s="379"/>
    </row>
    <row r="153" spans="1:7" ht="12">
      <c r="A153" s="379"/>
      <c r="B153" s="379"/>
      <c r="C153" s="379"/>
      <c r="D153" s="379"/>
      <c r="E153" s="379"/>
      <c r="F153" s="379"/>
      <c r="G153" s="379"/>
    </row>
    <row r="154" spans="1:7" ht="12">
      <c r="A154" s="379"/>
      <c r="B154" s="379"/>
      <c r="C154" s="379"/>
      <c r="D154" s="379"/>
      <c r="E154" s="379"/>
      <c r="F154" s="379"/>
      <c r="G154" s="379"/>
    </row>
    <row r="155" spans="1:7" ht="12">
      <c r="A155" s="379"/>
      <c r="B155" s="379"/>
      <c r="C155" s="379"/>
      <c r="D155" s="379"/>
      <c r="E155" s="379"/>
      <c r="F155" s="379"/>
      <c r="G155" s="379"/>
    </row>
    <row r="156" spans="1:7" ht="12">
      <c r="A156" s="379"/>
      <c r="B156" s="379"/>
      <c r="C156" s="379"/>
      <c r="D156" s="379"/>
      <c r="E156" s="379"/>
      <c r="F156" s="379"/>
      <c r="G156" s="379"/>
    </row>
    <row r="157" spans="1:7" ht="12">
      <c r="A157" s="379"/>
      <c r="B157" s="379"/>
      <c r="C157" s="379"/>
      <c r="D157" s="379"/>
      <c r="E157" s="379"/>
      <c r="F157" s="379"/>
      <c r="G157" s="379"/>
    </row>
    <row r="158" spans="1:7" ht="12">
      <c r="A158" s="379"/>
      <c r="B158" s="379"/>
      <c r="C158" s="379"/>
      <c r="D158" s="379"/>
      <c r="E158" s="379"/>
      <c r="F158" s="379"/>
      <c r="G158" s="379"/>
    </row>
    <row r="159" spans="1:7" ht="12">
      <c r="A159" s="379"/>
      <c r="B159" s="379"/>
      <c r="C159" s="379"/>
      <c r="D159" s="379"/>
      <c r="E159" s="379"/>
      <c r="F159" s="379"/>
      <c r="G159" s="379"/>
    </row>
    <row r="160" spans="1:7" ht="12">
      <c r="A160" s="379"/>
      <c r="B160" s="379"/>
      <c r="C160" s="379"/>
      <c r="D160" s="379"/>
      <c r="E160" s="379"/>
      <c r="F160" s="379"/>
      <c r="G160" s="379"/>
    </row>
    <row r="161" spans="1:7" ht="12">
      <c r="A161" s="379"/>
      <c r="B161" s="379"/>
      <c r="C161" s="379"/>
      <c r="D161" s="379"/>
      <c r="E161" s="379"/>
      <c r="F161" s="379"/>
      <c r="G161" s="379"/>
    </row>
    <row r="162" spans="1:7" ht="12">
      <c r="A162" s="379"/>
      <c r="B162" s="379"/>
      <c r="C162" s="379"/>
      <c r="D162" s="379"/>
      <c r="E162" s="379"/>
      <c r="F162" s="379"/>
      <c r="G162" s="379"/>
    </row>
    <row r="163" spans="1:7" ht="12">
      <c r="A163" s="379"/>
      <c r="B163" s="379"/>
      <c r="C163" s="379"/>
      <c r="D163" s="379"/>
      <c r="E163" s="379"/>
      <c r="F163" s="379"/>
      <c r="G163" s="379"/>
    </row>
    <row r="164" spans="1:7" ht="12">
      <c r="A164" s="379"/>
      <c r="B164" s="379"/>
      <c r="C164" s="379"/>
      <c r="D164" s="379"/>
      <c r="E164" s="379"/>
      <c r="F164" s="379"/>
      <c r="G164" s="379"/>
    </row>
    <row r="165" spans="1:7" ht="12">
      <c r="A165" s="379"/>
      <c r="B165" s="379"/>
      <c r="C165" s="379"/>
      <c r="D165" s="379"/>
      <c r="E165" s="379"/>
      <c r="F165" s="379"/>
      <c r="G165" s="379"/>
    </row>
    <row r="166" spans="1:7" ht="12">
      <c r="A166" s="379"/>
      <c r="B166" s="379"/>
      <c r="C166" s="379"/>
      <c r="D166" s="379"/>
      <c r="E166" s="379"/>
      <c r="F166" s="379"/>
      <c r="G166" s="379"/>
    </row>
    <row r="167" spans="1:7" ht="12">
      <c r="A167" s="379"/>
      <c r="B167" s="379"/>
      <c r="C167" s="379"/>
      <c r="D167" s="379"/>
      <c r="E167" s="379"/>
      <c r="F167" s="379"/>
      <c r="G167" s="379"/>
    </row>
    <row r="168" spans="1:7" ht="12">
      <c r="A168" s="379"/>
      <c r="B168" s="379"/>
      <c r="C168" s="379"/>
      <c r="D168" s="379"/>
      <c r="E168" s="379"/>
      <c r="F168" s="379"/>
      <c r="G168" s="379"/>
    </row>
    <row r="169" spans="1:7" ht="12">
      <c r="A169" s="379"/>
      <c r="B169" s="379"/>
      <c r="C169" s="379"/>
      <c r="D169" s="379"/>
      <c r="E169" s="379"/>
      <c r="F169" s="379"/>
      <c r="G169" s="379"/>
    </row>
    <row r="170" spans="1:7" ht="12">
      <c r="A170" s="379"/>
      <c r="B170" s="379"/>
      <c r="C170" s="379"/>
      <c r="D170" s="379"/>
      <c r="E170" s="379"/>
      <c r="F170" s="379"/>
      <c r="G170" s="379"/>
    </row>
    <row r="171" spans="1:7" ht="12">
      <c r="A171" s="379"/>
      <c r="B171" s="379"/>
      <c r="C171" s="379"/>
      <c r="D171" s="379"/>
      <c r="E171" s="379"/>
      <c r="F171" s="379"/>
      <c r="G171" s="379"/>
    </row>
    <row r="172" spans="1:7" ht="12">
      <c r="A172" s="379"/>
      <c r="B172" s="379"/>
      <c r="C172" s="379"/>
      <c r="D172" s="379"/>
      <c r="E172" s="379"/>
      <c r="F172" s="379"/>
      <c r="G172" s="379"/>
    </row>
    <row r="173" spans="1:7" ht="12">
      <c r="A173" s="379"/>
      <c r="B173" s="379"/>
      <c r="C173" s="379"/>
      <c r="D173" s="379"/>
      <c r="E173" s="379"/>
      <c r="F173" s="379"/>
      <c r="G173" s="379"/>
    </row>
    <row r="174" spans="1:7" ht="12">
      <c r="A174" s="379"/>
      <c r="B174" s="379"/>
      <c r="C174" s="379"/>
      <c r="D174" s="379"/>
      <c r="E174" s="379"/>
      <c r="F174" s="379"/>
      <c r="G174" s="379"/>
    </row>
    <row r="175" spans="1:7" ht="12">
      <c r="A175" s="379"/>
      <c r="B175" s="379"/>
      <c r="C175" s="379"/>
      <c r="D175" s="379"/>
      <c r="E175" s="379"/>
      <c r="F175" s="379"/>
      <c r="G175" s="379"/>
    </row>
    <row r="176" spans="1:7" ht="12">
      <c r="A176" s="379"/>
      <c r="B176" s="379"/>
      <c r="C176" s="379"/>
      <c r="D176" s="379"/>
      <c r="E176" s="379"/>
      <c r="F176" s="379"/>
      <c r="G176" s="379"/>
    </row>
    <row r="177" spans="1:7" ht="12">
      <c r="A177" s="379"/>
      <c r="B177" s="379"/>
      <c r="C177" s="379"/>
      <c r="D177" s="379"/>
      <c r="E177" s="379"/>
      <c r="F177" s="379"/>
      <c r="G177" s="379"/>
    </row>
    <row r="178" spans="1:7" ht="12">
      <c r="A178" s="379"/>
      <c r="B178" s="379"/>
      <c r="C178" s="379"/>
      <c r="D178" s="379"/>
      <c r="E178" s="379"/>
      <c r="F178" s="379"/>
      <c r="G178" s="379"/>
    </row>
    <row r="179" spans="1:7" ht="12">
      <c r="A179" s="379"/>
      <c r="B179" s="379"/>
      <c r="C179" s="379"/>
      <c r="D179" s="379"/>
      <c r="E179" s="379"/>
      <c r="F179" s="379"/>
      <c r="G179" s="379"/>
    </row>
    <row r="180" spans="1:7" ht="12">
      <c r="A180" s="379"/>
      <c r="B180" s="379"/>
      <c r="C180" s="379"/>
      <c r="D180" s="379"/>
      <c r="E180" s="379"/>
      <c r="F180" s="379"/>
      <c r="G180" s="379"/>
    </row>
    <row r="181" spans="1:7" ht="12">
      <c r="A181" s="379"/>
      <c r="B181" s="379"/>
      <c r="C181" s="379"/>
      <c r="D181" s="379"/>
      <c r="E181" s="379"/>
      <c r="F181" s="379"/>
      <c r="G181" s="379"/>
    </row>
    <row r="182" spans="1:7" ht="12">
      <c r="A182" s="379"/>
      <c r="B182" s="379"/>
      <c r="C182" s="379"/>
      <c r="D182" s="379"/>
      <c r="E182" s="379"/>
      <c r="F182" s="379"/>
      <c r="G182" s="379"/>
    </row>
    <row r="183" spans="1:7" ht="12">
      <c r="A183" s="379"/>
      <c r="B183" s="379"/>
      <c r="C183" s="379"/>
      <c r="D183" s="379"/>
      <c r="E183" s="379"/>
      <c r="F183" s="379"/>
      <c r="G183" s="379"/>
    </row>
    <row r="184" spans="1:7" ht="12">
      <c r="A184" s="379"/>
      <c r="B184" s="379"/>
      <c r="C184" s="379"/>
      <c r="D184" s="379"/>
      <c r="E184" s="379"/>
      <c r="F184" s="379"/>
      <c r="G184" s="379"/>
    </row>
    <row r="185" spans="1:7" ht="12">
      <c r="A185" s="379"/>
      <c r="B185" s="379"/>
      <c r="C185" s="379"/>
      <c r="D185" s="379"/>
      <c r="E185" s="379"/>
      <c r="F185" s="379"/>
      <c r="G185" s="379"/>
    </row>
    <row r="186" spans="1:7" ht="12">
      <c r="A186" s="379"/>
      <c r="B186" s="379"/>
      <c r="C186" s="379"/>
      <c r="D186" s="379"/>
      <c r="E186" s="379"/>
      <c r="F186" s="379"/>
      <c r="G186" s="379"/>
    </row>
    <row r="187" spans="1:7" ht="12">
      <c r="A187" s="379"/>
      <c r="B187" s="379"/>
      <c r="C187" s="379"/>
      <c r="D187" s="379"/>
      <c r="E187" s="379"/>
      <c r="F187" s="379"/>
      <c r="G187" s="379"/>
    </row>
    <row r="188" spans="1:7" ht="12">
      <c r="A188" s="379"/>
      <c r="B188" s="379"/>
      <c r="C188" s="379"/>
      <c r="D188" s="379"/>
      <c r="E188" s="379"/>
      <c r="F188" s="379"/>
      <c r="G188" s="379"/>
    </row>
    <row r="189" spans="1:7" ht="12">
      <c r="A189" s="379"/>
      <c r="B189" s="379"/>
      <c r="C189" s="379"/>
      <c r="D189" s="379"/>
      <c r="E189" s="379"/>
      <c r="F189" s="379"/>
      <c r="G189" s="379"/>
    </row>
    <row r="190" spans="1:7" ht="12">
      <c r="A190" s="379"/>
      <c r="B190" s="379"/>
      <c r="C190" s="379"/>
      <c r="D190" s="379"/>
      <c r="E190" s="379"/>
      <c r="F190" s="379"/>
      <c r="G190" s="379"/>
    </row>
    <row r="191" spans="1:7" ht="12">
      <c r="A191" s="379"/>
      <c r="B191" s="379"/>
      <c r="C191" s="379"/>
      <c r="D191" s="379"/>
      <c r="E191" s="379"/>
      <c r="F191" s="379"/>
      <c r="G191" s="379"/>
    </row>
    <row r="192" spans="1:7" ht="12">
      <c r="A192" s="379"/>
      <c r="B192" s="379"/>
      <c r="C192" s="379"/>
      <c r="D192" s="379"/>
      <c r="E192" s="379"/>
      <c r="F192" s="379"/>
      <c r="G192" s="379"/>
    </row>
    <row r="193" spans="1:7" ht="12">
      <c r="A193" s="379"/>
      <c r="B193" s="379"/>
      <c r="C193" s="379"/>
      <c r="D193" s="379"/>
      <c r="E193" s="379"/>
      <c r="F193" s="379"/>
      <c r="G193" s="379"/>
    </row>
    <row r="194" spans="1:7" ht="12">
      <c r="A194" s="379"/>
      <c r="B194" s="379"/>
      <c r="C194" s="379"/>
      <c r="D194" s="379"/>
      <c r="E194" s="379"/>
      <c r="F194" s="379"/>
      <c r="G194" s="379"/>
    </row>
    <row r="195" spans="1:7" ht="12">
      <c r="A195" s="379"/>
      <c r="B195" s="379"/>
      <c r="C195" s="379"/>
      <c r="D195" s="379"/>
      <c r="E195" s="379"/>
      <c r="F195" s="379"/>
      <c r="G195" s="379"/>
    </row>
    <row r="196" spans="1:7" ht="12">
      <c r="A196" s="379"/>
      <c r="B196" s="379"/>
      <c r="C196" s="379"/>
      <c r="D196" s="379"/>
      <c r="E196" s="379"/>
      <c r="F196" s="379"/>
      <c r="G196" s="379"/>
    </row>
    <row r="197" spans="1:7" ht="12">
      <c r="A197" s="379"/>
      <c r="B197" s="379"/>
      <c r="C197" s="379"/>
      <c r="D197" s="379"/>
      <c r="E197" s="379"/>
      <c r="F197" s="379"/>
      <c r="G197" s="379"/>
    </row>
    <row r="198" spans="1:7" ht="12">
      <c r="A198" s="379"/>
      <c r="B198" s="379"/>
      <c r="C198" s="379"/>
      <c r="D198" s="379"/>
      <c r="E198" s="379"/>
      <c r="F198" s="379"/>
      <c r="G198" s="379"/>
    </row>
    <row r="199" spans="1:7" ht="12">
      <c r="A199" s="379"/>
      <c r="B199" s="379"/>
      <c r="C199" s="379"/>
      <c r="D199" s="379"/>
      <c r="E199" s="379"/>
      <c r="F199" s="379"/>
      <c r="G199" s="379"/>
    </row>
    <row r="200" spans="1:7" ht="12">
      <c r="A200" s="379"/>
      <c r="B200" s="379"/>
      <c r="C200" s="379"/>
      <c r="D200" s="379"/>
      <c r="E200" s="379"/>
      <c r="F200" s="379"/>
      <c r="G200" s="379"/>
    </row>
    <row r="201" spans="1:7" ht="12">
      <c r="A201" s="379"/>
      <c r="B201" s="379"/>
      <c r="C201" s="379"/>
      <c r="D201" s="379"/>
      <c r="E201" s="379"/>
      <c r="F201" s="379"/>
      <c r="G201" s="379"/>
    </row>
    <row r="202" spans="1:7" ht="12">
      <c r="A202" s="379"/>
      <c r="B202" s="379"/>
      <c r="C202" s="379"/>
      <c r="D202" s="379"/>
      <c r="E202" s="379"/>
      <c r="F202" s="379"/>
      <c r="G202" s="379"/>
    </row>
    <row r="203" spans="1:7" ht="12">
      <c r="A203" s="379"/>
      <c r="B203" s="379"/>
      <c r="C203" s="379"/>
      <c r="D203" s="379"/>
      <c r="E203" s="379"/>
      <c r="F203" s="379"/>
      <c r="G203" s="379"/>
    </row>
    <row r="204" spans="1:7" ht="12">
      <c r="A204" s="379"/>
      <c r="B204" s="379"/>
      <c r="C204" s="379"/>
      <c r="D204" s="379"/>
      <c r="E204" s="379"/>
      <c r="F204" s="379"/>
      <c r="G204" s="379"/>
    </row>
    <row r="205" spans="1:7" ht="12">
      <c r="A205" s="379"/>
      <c r="B205" s="379"/>
      <c r="C205" s="379"/>
      <c r="D205" s="379"/>
      <c r="E205" s="379"/>
      <c r="F205" s="379"/>
      <c r="G205" s="379"/>
    </row>
    <row r="206" spans="1:7" ht="12">
      <c r="A206" s="379"/>
      <c r="B206" s="379"/>
      <c r="C206" s="379"/>
      <c r="D206" s="379"/>
      <c r="E206" s="379"/>
      <c r="F206" s="379"/>
      <c r="G206" s="379"/>
    </row>
    <row r="207" spans="1:7" ht="12">
      <c r="A207" s="379"/>
      <c r="B207" s="379"/>
      <c r="C207" s="379"/>
      <c r="D207" s="379"/>
      <c r="E207" s="379"/>
      <c r="F207" s="379"/>
      <c r="G207" s="379"/>
    </row>
    <row r="208" spans="1:7" ht="12">
      <c r="A208" s="379"/>
      <c r="B208" s="379"/>
      <c r="C208" s="379"/>
      <c r="D208" s="379"/>
      <c r="E208" s="379"/>
      <c r="F208" s="379"/>
      <c r="G208" s="379"/>
    </row>
    <row r="209" spans="1:7" ht="12">
      <c r="A209" s="379"/>
      <c r="B209" s="379"/>
      <c r="C209" s="379"/>
      <c r="D209" s="379"/>
      <c r="E209" s="379"/>
      <c r="F209" s="379"/>
      <c r="G209" s="379"/>
    </row>
    <row r="210" spans="1:7" ht="12">
      <c r="A210" s="379"/>
      <c r="B210" s="379"/>
      <c r="C210" s="379"/>
      <c r="D210" s="379"/>
      <c r="E210" s="379"/>
      <c r="F210" s="379"/>
      <c r="G210" s="379"/>
    </row>
    <row r="211" spans="1:7" ht="12">
      <c r="A211" s="379"/>
      <c r="B211" s="379"/>
      <c r="C211" s="379"/>
      <c r="D211" s="379"/>
      <c r="E211" s="379"/>
      <c r="F211" s="379"/>
      <c r="G211" s="379"/>
    </row>
    <row r="212" spans="1:7" ht="12">
      <c r="A212" s="379"/>
      <c r="B212" s="379"/>
      <c r="C212" s="379"/>
      <c r="D212" s="379"/>
      <c r="E212" s="379"/>
      <c r="F212" s="379"/>
      <c r="G212" s="379"/>
    </row>
    <row r="213" spans="1:7" ht="12">
      <c r="A213" s="379"/>
      <c r="B213" s="379"/>
      <c r="C213" s="379"/>
      <c r="D213" s="379"/>
      <c r="E213" s="379"/>
      <c r="F213" s="379"/>
      <c r="G213" s="379"/>
    </row>
    <row r="214" spans="1:7" ht="12">
      <c r="A214" s="379"/>
      <c r="B214" s="379"/>
      <c r="C214" s="379"/>
      <c r="D214" s="379"/>
      <c r="E214" s="379"/>
      <c r="F214" s="379"/>
      <c r="G214" s="379"/>
    </row>
    <row r="215" spans="1:7" ht="12">
      <c r="A215" s="379"/>
      <c r="B215" s="379"/>
      <c r="C215" s="379"/>
      <c r="D215" s="379"/>
      <c r="E215" s="379"/>
      <c r="F215" s="379"/>
      <c r="G215" s="379"/>
    </row>
    <row r="216" spans="1:7" ht="12">
      <c r="A216" s="379"/>
      <c r="B216" s="379"/>
      <c r="C216" s="379"/>
      <c r="D216" s="379"/>
      <c r="E216" s="379"/>
      <c r="F216" s="379"/>
      <c r="G216" s="379"/>
    </row>
    <row r="217" spans="1:7" ht="12">
      <c r="A217" s="379"/>
      <c r="B217" s="379"/>
      <c r="C217" s="379"/>
      <c r="D217" s="379"/>
      <c r="E217" s="379"/>
      <c r="F217" s="379"/>
      <c r="G217" s="379"/>
    </row>
    <row r="218" spans="1:7" ht="12">
      <c r="A218" s="379"/>
      <c r="B218" s="379"/>
      <c r="C218" s="379"/>
      <c r="D218" s="379"/>
      <c r="E218" s="379"/>
      <c r="F218" s="379"/>
      <c r="G218" s="379"/>
    </row>
    <row r="219" spans="1:7" ht="12">
      <c r="A219" s="379"/>
      <c r="B219" s="379"/>
      <c r="C219" s="379"/>
      <c r="D219" s="379"/>
      <c r="E219" s="379"/>
      <c r="F219" s="379"/>
      <c r="G219" s="379"/>
    </row>
    <row r="220" spans="1:7" ht="12">
      <c r="A220" s="379"/>
      <c r="B220" s="379"/>
      <c r="C220" s="379"/>
      <c r="D220" s="379"/>
      <c r="E220" s="379"/>
      <c r="F220" s="379"/>
      <c r="G220" s="379"/>
    </row>
    <row r="221" spans="1:7" ht="12">
      <c r="A221" s="379"/>
      <c r="B221" s="379"/>
      <c r="C221" s="379"/>
      <c r="D221" s="379"/>
      <c r="E221" s="379"/>
      <c r="F221" s="379"/>
      <c r="G221" s="379"/>
    </row>
    <row r="222" spans="1:7" ht="12">
      <c r="A222" s="379"/>
      <c r="B222" s="379"/>
      <c r="C222" s="379"/>
      <c r="D222" s="379"/>
      <c r="E222" s="379"/>
      <c r="F222" s="379"/>
      <c r="G222" s="379"/>
    </row>
    <row r="223" spans="1:7" ht="12">
      <c r="A223" s="379"/>
      <c r="B223" s="379"/>
      <c r="C223" s="379"/>
      <c r="D223" s="379"/>
      <c r="E223" s="379"/>
      <c r="F223" s="379"/>
      <c r="G223" s="379"/>
    </row>
    <row r="224" spans="1:7" ht="12">
      <c r="A224" s="379"/>
      <c r="B224" s="379"/>
      <c r="C224" s="379"/>
      <c r="D224" s="379"/>
      <c r="E224" s="379"/>
      <c r="F224" s="379"/>
      <c r="G224" s="379"/>
    </row>
    <row r="225" spans="1:7" ht="12">
      <c r="A225" s="379"/>
      <c r="B225" s="379"/>
      <c r="C225" s="379"/>
      <c r="D225" s="379"/>
      <c r="E225" s="379"/>
      <c r="F225" s="379"/>
      <c r="G225" s="379"/>
    </row>
    <row r="226" spans="1:7" ht="12">
      <c r="A226" s="379"/>
      <c r="B226" s="379"/>
      <c r="C226" s="379"/>
      <c r="D226" s="379"/>
      <c r="E226" s="379"/>
      <c r="F226" s="379"/>
      <c r="G226" s="379"/>
    </row>
    <row r="227" spans="1:7" ht="12">
      <c r="A227" s="379"/>
      <c r="B227" s="379"/>
      <c r="C227" s="379"/>
      <c r="D227" s="379"/>
      <c r="E227" s="379"/>
      <c r="F227" s="379"/>
      <c r="G227" s="379"/>
    </row>
    <row r="228" spans="1:7" ht="12">
      <c r="A228" s="379"/>
      <c r="B228" s="379"/>
      <c r="C228" s="379"/>
      <c r="D228" s="379"/>
      <c r="E228" s="379"/>
      <c r="F228" s="379"/>
      <c r="G228" s="379"/>
    </row>
    <row r="229" spans="1:7" ht="12">
      <c r="A229" s="379"/>
      <c r="B229" s="379"/>
      <c r="C229" s="379"/>
      <c r="D229" s="379"/>
      <c r="E229" s="379"/>
      <c r="F229" s="379"/>
      <c r="G229" s="379"/>
    </row>
    <row r="230" spans="1:7" ht="12">
      <c r="A230" s="379"/>
      <c r="B230" s="379"/>
      <c r="C230" s="379"/>
      <c r="D230" s="379"/>
      <c r="E230" s="379"/>
      <c r="F230" s="379"/>
      <c r="G230" s="379"/>
    </row>
    <row r="231" spans="1:7" ht="12">
      <c r="A231" s="379"/>
      <c r="B231" s="379"/>
      <c r="C231" s="379"/>
      <c r="D231" s="379"/>
      <c r="E231" s="379"/>
      <c r="F231" s="379"/>
      <c r="G231" s="379"/>
    </row>
    <row r="232" spans="1:7" ht="12">
      <c r="A232" s="379"/>
      <c r="B232" s="379"/>
      <c r="C232" s="379"/>
      <c r="D232" s="379"/>
      <c r="E232" s="379"/>
      <c r="F232" s="379"/>
      <c r="G232" s="379"/>
    </row>
    <row r="233" spans="1:7" ht="12">
      <c r="A233" s="379"/>
      <c r="B233" s="379"/>
      <c r="C233" s="379"/>
      <c r="D233" s="379"/>
      <c r="E233" s="379"/>
      <c r="F233" s="379"/>
      <c r="G233" s="379"/>
    </row>
    <row r="234" spans="1:7" ht="12">
      <c r="A234" s="379"/>
      <c r="B234" s="379"/>
      <c r="C234" s="379"/>
      <c r="D234" s="379"/>
      <c r="E234" s="379"/>
      <c r="F234" s="379"/>
      <c r="G234" s="379"/>
    </row>
    <row r="235" spans="1:7" ht="12">
      <c r="A235" s="379"/>
      <c r="B235" s="379"/>
      <c r="C235" s="379"/>
      <c r="D235" s="379"/>
      <c r="E235" s="379"/>
      <c r="F235" s="379"/>
      <c r="G235" s="379"/>
    </row>
    <row r="236" spans="1:7" ht="12">
      <c r="A236" s="379"/>
      <c r="B236" s="379"/>
      <c r="C236" s="379"/>
      <c r="D236" s="379"/>
      <c r="E236" s="379"/>
      <c r="F236" s="379"/>
      <c r="G236" s="379"/>
    </row>
    <row r="237" spans="1:7" ht="12">
      <c r="A237" s="379"/>
      <c r="B237" s="379"/>
      <c r="C237" s="379"/>
      <c r="D237" s="379"/>
      <c r="E237" s="379"/>
      <c r="F237" s="379"/>
      <c r="G237" s="379"/>
    </row>
    <row r="238" spans="1:7" ht="12">
      <c r="A238" s="379"/>
      <c r="B238" s="379"/>
      <c r="C238" s="379"/>
      <c r="D238" s="379"/>
      <c r="E238" s="379"/>
      <c r="F238" s="379"/>
      <c r="G238" s="379"/>
    </row>
    <row r="239" spans="1:7" ht="12">
      <c r="A239" s="379"/>
      <c r="B239" s="379"/>
      <c r="C239" s="379"/>
      <c r="D239" s="379"/>
      <c r="E239" s="379"/>
      <c r="F239" s="379"/>
      <c r="G239" s="379"/>
    </row>
    <row r="240" spans="1:7" ht="12">
      <c r="A240" s="379"/>
      <c r="B240" s="379"/>
      <c r="C240" s="379"/>
      <c r="D240" s="379"/>
      <c r="E240" s="379"/>
      <c r="F240" s="379"/>
      <c r="G240" s="379"/>
    </row>
    <row r="241" spans="1:7" ht="12">
      <c r="A241" s="379"/>
      <c r="B241" s="379"/>
      <c r="C241" s="379"/>
      <c r="D241" s="379"/>
      <c r="E241" s="379"/>
      <c r="F241" s="379"/>
      <c r="G241" s="379"/>
    </row>
    <row r="242" spans="1:7" ht="12">
      <c r="A242" s="379"/>
      <c r="B242" s="379"/>
      <c r="C242" s="379"/>
      <c r="D242" s="379"/>
      <c r="E242" s="379"/>
      <c r="F242" s="379"/>
      <c r="G242" s="379"/>
    </row>
    <row r="243" spans="1:7" ht="12">
      <c r="A243" s="379"/>
      <c r="B243" s="379"/>
      <c r="C243" s="379"/>
      <c r="D243" s="379"/>
      <c r="E243" s="379"/>
      <c r="F243" s="379"/>
      <c r="G243" s="379"/>
    </row>
    <row r="244" spans="1:7" ht="12">
      <c r="A244" s="379"/>
      <c r="B244" s="379"/>
      <c r="C244" s="379"/>
      <c r="D244" s="379"/>
      <c r="E244" s="379"/>
      <c r="F244" s="379"/>
      <c r="G244" s="379"/>
    </row>
    <row r="245" spans="1:7" ht="12">
      <c r="A245" s="379"/>
      <c r="B245" s="379"/>
      <c r="C245" s="379"/>
      <c r="D245" s="379"/>
      <c r="E245" s="379"/>
      <c r="F245" s="379"/>
      <c r="G245" s="379"/>
    </row>
    <row r="246" spans="1:7" ht="12">
      <c r="A246" s="379"/>
      <c r="B246" s="379"/>
      <c r="C246" s="379"/>
      <c r="D246" s="379"/>
      <c r="E246" s="379"/>
      <c r="F246" s="379"/>
      <c r="G246" s="379"/>
    </row>
    <row r="247" spans="1:7" ht="12">
      <c r="A247" s="379"/>
      <c r="B247" s="379"/>
      <c r="C247" s="379"/>
      <c r="D247" s="379"/>
      <c r="E247" s="379"/>
      <c r="F247" s="379"/>
      <c r="G247" s="379"/>
    </row>
    <row r="248" spans="1:7" ht="12">
      <c r="A248" s="379"/>
      <c r="B248" s="379"/>
      <c r="C248" s="379"/>
      <c r="D248" s="379"/>
      <c r="E248" s="379"/>
      <c r="F248" s="379"/>
      <c r="G248" s="379"/>
    </row>
    <row r="249" spans="1:7" ht="12">
      <c r="A249" s="379"/>
      <c r="B249" s="379"/>
      <c r="C249" s="379"/>
      <c r="D249" s="379"/>
      <c r="E249" s="379"/>
      <c r="F249" s="379"/>
      <c r="G249" s="379"/>
    </row>
    <row r="250" spans="1:7" ht="12">
      <c r="A250" s="379"/>
      <c r="B250" s="379"/>
      <c r="C250" s="379"/>
      <c r="D250" s="379"/>
      <c r="E250" s="379"/>
      <c r="F250" s="379"/>
      <c r="G250" s="379"/>
    </row>
    <row r="251" spans="1:7" ht="12">
      <c r="A251" s="379"/>
      <c r="B251" s="379"/>
      <c r="C251" s="379"/>
      <c r="D251" s="379"/>
      <c r="E251" s="379"/>
      <c r="F251" s="379"/>
      <c r="G251" s="379"/>
    </row>
    <row r="252" spans="1:7" ht="12">
      <c r="A252" s="379"/>
      <c r="B252" s="379"/>
      <c r="C252" s="379"/>
      <c r="D252" s="379"/>
      <c r="E252" s="379"/>
      <c r="F252" s="379"/>
      <c r="G252" s="379"/>
    </row>
    <row r="253" spans="1:7" ht="12">
      <c r="A253" s="379"/>
      <c r="B253" s="379"/>
      <c r="C253" s="379"/>
      <c r="D253" s="379"/>
      <c r="E253" s="379"/>
      <c r="F253" s="379"/>
      <c r="G253" s="379"/>
    </row>
    <row r="254" spans="1:7" ht="12">
      <c r="A254" s="379"/>
      <c r="B254" s="379"/>
      <c r="C254" s="379"/>
      <c r="D254" s="379"/>
      <c r="E254" s="379"/>
      <c r="F254" s="379"/>
      <c r="G254" s="379"/>
    </row>
    <row r="255" spans="1:7" ht="12">
      <c r="A255" s="379"/>
      <c r="B255" s="379"/>
      <c r="C255" s="379"/>
      <c r="D255" s="379"/>
      <c r="E255" s="379"/>
      <c r="F255" s="379"/>
      <c r="G255" s="379"/>
    </row>
    <row r="256" spans="1:7" ht="12">
      <c r="A256" s="379"/>
      <c r="B256" s="379"/>
      <c r="C256" s="379"/>
      <c r="D256" s="379"/>
      <c r="E256" s="379"/>
      <c r="F256" s="379"/>
      <c r="G256" s="379"/>
    </row>
    <row r="257" spans="1:7" ht="12">
      <c r="A257" s="379"/>
      <c r="B257" s="379"/>
      <c r="C257" s="379"/>
      <c r="D257" s="379"/>
      <c r="E257" s="379"/>
      <c r="F257" s="379"/>
      <c r="G257" s="379"/>
    </row>
    <row r="258" spans="1:7" ht="12">
      <c r="A258" s="379"/>
      <c r="B258" s="379"/>
      <c r="C258" s="379"/>
      <c r="D258" s="379"/>
      <c r="E258" s="379"/>
      <c r="F258" s="379"/>
      <c r="G258" s="379"/>
    </row>
    <row r="259" spans="1:7" ht="12">
      <c r="A259" s="379"/>
      <c r="B259" s="379"/>
      <c r="C259" s="379"/>
      <c r="D259" s="379"/>
      <c r="E259" s="379"/>
      <c r="F259" s="379"/>
      <c r="G259" s="379"/>
    </row>
    <row r="260" spans="1:7" ht="12">
      <c r="A260" s="379"/>
      <c r="B260" s="379"/>
      <c r="C260" s="379"/>
      <c r="D260" s="379"/>
      <c r="E260" s="379"/>
      <c r="F260" s="379"/>
      <c r="G260" s="379"/>
    </row>
    <row r="261" spans="1:7" ht="12">
      <c r="A261" s="379"/>
      <c r="B261" s="379"/>
      <c r="C261" s="379"/>
      <c r="D261" s="379"/>
      <c r="E261" s="379"/>
      <c r="F261" s="379"/>
      <c r="G261" s="379"/>
    </row>
    <row r="262" spans="1:7" ht="12">
      <c r="A262" s="379"/>
      <c r="B262" s="379"/>
      <c r="C262" s="379"/>
      <c r="D262" s="379"/>
      <c r="E262" s="379"/>
      <c r="F262" s="379"/>
      <c r="G262" s="379"/>
    </row>
    <row r="263" spans="1:7" ht="12">
      <c r="A263" s="379"/>
      <c r="B263" s="379"/>
      <c r="C263" s="379"/>
      <c r="D263" s="379"/>
      <c r="E263" s="379"/>
      <c r="F263" s="379"/>
      <c r="G263" s="379"/>
    </row>
    <row r="264" spans="1:7" ht="12">
      <c r="A264" s="379"/>
      <c r="B264" s="379"/>
      <c r="C264" s="379"/>
      <c r="D264" s="379"/>
      <c r="E264" s="379"/>
      <c r="F264" s="379"/>
      <c r="G264" s="379"/>
    </row>
    <row r="265" spans="1:7" ht="12">
      <c r="A265" s="379"/>
      <c r="B265" s="379"/>
      <c r="C265" s="379"/>
      <c r="D265" s="379"/>
      <c r="E265" s="379"/>
      <c r="F265" s="379"/>
      <c r="G265" s="379"/>
    </row>
    <row r="266" spans="1:7" ht="12">
      <c r="A266" s="379"/>
      <c r="B266" s="379"/>
      <c r="C266" s="379"/>
      <c r="D266" s="379"/>
      <c r="E266" s="379"/>
      <c r="F266" s="379"/>
      <c r="G266" s="379"/>
    </row>
    <row r="267" spans="1:7" ht="12">
      <c r="A267" s="379"/>
      <c r="B267" s="379"/>
      <c r="C267" s="379"/>
      <c r="D267" s="379"/>
      <c r="E267" s="379"/>
      <c r="F267" s="379"/>
      <c r="G267" s="379"/>
    </row>
    <row r="268" spans="1:7" ht="12">
      <c r="A268" s="379"/>
      <c r="B268" s="379"/>
      <c r="C268" s="379"/>
      <c r="D268" s="379"/>
      <c r="E268" s="379"/>
      <c r="F268" s="379"/>
      <c r="G268" s="379"/>
    </row>
    <row r="269" spans="1:7" ht="12">
      <c r="A269" s="379"/>
      <c r="B269" s="379"/>
      <c r="C269" s="379"/>
      <c r="D269" s="379"/>
      <c r="E269" s="379"/>
      <c r="F269" s="379"/>
      <c r="G269" s="379"/>
    </row>
    <row r="270" spans="1:7" ht="12">
      <c r="A270" s="379"/>
      <c r="B270" s="379"/>
      <c r="C270" s="379"/>
      <c r="D270" s="379"/>
      <c r="E270" s="379"/>
      <c r="F270" s="379"/>
      <c r="G270" s="379"/>
    </row>
    <row r="271" spans="1:7" ht="12">
      <c r="A271" s="379"/>
      <c r="B271" s="379"/>
      <c r="C271" s="379"/>
      <c r="D271" s="379"/>
      <c r="E271" s="379"/>
      <c r="F271" s="379"/>
      <c r="G271" s="379"/>
    </row>
    <row r="272" spans="1:7" ht="12">
      <c r="A272" s="379"/>
      <c r="B272" s="379"/>
      <c r="C272" s="379"/>
      <c r="D272" s="379"/>
      <c r="E272" s="379"/>
      <c r="F272" s="379"/>
      <c r="G272" s="379"/>
    </row>
    <row r="273" spans="1:7" ht="12">
      <c r="A273" s="379"/>
      <c r="B273" s="379"/>
      <c r="C273" s="379"/>
      <c r="D273" s="379"/>
      <c r="E273" s="379"/>
      <c r="F273" s="379"/>
      <c r="G273" s="379"/>
    </row>
    <row r="274" spans="1:7" ht="12">
      <c r="A274" s="379"/>
      <c r="B274" s="379"/>
      <c r="C274" s="379"/>
      <c r="D274" s="379"/>
      <c r="E274" s="379"/>
      <c r="F274" s="379"/>
      <c r="G274" s="379"/>
    </row>
    <row r="275" spans="1:7" ht="12">
      <c r="A275" s="379"/>
      <c r="B275" s="379"/>
      <c r="C275" s="379"/>
      <c r="D275" s="379"/>
      <c r="E275" s="379"/>
      <c r="F275" s="379"/>
      <c r="G275" s="379"/>
    </row>
    <row r="276" spans="1:7" ht="12">
      <c r="A276" s="379"/>
      <c r="B276" s="379"/>
      <c r="C276" s="379"/>
      <c r="D276" s="379"/>
      <c r="E276" s="379"/>
      <c r="F276" s="379"/>
      <c r="G276" s="379"/>
    </row>
    <row r="277" spans="1:7" ht="12">
      <c r="A277" s="379"/>
      <c r="B277" s="379"/>
      <c r="C277" s="379"/>
      <c r="D277" s="379"/>
      <c r="E277" s="379"/>
      <c r="F277" s="379"/>
      <c r="G277" s="379"/>
    </row>
    <row r="278" spans="1:7" ht="12">
      <c r="A278" s="379"/>
      <c r="B278" s="379"/>
      <c r="C278" s="379"/>
      <c r="D278" s="379"/>
      <c r="E278" s="379"/>
      <c r="F278" s="379"/>
      <c r="G278" s="379"/>
    </row>
    <row r="279" spans="1:7" ht="12">
      <c r="A279" s="379"/>
      <c r="B279" s="379"/>
      <c r="C279" s="379"/>
      <c r="D279" s="379"/>
      <c r="E279" s="379"/>
      <c r="F279" s="379"/>
      <c r="G279" s="379"/>
    </row>
    <row r="280" spans="1:7" ht="12">
      <c r="A280" s="379"/>
      <c r="B280" s="379"/>
      <c r="C280" s="379"/>
      <c r="D280" s="379"/>
      <c r="E280" s="379"/>
      <c r="F280" s="379"/>
      <c r="G280" s="379"/>
    </row>
    <row r="281" spans="1:7" ht="12">
      <c r="A281" s="379"/>
      <c r="B281" s="379"/>
      <c r="C281" s="379"/>
      <c r="D281" s="379"/>
      <c r="E281" s="379"/>
      <c r="F281" s="379"/>
      <c r="G281" s="379"/>
    </row>
    <row r="282" spans="1:7" ht="12">
      <c r="A282" s="379"/>
      <c r="B282" s="379"/>
      <c r="C282" s="379"/>
      <c r="D282" s="379"/>
      <c r="E282" s="379"/>
      <c r="F282" s="379"/>
      <c r="G282" s="379"/>
    </row>
    <row r="283" spans="1:7" ht="12">
      <c r="A283" s="379"/>
      <c r="B283" s="379"/>
      <c r="C283" s="379"/>
      <c r="D283" s="379"/>
      <c r="E283" s="379"/>
      <c r="F283" s="379"/>
      <c r="G283" s="379"/>
    </row>
    <row r="284" spans="1:7" ht="12">
      <c r="A284" s="379"/>
      <c r="B284" s="379"/>
      <c r="C284" s="379"/>
      <c r="D284" s="379"/>
      <c r="E284" s="379"/>
      <c r="F284" s="379"/>
      <c r="G284" s="379"/>
    </row>
    <row r="285" spans="1:7" ht="12">
      <c r="A285" s="379"/>
      <c r="B285" s="379"/>
      <c r="C285" s="379"/>
      <c r="D285" s="379"/>
      <c r="E285" s="379"/>
      <c r="F285" s="379"/>
      <c r="G285" s="379"/>
    </row>
    <row r="286" spans="1:7" ht="12">
      <c r="A286" s="379"/>
      <c r="B286" s="379"/>
      <c r="C286" s="379"/>
      <c r="D286" s="379"/>
      <c r="E286" s="379"/>
      <c r="F286" s="379"/>
      <c r="G286" s="379"/>
    </row>
    <row r="287" spans="1:7" ht="12">
      <c r="A287" s="379"/>
      <c r="B287" s="379"/>
      <c r="C287" s="379"/>
      <c r="D287" s="379"/>
      <c r="E287" s="379"/>
      <c r="F287" s="379"/>
      <c r="G287" s="379"/>
    </row>
    <row r="288" spans="1:7" ht="12">
      <c r="A288" s="379"/>
      <c r="B288" s="379"/>
      <c r="C288" s="379"/>
      <c r="D288" s="379"/>
      <c r="E288" s="379"/>
      <c r="F288" s="379"/>
      <c r="G288" s="379"/>
    </row>
    <row r="289" spans="1:7" ht="12">
      <c r="A289" s="379"/>
      <c r="B289" s="379"/>
      <c r="C289" s="379"/>
      <c r="D289" s="379"/>
      <c r="E289" s="379"/>
      <c r="F289" s="379"/>
      <c r="G289" s="379"/>
    </row>
    <row r="290" spans="1:7" ht="12">
      <c r="A290" s="379"/>
      <c r="B290" s="379"/>
      <c r="C290" s="379"/>
      <c r="D290" s="379"/>
      <c r="E290" s="379"/>
      <c r="F290" s="379"/>
      <c r="G290" s="379"/>
    </row>
    <row r="291" spans="1:7" ht="12">
      <c r="A291" s="379"/>
      <c r="B291" s="379"/>
      <c r="C291" s="379"/>
      <c r="D291" s="379"/>
      <c r="E291" s="379"/>
      <c r="F291" s="379"/>
      <c r="G291" s="379"/>
    </row>
    <row r="292" spans="1:7" ht="12">
      <c r="A292" s="379"/>
      <c r="B292" s="379"/>
      <c r="C292" s="379"/>
      <c r="D292" s="379"/>
      <c r="E292" s="379"/>
      <c r="F292" s="379"/>
      <c r="G292" s="379"/>
    </row>
    <row r="293" spans="1:7" ht="12">
      <c r="A293" s="379"/>
      <c r="B293" s="379"/>
      <c r="C293" s="379"/>
      <c r="D293" s="379"/>
      <c r="E293" s="379"/>
      <c r="F293" s="379"/>
      <c r="G293" s="379"/>
    </row>
    <row r="294" spans="1:7" ht="12">
      <c r="A294" s="379"/>
      <c r="B294" s="379"/>
      <c r="C294" s="379"/>
      <c r="D294" s="379"/>
      <c r="E294" s="379"/>
      <c r="F294" s="379"/>
      <c r="G294" s="379"/>
    </row>
    <row r="295" spans="1:7" ht="12">
      <c r="A295" s="379"/>
      <c r="B295" s="379"/>
      <c r="C295" s="379"/>
      <c r="D295" s="379"/>
      <c r="E295" s="379"/>
      <c r="F295" s="379"/>
      <c r="G295" s="379"/>
    </row>
    <row r="296" spans="1:7" ht="12">
      <c r="A296" s="379"/>
      <c r="B296" s="379"/>
      <c r="C296" s="379"/>
      <c r="D296" s="379"/>
      <c r="E296" s="379"/>
      <c r="F296" s="379"/>
      <c r="G296" s="379"/>
    </row>
    <row r="297" spans="1:7" ht="12">
      <c r="A297" s="379"/>
      <c r="B297" s="379"/>
      <c r="C297" s="379"/>
      <c r="D297" s="379"/>
      <c r="E297" s="379"/>
      <c r="F297" s="379"/>
      <c r="G297" s="379"/>
    </row>
    <row r="298" spans="1:7" ht="12">
      <c r="A298" s="379"/>
      <c r="B298" s="379"/>
      <c r="C298" s="379"/>
      <c r="D298" s="379"/>
      <c r="E298" s="379"/>
      <c r="F298" s="379"/>
      <c r="G298" s="379"/>
    </row>
    <row r="299" spans="1:7" ht="12">
      <c r="A299" s="379"/>
      <c r="B299" s="379"/>
      <c r="C299" s="379"/>
      <c r="D299" s="379"/>
      <c r="E299" s="379"/>
      <c r="F299" s="379"/>
      <c r="G299" s="379"/>
    </row>
    <row r="300" spans="1:7" ht="12">
      <c r="A300" s="379"/>
      <c r="B300" s="379"/>
      <c r="C300" s="379"/>
      <c r="D300" s="379"/>
      <c r="E300" s="379"/>
      <c r="F300" s="379"/>
      <c r="G300" s="379"/>
    </row>
    <row r="301" spans="1:7" ht="12">
      <c r="A301" s="379"/>
      <c r="B301" s="379"/>
      <c r="C301" s="379"/>
      <c r="D301" s="379"/>
      <c r="E301" s="379"/>
      <c r="F301" s="379"/>
      <c r="G301" s="379"/>
    </row>
    <row r="302" spans="1:7" ht="12">
      <c r="A302" s="379"/>
      <c r="B302" s="379"/>
      <c r="C302" s="379"/>
      <c r="D302" s="379"/>
      <c r="E302" s="379"/>
      <c r="F302" s="379"/>
      <c r="G302" s="379"/>
    </row>
    <row r="303" spans="1:7" ht="12">
      <c r="A303" s="379"/>
      <c r="B303" s="379"/>
      <c r="C303" s="379"/>
      <c r="D303" s="379"/>
      <c r="E303" s="379"/>
      <c r="F303" s="379"/>
      <c r="G303" s="379"/>
    </row>
    <row r="304" spans="1:7" ht="12">
      <c r="A304" s="379"/>
      <c r="B304" s="379"/>
      <c r="C304" s="379"/>
      <c r="D304" s="379"/>
      <c r="E304" s="379"/>
      <c r="F304" s="379"/>
      <c r="G304" s="379"/>
    </row>
    <row r="305" spans="1:7" ht="12">
      <c r="A305" s="379"/>
      <c r="B305" s="379"/>
      <c r="C305" s="379"/>
      <c r="D305" s="379"/>
      <c r="E305" s="379"/>
      <c r="F305" s="379"/>
      <c r="G305" s="379"/>
    </row>
    <row r="306" spans="1:7" ht="12">
      <c r="A306" s="379"/>
      <c r="B306" s="379"/>
      <c r="C306" s="379"/>
      <c r="D306" s="379"/>
      <c r="E306" s="379"/>
      <c r="F306" s="379"/>
      <c r="G306" s="379"/>
    </row>
    <row r="307" spans="1:7" ht="12">
      <c r="A307" s="379"/>
      <c r="B307" s="379"/>
      <c r="C307" s="379"/>
      <c r="D307" s="379"/>
      <c r="E307" s="379"/>
      <c r="F307" s="379"/>
      <c r="G307" s="379"/>
    </row>
    <row r="308" spans="1:7" ht="12">
      <c r="A308" s="379"/>
      <c r="B308" s="379"/>
      <c r="C308" s="379"/>
      <c r="D308" s="379"/>
      <c r="E308" s="379"/>
      <c r="F308" s="379"/>
      <c r="G308" s="379"/>
    </row>
    <row r="309" spans="1:7" ht="12">
      <c r="A309" s="379"/>
      <c r="B309" s="379"/>
      <c r="C309" s="379"/>
      <c r="D309" s="379"/>
      <c r="E309" s="379"/>
      <c r="F309" s="379"/>
      <c r="G309" s="379"/>
    </row>
    <row r="310" spans="1:7" ht="12">
      <c r="A310" s="379"/>
      <c r="B310" s="379"/>
      <c r="C310" s="379"/>
      <c r="D310" s="379"/>
      <c r="E310" s="379"/>
      <c r="F310" s="379"/>
      <c r="G310" s="379"/>
    </row>
    <row r="311" spans="1:7" ht="12">
      <c r="A311" s="379"/>
      <c r="B311" s="379"/>
      <c r="C311" s="379"/>
      <c r="D311" s="379"/>
      <c r="E311" s="379"/>
      <c r="F311" s="379"/>
      <c r="G311" s="379"/>
    </row>
    <row r="312" spans="1:7" ht="12">
      <c r="A312" s="379"/>
      <c r="B312" s="379"/>
      <c r="C312" s="379"/>
      <c r="D312" s="379"/>
      <c r="E312" s="379"/>
      <c r="F312" s="379"/>
      <c r="G312" s="379"/>
    </row>
    <row r="313" spans="1:7" ht="12">
      <c r="A313" s="379"/>
      <c r="B313" s="379"/>
      <c r="C313" s="379"/>
      <c r="D313" s="379"/>
      <c r="E313" s="379"/>
      <c r="F313" s="379"/>
      <c r="G313" s="379"/>
    </row>
    <row r="314" spans="1:7" ht="12">
      <c r="A314" s="379"/>
      <c r="B314" s="379"/>
      <c r="C314" s="379"/>
      <c r="D314" s="379"/>
      <c r="E314" s="379"/>
      <c r="F314" s="379"/>
      <c r="G314" s="379"/>
    </row>
    <row r="315" spans="1:7" ht="12">
      <c r="A315" s="379"/>
      <c r="B315" s="379"/>
      <c r="C315" s="379"/>
      <c r="D315" s="379"/>
      <c r="E315" s="379"/>
      <c r="F315" s="379"/>
      <c r="G315" s="379"/>
    </row>
    <row r="316" spans="1:7" ht="12">
      <c r="A316" s="379"/>
      <c r="B316" s="379"/>
      <c r="C316" s="379"/>
      <c r="D316" s="379"/>
      <c r="E316" s="379"/>
      <c r="F316" s="379"/>
      <c r="G316" s="379"/>
    </row>
    <row r="317" spans="1:7" ht="12">
      <c r="A317" s="379"/>
      <c r="B317" s="379"/>
      <c r="C317" s="379"/>
      <c r="D317" s="379"/>
      <c r="E317" s="379"/>
      <c r="F317" s="379"/>
      <c r="G317" s="379"/>
    </row>
    <row r="318" spans="1:7" ht="12">
      <c r="A318" s="379"/>
      <c r="B318" s="379"/>
      <c r="C318" s="379"/>
      <c r="D318" s="379"/>
      <c r="E318" s="379"/>
      <c r="F318" s="379"/>
      <c r="G318" s="379"/>
    </row>
    <row r="319" spans="1:7" ht="12">
      <c r="A319" s="379"/>
      <c r="B319" s="379"/>
      <c r="C319" s="379"/>
      <c r="D319" s="379"/>
      <c r="E319" s="379"/>
      <c r="F319" s="379"/>
      <c r="G319" s="379"/>
    </row>
    <row r="320" spans="1:7" ht="12">
      <c r="A320" s="379"/>
      <c r="B320" s="379"/>
      <c r="C320" s="379"/>
      <c r="D320" s="379"/>
      <c r="E320" s="379"/>
      <c r="F320" s="379"/>
      <c r="G320" s="379"/>
    </row>
    <row r="321" spans="1:7" ht="12">
      <c r="A321" s="379"/>
      <c r="B321" s="379"/>
      <c r="C321" s="379"/>
      <c r="D321" s="379"/>
      <c r="E321" s="379"/>
      <c r="F321" s="379"/>
      <c r="G321" s="379"/>
    </row>
    <row r="322" spans="1:7" ht="12">
      <c r="A322" s="379"/>
      <c r="B322" s="379"/>
      <c r="C322" s="379"/>
      <c r="D322" s="379"/>
      <c r="E322" s="379"/>
      <c r="F322" s="379"/>
      <c r="G322" s="379"/>
    </row>
    <row r="323" spans="1:7" ht="12">
      <c r="A323" s="379"/>
      <c r="B323" s="379"/>
      <c r="C323" s="379"/>
      <c r="D323" s="379"/>
      <c r="E323" s="379"/>
      <c r="F323" s="379"/>
      <c r="G323" s="379"/>
    </row>
    <row r="324" spans="1:7" ht="12">
      <c r="A324" s="379"/>
      <c r="B324" s="379"/>
      <c r="C324" s="379"/>
      <c r="D324" s="379"/>
      <c r="E324" s="379"/>
      <c r="F324" s="379"/>
      <c r="G324" s="379"/>
    </row>
    <row r="325" spans="1:7" ht="12">
      <c r="A325" s="379"/>
      <c r="B325" s="379"/>
      <c r="C325" s="379"/>
      <c r="D325" s="379"/>
      <c r="E325" s="379"/>
      <c r="F325" s="379"/>
      <c r="G325" s="379"/>
    </row>
    <row r="326" spans="1:7" ht="12">
      <c r="A326" s="379"/>
      <c r="B326" s="379"/>
      <c r="C326" s="379"/>
      <c r="D326" s="379"/>
      <c r="E326" s="379"/>
      <c r="F326" s="379"/>
      <c r="G326" s="379"/>
    </row>
    <row r="327" spans="1:7" ht="12">
      <c r="A327" s="379"/>
      <c r="B327" s="379"/>
      <c r="C327" s="379"/>
      <c r="D327" s="379"/>
      <c r="E327" s="379"/>
      <c r="F327" s="379"/>
      <c r="G327" s="379"/>
    </row>
    <row r="328" spans="1:7" ht="12">
      <c r="A328" s="379"/>
      <c r="B328" s="379"/>
      <c r="C328" s="379"/>
      <c r="D328" s="379"/>
      <c r="E328" s="379"/>
      <c r="F328" s="379"/>
      <c r="G328" s="379"/>
    </row>
    <row r="329" spans="1:7" ht="12">
      <c r="A329" s="379"/>
      <c r="B329" s="379"/>
      <c r="C329" s="379"/>
      <c r="D329" s="379"/>
      <c r="E329" s="379"/>
      <c r="F329" s="379"/>
      <c r="G329" s="379"/>
    </row>
    <row r="330" spans="1:7" ht="12">
      <c r="A330" s="379"/>
      <c r="B330" s="379"/>
      <c r="C330" s="379"/>
      <c r="D330" s="379"/>
      <c r="E330" s="379"/>
      <c r="F330" s="379"/>
      <c r="G330" s="379"/>
    </row>
    <row r="331" spans="1:7" ht="12">
      <c r="A331" s="379"/>
      <c r="B331" s="379"/>
      <c r="C331" s="379"/>
      <c r="D331" s="379"/>
      <c r="E331" s="379"/>
      <c r="F331" s="379"/>
      <c r="G331" s="379"/>
    </row>
    <row r="332" spans="1:7" ht="12">
      <c r="A332" s="379"/>
      <c r="B332" s="379"/>
      <c r="C332" s="379"/>
      <c r="D332" s="379"/>
      <c r="E332" s="379"/>
      <c r="F332" s="379"/>
      <c r="G332" s="379"/>
    </row>
    <row r="333" spans="1:7" ht="12">
      <c r="A333" s="379"/>
      <c r="B333" s="379"/>
      <c r="C333" s="379"/>
      <c r="D333" s="379"/>
      <c r="E333" s="379"/>
      <c r="F333" s="379"/>
      <c r="G333" s="379"/>
    </row>
    <row r="334" spans="1:7" ht="12">
      <c r="A334" s="379"/>
      <c r="B334" s="379"/>
      <c r="C334" s="379"/>
      <c r="D334" s="379"/>
      <c r="E334" s="379"/>
      <c r="F334" s="379"/>
      <c r="G334" s="379"/>
    </row>
    <row r="335" spans="1:7" ht="12">
      <c r="A335" s="379"/>
      <c r="B335" s="379"/>
      <c r="C335" s="379"/>
      <c r="D335" s="379"/>
      <c r="E335" s="379"/>
      <c r="F335" s="379"/>
      <c r="G335" s="379"/>
    </row>
    <row r="336" spans="1:7" ht="12">
      <c r="A336" s="379"/>
      <c r="B336" s="379"/>
      <c r="C336" s="379"/>
      <c r="D336" s="379"/>
      <c r="E336" s="379"/>
      <c r="F336" s="379"/>
      <c r="G336" s="379"/>
    </row>
    <row r="337" spans="1:7" ht="12">
      <c r="A337" s="379"/>
      <c r="B337" s="379"/>
      <c r="C337" s="379"/>
      <c r="D337" s="379"/>
      <c r="E337" s="379"/>
      <c r="F337" s="379"/>
      <c r="G337" s="379"/>
    </row>
    <row r="338" spans="1:7" ht="12">
      <c r="A338" s="379"/>
      <c r="B338" s="379"/>
      <c r="C338" s="379"/>
      <c r="D338" s="379"/>
      <c r="E338" s="379"/>
      <c r="F338" s="379"/>
      <c r="G338" s="379"/>
    </row>
    <row r="339" spans="1:7" ht="12">
      <c r="A339" s="379"/>
      <c r="B339" s="379"/>
      <c r="C339" s="379"/>
      <c r="D339" s="379"/>
      <c r="E339" s="379"/>
      <c r="F339" s="379"/>
      <c r="G339" s="379"/>
    </row>
    <row r="340" spans="1:7" ht="12">
      <c r="A340" s="379"/>
      <c r="B340" s="379"/>
      <c r="C340" s="379"/>
      <c r="D340" s="379"/>
      <c r="E340" s="379"/>
      <c r="F340" s="379"/>
      <c r="G340" s="379"/>
    </row>
    <row r="341" spans="1:7" ht="12">
      <c r="A341" s="379"/>
      <c r="B341" s="379"/>
      <c r="C341" s="379"/>
      <c r="D341" s="379"/>
      <c r="E341" s="379"/>
      <c r="F341" s="379"/>
      <c r="G341" s="379"/>
    </row>
    <row r="342" spans="1:7" ht="12">
      <c r="A342" s="379"/>
      <c r="B342" s="379"/>
      <c r="C342" s="379"/>
      <c r="D342" s="379"/>
      <c r="E342" s="379"/>
      <c r="F342" s="379"/>
      <c r="G342" s="379"/>
    </row>
    <row r="343" spans="1:7" ht="12">
      <c r="A343" s="379"/>
      <c r="B343" s="379"/>
      <c r="C343" s="379"/>
      <c r="D343" s="379"/>
      <c r="E343" s="379"/>
      <c r="F343" s="379"/>
      <c r="G343" s="379"/>
    </row>
    <row r="344" spans="1:7" ht="12">
      <c r="A344" s="379"/>
      <c r="B344" s="379"/>
      <c r="C344" s="379"/>
      <c r="D344" s="379"/>
      <c r="E344" s="379"/>
      <c r="F344" s="379"/>
      <c r="G344" s="379"/>
    </row>
    <row r="345" spans="1:7" ht="12">
      <c r="A345" s="379"/>
      <c r="B345" s="379"/>
      <c r="C345" s="379"/>
      <c r="D345" s="379"/>
      <c r="E345" s="379"/>
      <c r="F345" s="379"/>
      <c r="G345" s="379"/>
    </row>
    <row r="346" spans="1:7" ht="12">
      <c r="A346" s="379"/>
      <c r="B346" s="379"/>
      <c r="C346" s="379"/>
      <c r="D346" s="379"/>
      <c r="E346" s="379"/>
      <c r="F346" s="379"/>
      <c r="G346" s="379"/>
    </row>
    <row r="347" spans="1:7" ht="12">
      <c r="A347" s="379"/>
      <c r="B347" s="379"/>
      <c r="C347" s="379"/>
      <c r="D347" s="379"/>
      <c r="E347" s="379"/>
      <c r="F347" s="379"/>
      <c r="G347" s="379"/>
    </row>
    <row r="348" spans="1:7" ht="12">
      <c r="A348" s="379"/>
      <c r="B348" s="379"/>
      <c r="C348" s="379"/>
      <c r="D348" s="379"/>
      <c r="E348" s="379"/>
      <c r="F348" s="379"/>
      <c r="G348" s="379"/>
    </row>
    <row r="349" spans="1:7" ht="12">
      <c r="A349" s="379"/>
      <c r="B349" s="379"/>
      <c r="C349" s="379"/>
      <c r="D349" s="379"/>
      <c r="E349" s="379"/>
      <c r="F349" s="379"/>
      <c r="G349" s="379"/>
    </row>
    <row r="350" spans="1:7" ht="12">
      <c r="A350" s="379"/>
      <c r="B350" s="379"/>
      <c r="C350" s="379"/>
      <c r="D350" s="379"/>
      <c r="E350" s="379"/>
      <c r="F350" s="379"/>
      <c r="G350" s="379"/>
    </row>
    <row r="351" spans="1:7" ht="12">
      <c r="A351" s="379"/>
      <c r="B351" s="379"/>
      <c r="C351" s="379"/>
      <c r="D351" s="379"/>
      <c r="E351" s="379"/>
      <c r="F351" s="379"/>
      <c r="G351" s="379"/>
    </row>
    <row r="352" spans="1:7" ht="12">
      <c r="A352" s="379"/>
      <c r="B352" s="379"/>
      <c r="C352" s="379"/>
      <c r="D352" s="379"/>
      <c r="E352" s="379"/>
      <c r="F352" s="379"/>
      <c r="G352" s="379"/>
    </row>
    <row r="353" spans="1:7" ht="12">
      <c r="A353" s="379"/>
      <c r="B353" s="379"/>
      <c r="C353" s="379"/>
      <c r="D353" s="379"/>
      <c r="E353" s="379"/>
      <c r="F353" s="379"/>
      <c r="G353" s="379"/>
    </row>
    <row r="354" spans="1:7" ht="12">
      <c r="A354" s="379"/>
      <c r="B354" s="379"/>
      <c r="C354" s="379"/>
      <c r="D354" s="379"/>
      <c r="E354" s="379"/>
      <c r="F354" s="379"/>
      <c r="G354" s="379"/>
    </row>
    <row r="355" spans="1:7" ht="12">
      <c r="A355" s="379"/>
      <c r="B355" s="379"/>
      <c r="C355" s="379"/>
      <c r="D355" s="379"/>
      <c r="E355" s="379"/>
      <c r="F355" s="379"/>
      <c r="G355" s="379"/>
    </row>
    <row r="356" spans="1:7" ht="12">
      <c r="A356" s="379"/>
      <c r="B356" s="379"/>
      <c r="C356" s="379"/>
      <c r="D356" s="379"/>
      <c r="E356" s="379"/>
      <c r="F356" s="379"/>
      <c r="G356" s="379"/>
    </row>
    <row r="357" spans="1:7" ht="12">
      <c r="A357" s="379"/>
      <c r="B357" s="379"/>
      <c r="C357" s="379"/>
      <c r="D357" s="379"/>
      <c r="E357" s="379"/>
      <c r="F357" s="379"/>
      <c r="G357" s="379"/>
    </row>
    <row r="358" spans="1:7" ht="12">
      <c r="A358" s="379"/>
      <c r="B358" s="379"/>
      <c r="C358" s="379"/>
      <c r="D358" s="379"/>
      <c r="E358" s="379"/>
      <c r="F358" s="379"/>
      <c r="G358" s="379"/>
    </row>
    <row r="359" spans="1:7" ht="12">
      <c r="A359" s="379"/>
      <c r="B359" s="379"/>
      <c r="C359" s="379"/>
      <c r="D359" s="379"/>
      <c r="E359" s="379"/>
      <c r="F359" s="379"/>
      <c r="G359" s="379"/>
    </row>
    <row r="360" spans="1:7" ht="12">
      <c r="A360" s="379"/>
      <c r="B360" s="379"/>
      <c r="C360" s="379"/>
      <c r="D360" s="379"/>
      <c r="E360" s="379"/>
      <c r="F360" s="379"/>
      <c r="G360" s="379"/>
    </row>
    <row r="361" spans="1:7" ht="12">
      <c r="A361" s="379"/>
      <c r="B361" s="379"/>
      <c r="C361" s="379"/>
      <c r="D361" s="379"/>
      <c r="E361" s="379"/>
      <c r="F361" s="379"/>
      <c r="G361" s="379"/>
    </row>
    <row r="362" spans="1:7" ht="12">
      <c r="A362" s="379"/>
      <c r="B362" s="379"/>
      <c r="C362" s="379"/>
      <c r="D362" s="379"/>
      <c r="E362" s="379"/>
      <c r="F362" s="379"/>
      <c r="G362" s="379"/>
    </row>
    <row r="363" spans="1:7" ht="12">
      <c r="A363" s="379"/>
      <c r="B363" s="379"/>
      <c r="C363" s="379"/>
      <c r="D363" s="379"/>
      <c r="E363" s="379"/>
      <c r="F363" s="379"/>
      <c r="G363" s="379"/>
    </row>
    <row r="364" spans="1:7" ht="12">
      <c r="A364" s="379"/>
      <c r="B364" s="379"/>
      <c r="C364" s="379"/>
      <c r="D364" s="379"/>
      <c r="E364" s="379"/>
      <c r="F364" s="379"/>
      <c r="G364" s="379"/>
    </row>
    <row r="365" spans="1:7" ht="12">
      <c r="A365" s="379"/>
      <c r="B365" s="379"/>
      <c r="C365" s="379"/>
      <c r="D365" s="379"/>
      <c r="E365" s="379"/>
      <c r="F365" s="379"/>
      <c r="G365" s="379"/>
    </row>
    <row r="366" spans="1:7" ht="12">
      <c r="A366" s="379"/>
      <c r="B366" s="379"/>
      <c r="C366" s="379"/>
      <c r="D366" s="379"/>
      <c r="E366" s="379"/>
      <c r="F366" s="379"/>
      <c r="G366" s="379"/>
    </row>
    <row r="367" spans="1:7" ht="12">
      <c r="A367" s="379"/>
      <c r="B367" s="379"/>
      <c r="C367" s="379"/>
      <c r="D367" s="379"/>
      <c r="E367" s="379"/>
      <c r="F367" s="379"/>
      <c r="G367" s="379"/>
    </row>
    <row r="368" spans="1:7" ht="12">
      <c r="A368" s="379"/>
      <c r="B368" s="379"/>
      <c r="C368" s="379"/>
      <c r="D368" s="379"/>
      <c r="E368" s="379"/>
      <c r="F368" s="379"/>
      <c r="G368" s="379"/>
    </row>
    <row r="369" spans="1:7" ht="12">
      <c r="A369" s="379"/>
      <c r="B369" s="379"/>
      <c r="C369" s="379"/>
      <c r="D369" s="379"/>
      <c r="E369" s="379"/>
      <c r="F369" s="379"/>
      <c r="G369" s="379"/>
    </row>
    <row r="370" spans="1:7" ht="12">
      <c r="A370" s="379"/>
      <c r="B370" s="379"/>
      <c r="C370" s="379"/>
      <c r="D370" s="379"/>
      <c r="E370" s="379"/>
      <c r="F370" s="379"/>
      <c r="G370" s="379"/>
    </row>
    <row r="371" spans="1:7" ht="12">
      <c r="A371" s="379"/>
      <c r="B371" s="379"/>
      <c r="C371" s="379"/>
      <c r="D371" s="379"/>
      <c r="E371" s="379"/>
      <c r="F371" s="379"/>
      <c r="G371" s="379"/>
    </row>
    <row r="372" spans="1:7" ht="12">
      <c r="A372" s="379"/>
      <c r="B372" s="379"/>
      <c r="C372" s="379"/>
      <c r="D372" s="379"/>
      <c r="E372" s="379"/>
      <c r="F372" s="379"/>
      <c r="G372" s="379"/>
    </row>
    <row r="373" spans="1:7" ht="12">
      <c r="A373" s="379"/>
      <c r="B373" s="379"/>
      <c r="C373" s="379"/>
      <c r="D373" s="379"/>
      <c r="E373" s="379"/>
      <c r="F373" s="379"/>
      <c r="G373" s="379"/>
    </row>
    <row r="374" spans="1:7" ht="12">
      <c r="A374" s="379"/>
      <c r="B374" s="379"/>
      <c r="C374" s="379"/>
      <c r="D374" s="379"/>
      <c r="E374" s="379"/>
      <c r="F374" s="379"/>
      <c r="G374" s="379"/>
    </row>
    <row r="375" spans="1:7" ht="12">
      <c r="A375" s="379"/>
      <c r="B375" s="379"/>
      <c r="C375" s="379"/>
      <c r="D375" s="379"/>
      <c r="E375" s="379"/>
      <c r="F375" s="379"/>
      <c r="G375" s="379"/>
    </row>
    <row r="376" spans="1:7" ht="12">
      <c r="A376" s="379"/>
      <c r="B376" s="379"/>
      <c r="C376" s="379"/>
      <c r="D376" s="379"/>
      <c r="E376" s="379"/>
      <c r="F376" s="379"/>
      <c r="G376" s="379"/>
    </row>
    <row r="377" spans="1:7" ht="12">
      <c r="A377" s="379"/>
      <c r="B377" s="379"/>
      <c r="C377" s="379"/>
      <c r="D377" s="379"/>
      <c r="E377" s="379"/>
      <c r="F377" s="379"/>
      <c r="G377" s="379"/>
    </row>
    <row r="378" spans="1:7" ht="12">
      <c r="A378" s="379"/>
      <c r="B378" s="379"/>
      <c r="C378" s="379"/>
      <c r="D378" s="379"/>
      <c r="E378" s="379"/>
      <c r="F378" s="379"/>
      <c r="G378" s="379"/>
    </row>
    <row r="379" spans="1:7" ht="12">
      <c r="A379" s="379"/>
      <c r="B379" s="379"/>
      <c r="C379" s="379"/>
      <c r="D379" s="379"/>
      <c r="E379" s="379"/>
      <c r="F379" s="379"/>
      <c r="G379" s="379"/>
    </row>
    <row r="380" spans="1:7" ht="12">
      <c r="A380" s="379"/>
      <c r="B380" s="379"/>
      <c r="C380" s="379"/>
      <c r="D380" s="379"/>
      <c r="E380" s="379"/>
      <c r="F380" s="379"/>
      <c r="G380" s="379"/>
    </row>
    <row r="381" spans="1:7" ht="12">
      <c r="A381" s="379"/>
      <c r="B381" s="379"/>
      <c r="C381" s="379"/>
      <c r="D381" s="379"/>
      <c r="E381" s="379"/>
      <c r="F381" s="379"/>
      <c r="G381" s="379"/>
    </row>
    <row r="382" spans="1:7" ht="12">
      <c r="A382" s="379"/>
      <c r="B382" s="379"/>
      <c r="C382" s="379"/>
      <c r="D382" s="379"/>
      <c r="E382" s="379"/>
      <c r="F382" s="379"/>
      <c r="G382" s="379"/>
    </row>
    <row r="383" spans="1:7" ht="12">
      <c r="A383" s="379"/>
      <c r="B383" s="379"/>
      <c r="C383" s="379"/>
      <c r="D383" s="379"/>
      <c r="E383" s="379"/>
      <c r="F383" s="379"/>
      <c r="G383" s="379"/>
    </row>
    <row r="384" spans="1:7" ht="12">
      <c r="A384" s="379"/>
      <c r="B384" s="379"/>
      <c r="C384" s="379"/>
      <c r="D384" s="379"/>
      <c r="E384" s="379"/>
      <c r="F384" s="379"/>
      <c r="G384" s="379"/>
    </row>
    <row r="385" spans="1:7" ht="12">
      <c r="A385" s="379"/>
      <c r="B385" s="379"/>
      <c r="C385" s="379"/>
      <c r="D385" s="379"/>
      <c r="E385" s="379"/>
      <c r="F385" s="379"/>
      <c r="G385" s="379"/>
    </row>
    <row r="386" spans="1:7" ht="12">
      <c r="A386" s="379"/>
      <c r="B386" s="379"/>
      <c r="C386" s="379"/>
      <c r="D386" s="379"/>
      <c r="E386" s="379"/>
      <c r="F386" s="379"/>
      <c r="G386" s="379"/>
    </row>
    <row r="387" spans="1:7" ht="12">
      <c r="A387" s="379"/>
      <c r="B387" s="379"/>
      <c r="C387" s="379"/>
      <c r="D387" s="379"/>
      <c r="E387" s="379"/>
      <c r="F387" s="379"/>
      <c r="G387" s="379"/>
    </row>
    <row r="388" spans="1:7" ht="12">
      <c r="A388" s="379"/>
      <c r="B388" s="379"/>
      <c r="C388" s="379"/>
      <c r="D388" s="379"/>
      <c r="E388" s="379"/>
      <c r="F388" s="379"/>
      <c r="G388" s="379"/>
    </row>
    <row r="389" spans="1:7" ht="12">
      <c r="A389" s="379"/>
      <c r="B389" s="379"/>
      <c r="C389" s="379"/>
      <c r="D389" s="379"/>
      <c r="E389" s="379"/>
      <c r="F389" s="379"/>
      <c r="G389" s="379"/>
    </row>
    <row r="390" spans="1:7" ht="12">
      <c r="A390" s="379"/>
      <c r="B390" s="379"/>
      <c r="C390" s="379"/>
      <c r="D390" s="379"/>
      <c r="E390" s="379"/>
      <c r="F390" s="379"/>
      <c r="G390" s="379"/>
    </row>
    <row r="391" spans="1:7" ht="12">
      <c r="A391" s="379"/>
      <c r="B391" s="379"/>
      <c r="C391" s="379"/>
      <c r="D391" s="379"/>
      <c r="E391" s="379"/>
      <c r="F391" s="379"/>
      <c r="G391" s="379"/>
    </row>
    <row r="392" spans="1:7" ht="12">
      <c r="A392" s="379"/>
      <c r="B392" s="379"/>
      <c r="C392" s="379"/>
      <c r="D392" s="379"/>
      <c r="E392" s="379"/>
      <c r="F392" s="379"/>
      <c r="G392" s="379"/>
    </row>
    <row r="393" spans="1:7" ht="12">
      <c r="A393" s="379"/>
      <c r="B393" s="379"/>
      <c r="C393" s="379"/>
      <c r="D393" s="379"/>
      <c r="E393" s="379"/>
      <c r="F393" s="379"/>
      <c r="G393" s="379"/>
    </row>
    <row r="394" spans="1:7" ht="12">
      <c r="A394" s="379"/>
      <c r="B394" s="379"/>
      <c r="C394" s="379"/>
      <c r="D394" s="379"/>
      <c r="E394" s="379"/>
      <c r="F394" s="379"/>
      <c r="G394" s="379"/>
    </row>
    <row r="395" spans="1:7" ht="12">
      <c r="A395" s="379"/>
      <c r="B395" s="379"/>
      <c r="C395" s="379"/>
      <c r="D395" s="379"/>
      <c r="E395" s="379"/>
      <c r="F395" s="379"/>
      <c r="G395" s="379"/>
    </row>
    <row r="396" spans="1:7" ht="12">
      <c r="A396" s="379"/>
      <c r="B396" s="379"/>
      <c r="C396" s="379"/>
      <c r="D396" s="379"/>
      <c r="E396" s="379"/>
      <c r="F396" s="379"/>
      <c r="G396" s="379"/>
    </row>
    <row r="397" spans="1:7" ht="12">
      <c r="A397" s="379"/>
      <c r="B397" s="379"/>
      <c r="C397" s="379"/>
      <c r="D397" s="379"/>
      <c r="E397" s="379"/>
      <c r="F397" s="379"/>
      <c r="G397" s="379"/>
    </row>
    <row r="398" spans="1:7" ht="12">
      <c r="A398" s="379"/>
      <c r="B398" s="379"/>
      <c r="C398" s="379"/>
      <c r="D398" s="379"/>
      <c r="E398" s="379"/>
      <c r="F398" s="379"/>
      <c r="G398" s="379"/>
    </row>
    <row r="399" spans="1:7" ht="12">
      <c r="A399" s="379"/>
      <c r="B399" s="379"/>
      <c r="C399" s="379"/>
      <c r="D399" s="379"/>
      <c r="E399" s="379"/>
      <c r="F399" s="379"/>
      <c r="G399" s="379"/>
    </row>
    <row r="400" spans="1:7" ht="12">
      <c r="A400" s="379"/>
      <c r="B400" s="379"/>
      <c r="C400" s="379"/>
      <c r="D400" s="379"/>
      <c r="E400" s="379"/>
      <c r="F400" s="379"/>
      <c r="G400" s="379"/>
    </row>
    <row r="401" spans="1:7" ht="12">
      <c r="A401" s="379"/>
      <c r="B401" s="379"/>
      <c r="C401" s="379"/>
      <c r="D401" s="379"/>
      <c r="E401" s="379"/>
      <c r="F401" s="379"/>
      <c r="G401" s="379"/>
    </row>
    <row r="402" spans="1:7" ht="12">
      <c r="A402" s="379"/>
      <c r="B402" s="379"/>
      <c r="C402" s="379"/>
      <c r="D402" s="379"/>
      <c r="E402" s="379"/>
      <c r="F402" s="379"/>
      <c r="G402" s="379"/>
    </row>
    <row r="403" spans="1:7" ht="12">
      <c r="A403" s="379"/>
      <c r="B403" s="379"/>
      <c r="C403" s="379"/>
      <c r="D403" s="379"/>
      <c r="E403" s="379"/>
      <c r="F403" s="379"/>
      <c r="G403" s="379"/>
    </row>
    <row r="404" spans="1:7" ht="12">
      <c r="A404" s="379"/>
      <c r="B404" s="379"/>
      <c r="C404" s="379"/>
      <c r="D404" s="379"/>
      <c r="E404" s="379"/>
      <c r="F404" s="379"/>
      <c r="G404" s="379"/>
    </row>
    <row r="405" spans="1:7" ht="12">
      <c r="A405" s="379"/>
      <c r="B405" s="379"/>
      <c r="C405" s="379"/>
      <c r="D405" s="379"/>
      <c r="E405" s="379"/>
      <c r="F405" s="379"/>
      <c r="G405" s="379"/>
    </row>
    <row r="406" spans="1:7" ht="12">
      <c r="A406" s="379"/>
      <c r="B406" s="379"/>
      <c r="C406" s="379"/>
      <c r="D406" s="379"/>
      <c r="E406" s="379"/>
      <c r="F406" s="379"/>
      <c r="G406" s="379"/>
    </row>
    <row r="407" spans="1:7" ht="12">
      <c r="A407" s="379"/>
      <c r="B407" s="379"/>
      <c r="C407" s="379"/>
      <c r="D407" s="379"/>
      <c r="E407" s="379"/>
      <c r="F407" s="379"/>
      <c r="G407" s="379"/>
    </row>
    <row r="408" spans="1:7" ht="12">
      <c r="A408" s="379"/>
      <c r="B408" s="379"/>
      <c r="C408" s="379"/>
      <c r="D408" s="379"/>
      <c r="E408" s="379"/>
      <c r="F408" s="379"/>
      <c r="G408" s="379"/>
    </row>
    <row r="409" spans="1:7" ht="12">
      <c r="A409" s="379"/>
      <c r="B409" s="379"/>
      <c r="C409" s="379"/>
      <c r="D409" s="379"/>
      <c r="E409" s="379"/>
      <c r="F409" s="379"/>
      <c r="G409" s="379"/>
    </row>
    <row r="410" spans="1:7" ht="12">
      <c r="A410" s="379"/>
      <c r="B410" s="379"/>
      <c r="C410" s="379"/>
      <c r="D410" s="379"/>
      <c r="E410" s="379"/>
      <c r="F410" s="379"/>
      <c r="G410" s="379"/>
    </row>
    <row r="411" spans="1:7" ht="12">
      <c r="A411" s="379"/>
      <c r="B411" s="379"/>
      <c r="C411" s="379"/>
      <c r="D411" s="379"/>
      <c r="E411" s="379"/>
      <c r="F411" s="379"/>
      <c r="G411" s="379"/>
    </row>
    <row r="412" spans="1:7" ht="12">
      <c r="A412" s="379"/>
      <c r="B412" s="379"/>
      <c r="C412" s="379"/>
      <c r="D412" s="379"/>
      <c r="E412" s="379"/>
      <c r="F412" s="379"/>
      <c r="G412" s="379"/>
    </row>
    <row r="413" spans="1:7" ht="12">
      <c r="A413" s="379"/>
      <c r="B413" s="379"/>
      <c r="C413" s="379"/>
      <c r="D413" s="379"/>
      <c r="E413" s="379"/>
      <c r="F413" s="379"/>
      <c r="G413" s="379"/>
    </row>
    <row r="414" spans="1:7" ht="12">
      <c r="A414" s="379"/>
      <c r="B414" s="379"/>
      <c r="C414" s="379"/>
      <c r="D414" s="379"/>
      <c r="E414" s="379"/>
      <c r="F414" s="379"/>
      <c r="G414" s="379"/>
    </row>
    <row r="415" spans="1:7" ht="12">
      <c r="A415" s="379"/>
      <c r="B415" s="379"/>
      <c r="C415" s="379"/>
      <c r="D415" s="379"/>
      <c r="E415" s="379"/>
      <c r="F415" s="379"/>
      <c r="G415" s="379"/>
    </row>
    <row r="416" spans="1:7" ht="12">
      <c r="A416" s="379"/>
      <c r="B416" s="379"/>
      <c r="C416" s="379"/>
      <c r="D416" s="379"/>
      <c r="E416" s="379"/>
      <c r="F416" s="379"/>
      <c r="G416" s="379"/>
    </row>
    <row r="417" spans="1:7" ht="12">
      <c r="A417" s="379"/>
      <c r="B417" s="379"/>
      <c r="C417" s="379"/>
      <c r="D417" s="379"/>
      <c r="E417" s="379"/>
      <c r="F417" s="379"/>
      <c r="G417" s="379"/>
    </row>
    <row r="418" spans="1:7" ht="12">
      <c r="A418" s="379"/>
      <c r="B418" s="379"/>
      <c r="C418" s="379"/>
      <c r="D418" s="379"/>
      <c r="E418" s="379"/>
      <c r="F418" s="379"/>
      <c r="G418" s="379"/>
    </row>
    <row r="419" spans="1:7" ht="12">
      <c r="A419" s="379"/>
      <c r="B419" s="379"/>
      <c r="C419" s="379"/>
      <c r="D419" s="379"/>
      <c r="E419" s="379"/>
      <c r="F419" s="379"/>
      <c r="G419" s="379"/>
    </row>
    <row r="420" spans="1:7" ht="12">
      <c r="A420" s="379"/>
      <c r="B420" s="379"/>
      <c r="C420" s="379"/>
      <c r="D420" s="379"/>
      <c r="E420" s="379"/>
      <c r="F420" s="379"/>
      <c r="G420" s="379"/>
    </row>
    <row r="421" spans="1:7" ht="12">
      <c r="A421" s="379"/>
      <c r="B421" s="379"/>
      <c r="C421" s="379"/>
      <c r="D421" s="379"/>
      <c r="E421" s="379"/>
      <c r="F421" s="379"/>
      <c r="G421" s="379"/>
    </row>
    <row r="422" spans="1:7" ht="12">
      <c r="A422" s="379"/>
      <c r="B422" s="379"/>
      <c r="C422" s="379"/>
      <c r="D422" s="379"/>
      <c r="E422" s="379"/>
      <c r="F422" s="379"/>
      <c r="G422" s="379"/>
    </row>
    <row r="423" spans="1:7" ht="12">
      <c r="A423" s="379"/>
      <c r="B423" s="379"/>
      <c r="C423" s="379"/>
      <c r="D423" s="379"/>
      <c r="E423" s="379"/>
      <c r="F423" s="379"/>
      <c r="G423" s="379"/>
    </row>
    <row r="424" spans="1:7" ht="12">
      <c r="A424" s="379"/>
      <c r="B424" s="379"/>
      <c r="C424" s="379"/>
      <c r="D424" s="379"/>
      <c r="E424" s="379"/>
      <c r="F424" s="379"/>
      <c r="G424" s="379"/>
    </row>
    <row r="425" spans="1:7" ht="12">
      <c r="A425" s="379"/>
      <c r="B425" s="379"/>
      <c r="C425" s="379"/>
      <c r="D425" s="379"/>
      <c r="E425" s="379"/>
      <c r="F425" s="379"/>
      <c r="G425" s="379"/>
    </row>
    <row r="426" spans="1:7" ht="12">
      <c r="A426" s="379"/>
      <c r="B426" s="379"/>
      <c r="C426" s="379"/>
      <c r="D426" s="379"/>
      <c r="E426" s="379"/>
      <c r="F426" s="379"/>
      <c r="G426" s="379"/>
    </row>
    <row r="427" spans="1:7" ht="12">
      <c r="A427" s="379"/>
      <c r="B427" s="379"/>
      <c r="C427" s="379"/>
      <c r="D427" s="379"/>
      <c r="E427" s="379"/>
      <c r="F427" s="379"/>
      <c r="G427" s="379"/>
    </row>
    <row r="428" spans="1:7" ht="12">
      <c r="A428" s="379"/>
      <c r="B428" s="379"/>
      <c r="C428" s="379"/>
      <c r="D428" s="379"/>
      <c r="E428" s="379"/>
      <c r="F428" s="379"/>
      <c r="G428" s="379"/>
    </row>
  </sheetData>
  <mergeCells count="12">
    <mergeCell ref="A6:F6"/>
    <mergeCell ref="A7:F7"/>
    <mergeCell ref="A8:F8"/>
    <mergeCell ref="A10:C10"/>
    <mergeCell ref="A63:F63"/>
    <mergeCell ref="A14:F14"/>
    <mergeCell ref="A11:A12"/>
    <mergeCell ref="B11:B12"/>
    <mergeCell ref="C11:C12"/>
    <mergeCell ref="D10:D12"/>
    <mergeCell ref="E10:E12"/>
    <mergeCell ref="F10:F12"/>
  </mergeCells>
  <printOptions/>
  <pageMargins left="0.3937007874015748" right="0.3937007874015748" top="0.27" bottom="0.2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H1">
      <selection activeCell="I16" sqref="I1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ht="12.75">
      <c r="J1" s="379" t="s">
        <v>354</v>
      </c>
    </row>
    <row r="2" ht="12.75">
      <c r="J2" s="379" t="s">
        <v>355</v>
      </c>
    </row>
    <row r="3" ht="12.75">
      <c r="J3" s="379" t="s">
        <v>218</v>
      </c>
    </row>
    <row r="4" ht="12.75">
      <c r="J4" s="379" t="s">
        <v>714</v>
      </c>
    </row>
    <row r="5" spans="1:10" ht="16.5">
      <c r="A5" s="1057" t="s">
        <v>644</v>
      </c>
      <c r="B5" s="1057"/>
      <c r="C5" s="1057"/>
      <c r="D5" s="1057"/>
      <c r="E5" s="1057"/>
      <c r="F5" s="1057"/>
      <c r="G5" s="1057"/>
      <c r="H5" s="1057"/>
      <c r="I5" s="1057"/>
      <c r="J5" s="1057"/>
    </row>
    <row r="6" spans="1:10" ht="16.5">
      <c r="A6" s="1057" t="s">
        <v>461</v>
      </c>
      <c r="B6" s="1057"/>
      <c r="C6" s="1057"/>
      <c r="D6" s="1057"/>
      <c r="E6" s="1057"/>
      <c r="F6" s="1057"/>
      <c r="G6" s="1057"/>
      <c r="H6" s="1057"/>
      <c r="I6" s="1057"/>
      <c r="J6" s="1057"/>
    </row>
    <row r="7" spans="1:10" ht="6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K8" s="9" t="s">
        <v>626</v>
      </c>
    </row>
    <row r="9" spans="1:11" ht="15" customHeight="1">
      <c r="A9" s="951" t="s">
        <v>645</v>
      </c>
      <c r="B9" s="953" t="s">
        <v>586</v>
      </c>
      <c r="C9" s="954" t="s">
        <v>33</v>
      </c>
      <c r="D9" s="1058" t="s">
        <v>658</v>
      </c>
      <c r="E9" s="1059"/>
      <c r="F9" s="1059"/>
      <c r="G9" s="1060"/>
      <c r="H9" s="954" t="s">
        <v>594</v>
      </c>
      <c r="I9" s="954"/>
      <c r="J9" s="954" t="s">
        <v>34</v>
      </c>
      <c r="K9" s="955" t="s">
        <v>41</v>
      </c>
    </row>
    <row r="10" spans="1:11" ht="15" customHeight="1">
      <c r="A10" s="952"/>
      <c r="B10" s="946"/>
      <c r="C10" s="947"/>
      <c r="D10" s="947" t="s">
        <v>593</v>
      </c>
      <c r="E10" s="1062" t="s">
        <v>592</v>
      </c>
      <c r="F10" s="1063"/>
      <c r="G10" s="1064"/>
      <c r="H10" s="947" t="s">
        <v>593</v>
      </c>
      <c r="I10" s="947" t="s">
        <v>649</v>
      </c>
      <c r="J10" s="947"/>
      <c r="K10" s="956"/>
    </row>
    <row r="11" spans="1:11" ht="18" customHeight="1">
      <c r="A11" s="952"/>
      <c r="B11" s="946"/>
      <c r="C11" s="947"/>
      <c r="D11" s="947"/>
      <c r="E11" s="1061" t="s">
        <v>35</v>
      </c>
      <c r="F11" s="1062" t="s">
        <v>592</v>
      </c>
      <c r="G11" s="1064"/>
      <c r="H11" s="947"/>
      <c r="I11" s="947"/>
      <c r="J11" s="947"/>
      <c r="K11" s="956"/>
    </row>
    <row r="12" spans="1:11" ht="42" customHeight="1">
      <c r="A12" s="952"/>
      <c r="B12" s="946"/>
      <c r="C12" s="947"/>
      <c r="D12" s="947"/>
      <c r="E12" s="1033"/>
      <c r="F12" s="56" t="s">
        <v>32</v>
      </c>
      <c r="G12" s="56" t="s">
        <v>31</v>
      </c>
      <c r="H12" s="947"/>
      <c r="I12" s="947"/>
      <c r="J12" s="947"/>
      <c r="K12" s="956"/>
    </row>
    <row r="13" spans="1:11" ht="7.5" customHeight="1">
      <c r="A13" s="178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9">
        <v>11</v>
      </c>
    </row>
    <row r="14" spans="1:11" ht="19.5" customHeight="1">
      <c r="A14" s="153" t="s">
        <v>596</v>
      </c>
      <c r="B14" s="18" t="s">
        <v>600</v>
      </c>
      <c r="C14" s="18"/>
      <c r="D14" s="18"/>
      <c r="E14" s="18"/>
      <c r="F14" s="19" t="s">
        <v>631</v>
      </c>
      <c r="G14" s="18"/>
      <c r="H14" s="18"/>
      <c r="I14" s="18"/>
      <c r="J14" s="18"/>
      <c r="K14" s="318" t="s">
        <v>631</v>
      </c>
    </row>
    <row r="15" spans="1:11" ht="19.5" customHeight="1">
      <c r="A15" s="319"/>
      <c r="B15" s="313" t="s">
        <v>666</v>
      </c>
      <c r="C15" s="314"/>
      <c r="D15" s="314"/>
      <c r="E15" s="314"/>
      <c r="F15" s="312"/>
      <c r="G15" s="314"/>
      <c r="H15" s="314"/>
      <c r="I15" s="314"/>
      <c r="J15" s="314"/>
      <c r="K15" s="320"/>
    </row>
    <row r="16" spans="1:11" ht="39" customHeight="1">
      <c r="A16" s="326"/>
      <c r="B16" s="315" t="s">
        <v>245</v>
      </c>
      <c r="C16" s="316">
        <v>129184</v>
      </c>
      <c r="D16" s="316">
        <v>262500</v>
      </c>
      <c r="E16" s="316">
        <v>0</v>
      </c>
      <c r="F16" s="317" t="s">
        <v>631</v>
      </c>
      <c r="G16" s="316">
        <v>0</v>
      </c>
      <c r="H16" s="316">
        <v>243500</v>
      </c>
      <c r="I16" s="316">
        <v>19000</v>
      </c>
      <c r="J16" s="316">
        <f>C16+D16-H16</f>
        <v>148184</v>
      </c>
      <c r="K16" s="321" t="s">
        <v>631</v>
      </c>
    </row>
    <row r="17" spans="1:11" ht="39.75" customHeight="1">
      <c r="A17" s="327"/>
      <c r="B17" s="309" t="s">
        <v>246</v>
      </c>
      <c r="C17" s="310">
        <v>0</v>
      </c>
      <c r="D17" s="310">
        <v>155196</v>
      </c>
      <c r="E17" s="310">
        <v>0</v>
      </c>
      <c r="F17" s="311" t="s">
        <v>631</v>
      </c>
      <c r="G17" s="310">
        <v>0</v>
      </c>
      <c r="H17" s="310">
        <v>155196</v>
      </c>
      <c r="I17" s="310">
        <v>0</v>
      </c>
      <c r="J17" s="316">
        <f>C17+D17-H17</f>
        <v>0</v>
      </c>
      <c r="K17" s="322" t="s">
        <v>631</v>
      </c>
    </row>
    <row r="18" spans="1:11" s="49" customFormat="1" ht="19.5" customHeight="1" thickBot="1">
      <c r="A18" s="1055" t="s">
        <v>19</v>
      </c>
      <c r="B18" s="1056"/>
      <c r="C18" s="323">
        <f>SUM(C16:C17)</f>
        <v>129184</v>
      </c>
      <c r="D18" s="323">
        <f>SUM(D16:D17)</f>
        <v>417696</v>
      </c>
      <c r="E18" s="323">
        <f>SUM(E16:E17)</f>
        <v>0</v>
      </c>
      <c r="F18" s="324" t="s">
        <v>221</v>
      </c>
      <c r="G18" s="323">
        <f>SUM(G16:G17)</f>
        <v>0</v>
      </c>
      <c r="H18" s="323">
        <f>SUM(H16:H17)</f>
        <v>398696</v>
      </c>
      <c r="I18" s="323">
        <f>SUM(I16:I17)</f>
        <v>19000</v>
      </c>
      <c r="J18" s="323">
        <f>SUM(J16:J17)</f>
        <v>148184</v>
      </c>
      <c r="K18" s="325" t="s">
        <v>221</v>
      </c>
    </row>
    <row r="19" ht="4.5" customHeight="1"/>
    <row r="20" ht="12.75" customHeight="1">
      <c r="A20" s="57" t="s">
        <v>36</v>
      </c>
    </row>
    <row r="21" ht="14.25">
      <c r="A21" s="57" t="s">
        <v>37</v>
      </c>
    </row>
    <row r="22" ht="12.75">
      <c r="A22" s="57" t="s">
        <v>40</v>
      </c>
    </row>
    <row r="23" ht="12.75">
      <c r="A23" s="57" t="s">
        <v>53</v>
      </c>
    </row>
  </sheetData>
  <mergeCells count="16">
    <mergeCell ref="E10:G10"/>
    <mergeCell ref="F11:G11"/>
    <mergeCell ref="K9:K12"/>
    <mergeCell ref="H10:H12"/>
    <mergeCell ref="I10:I12"/>
    <mergeCell ref="J9:J12"/>
    <mergeCell ref="A18:B18"/>
    <mergeCell ref="H9:I9"/>
    <mergeCell ref="A5:J5"/>
    <mergeCell ref="A6:J6"/>
    <mergeCell ref="A9:A12"/>
    <mergeCell ref="B9:B12"/>
    <mergeCell ref="C9:C12"/>
    <mergeCell ref="D10:D12"/>
    <mergeCell ref="D9:G9"/>
    <mergeCell ref="E11:E12"/>
  </mergeCells>
  <printOptions horizontalCentered="1"/>
  <pageMargins left="0.2" right="0.51" top="1.63" bottom="0.6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workbookViewId="0" topLeftCell="D40">
      <selection activeCell="F9" sqref="F9"/>
    </sheetView>
  </sheetViews>
  <sheetFormatPr defaultColWidth="9.00390625" defaultRowHeight="12.75"/>
  <cols>
    <col min="1" max="1" width="3.00390625" style="172" customWidth="1"/>
    <col min="2" max="2" width="5.125" style="172" customWidth="1"/>
    <col min="3" max="3" width="7.25390625" style="172" customWidth="1"/>
    <col min="4" max="4" width="75.375" style="172" customWidth="1"/>
    <col min="5" max="5" width="13.00390625" style="172" customWidth="1"/>
    <col min="6" max="16384" width="9.125" style="172" customWidth="1"/>
  </cols>
  <sheetData>
    <row r="1" spans="4:5" ht="12">
      <c r="D1" s="174"/>
      <c r="E1" s="173" t="s">
        <v>558</v>
      </c>
    </row>
    <row r="2" spans="4:5" ht="12">
      <c r="D2" s="174"/>
      <c r="E2" s="173" t="s">
        <v>70</v>
      </c>
    </row>
    <row r="3" spans="4:5" ht="12">
      <c r="D3" s="174"/>
      <c r="E3" s="173" t="s">
        <v>218</v>
      </c>
    </row>
    <row r="4" spans="4:5" ht="12">
      <c r="D4" s="174"/>
      <c r="E4" s="173" t="s">
        <v>775</v>
      </c>
    </row>
    <row r="5" spans="4:5" ht="9.75">
      <c r="D5" s="174"/>
      <c r="E5" s="174"/>
    </row>
    <row r="6" spans="4:5" ht="9.75">
      <c r="D6" s="174"/>
      <c r="E6" s="174"/>
    </row>
    <row r="7" spans="4:5" ht="9.75">
      <c r="D7" s="174"/>
      <c r="E7" s="174"/>
    </row>
    <row r="8" spans="4:5" ht="18">
      <c r="D8" s="1065" t="s">
        <v>421</v>
      </c>
      <c r="E8" s="1065"/>
    </row>
    <row r="9" spans="4:5" ht="18">
      <c r="D9" s="1041" t="s">
        <v>422</v>
      </c>
      <c r="E9" s="1041"/>
    </row>
    <row r="10" spans="4:5" ht="18">
      <c r="D10" s="1065" t="s">
        <v>423</v>
      </c>
      <c r="E10" s="1065"/>
    </row>
    <row r="11" ht="9.75">
      <c r="D11" s="459"/>
    </row>
    <row r="12" spans="4:5" ht="12.75" thickBot="1">
      <c r="D12" s="460"/>
      <c r="E12" s="461" t="s">
        <v>219</v>
      </c>
    </row>
    <row r="13" spans="1:5" ht="14.25">
      <c r="A13" s="462"/>
      <c r="B13" s="463"/>
      <c r="C13" s="463"/>
      <c r="D13" s="464"/>
      <c r="E13" s="465"/>
    </row>
    <row r="14" spans="1:5" ht="14.25">
      <c r="A14" s="466" t="s">
        <v>424</v>
      </c>
      <c r="B14" s="467" t="s">
        <v>588</v>
      </c>
      <c r="C14" s="467" t="s">
        <v>589</v>
      </c>
      <c r="D14" s="468" t="s">
        <v>627</v>
      </c>
      <c r="E14" s="469" t="s">
        <v>628</v>
      </c>
    </row>
    <row r="15" spans="1:5" ht="15" thickBot="1">
      <c r="A15" s="470"/>
      <c r="B15" s="471"/>
      <c r="C15" s="471"/>
      <c r="D15" s="472"/>
      <c r="E15" s="473"/>
    </row>
    <row r="16" spans="1:5" ht="14.25">
      <c r="A16" s="474">
        <v>1</v>
      </c>
      <c r="B16" s="475">
        <v>2</v>
      </c>
      <c r="C16" s="475">
        <v>3</v>
      </c>
      <c r="D16" s="475">
        <v>4</v>
      </c>
      <c r="E16" s="476">
        <v>5</v>
      </c>
    </row>
    <row r="17" spans="1:5" ht="15.75" thickBot="1">
      <c r="A17" s="477">
        <v>1</v>
      </c>
      <c r="B17" s="478">
        <v>630</v>
      </c>
      <c r="C17" s="478">
        <v>63003</v>
      </c>
      <c r="D17" s="479" t="s">
        <v>425</v>
      </c>
      <c r="E17" s="480">
        <f>SUM(E18)</f>
        <v>1000</v>
      </c>
    </row>
    <row r="18" spans="1:5" ht="14.25">
      <c r="A18" s="481"/>
      <c r="B18" s="482"/>
      <c r="C18" s="483"/>
      <c r="D18" s="484" t="s">
        <v>426</v>
      </c>
      <c r="E18" s="485">
        <v>1000</v>
      </c>
    </row>
    <row r="19" spans="1:5" ht="14.25">
      <c r="A19" s="481"/>
      <c r="B19" s="482"/>
      <c r="C19" s="483"/>
      <c r="D19" s="486"/>
      <c r="E19" s="487"/>
    </row>
    <row r="20" spans="1:5" ht="15.75" thickBot="1">
      <c r="A20" s="488">
        <v>2</v>
      </c>
      <c r="B20" s="489">
        <v>801</v>
      </c>
      <c r="C20" s="490">
        <v>80195</v>
      </c>
      <c r="D20" s="491" t="s">
        <v>425</v>
      </c>
      <c r="E20" s="492">
        <f>SUM(E21:E22)</f>
        <v>10000</v>
      </c>
    </row>
    <row r="21" spans="1:5" ht="28.5">
      <c r="A21" s="481"/>
      <c r="B21" s="482"/>
      <c r="C21" s="482"/>
      <c r="D21" s="493" t="s">
        <v>427</v>
      </c>
      <c r="E21" s="494">
        <v>6000</v>
      </c>
    </row>
    <row r="22" spans="1:5" ht="14.25">
      <c r="A22" s="481"/>
      <c r="B22" s="482"/>
      <c r="C22" s="482"/>
      <c r="D22" s="495" t="s">
        <v>483</v>
      </c>
      <c r="E22" s="496">
        <v>4000</v>
      </c>
    </row>
    <row r="23" spans="1:5" ht="14.25">
      <c r="A23" s="481"/>
      <c r="B23" s="482"/>
      <c r="C23" s="483"/>
      <c r="D23" s="486"/>
      <c r="E23" s="497"/>
    </row>
    <row r="24" spans="1:5" ht="15.75" thickBot="1">
      <c r="A24" s="488">
        <v>3</v>
      </c>
      <c r="B24" s="489">
        <v>921</v>
      </c>
      <c r="C24" s="489">
        <v>92105</v>
      </c>
      <c r="D24" s="498" t="s">
        <v>425</v>
      </c>
      <c r="E24" s="499">
        <f>SUM(E25:E27)</f>
        <v>3000</v>
      </c>
    </row>
    <row r="25" spans="1:5" ht="14.25">
      <c r="A25" s="481"/>
      <c r="B25" s="482"/>
      <c r="C25" s="482"/>
      <c r="D25" s="495" t="s">
        <v>428</v>
      </c>
      <c r="E25" s="500">
        <v>1000</v>
      </c>
    </row>
    <row r="26" spans="1:5" ht="14.25">
      <c r="A26" s="481"/>
      <c r="B26" s="482"/>
      <c r="C26" s="482"/>
      <c r="D26" s="495" t="s">
        <v>429</v>
      </c>
      <c r="E26" s="496">
        <v>1000</v>
      </c>
    </row>
    <row r="27" spans="1:5" ht="14.25">
      <c r="A27" s="481"/>
      <c r="B27" s="482"/>
      <c r="C27" s="482"/>
      <c r="D27" s="495" t="s">
        <v>430</v>
      </c>
      <c r="E27" s="501">
        <v>1000</v>
      </c>
    </row>
    <row r="28" spans="1:5" ht="14.25">
      <c r="A28" s="481"/>
      <c r="B28" s="482"/>
      <c r="C28" s="483"/>
      <c r="D28" s="486"/>
      <c r="E28" s="502"/>
    </row>
    <row r="29" spans="1:5" ht="15.75" thickBot="1">
      <c r="A29" s="488">
        <v>4</v>
      </c>
      <c r="B29" s="489">
        <v>926</v>
      </c>
      <c r="C29" s="489">
        <v>92605</v>
      </c>
      <c r="D29" s="503" t="s">
        <v>425</v>
      </c>
      <c r="E29" s="492">
        <f>SUM(E30:E46)</f>
        <v>70000</v>
      </c>
    </row>
    <row r="30" spans="1:5" ht="14.25">
      <c r="A30" s="481"/>
      <c r="B30" s="482"/>
      <c r="C30" s="482"/>
      <c r="D30" s="504" t="s">
        <v>431</v>
      </c>
      <c r="E30" s="494">
        <v>12000</v>
      </c>
    </row>
    <row r="31" spans="1:5" ht="14.25">
      <c r="A31" s="481"/>
      <c r="B31" s="482"/>
      <c r="C31" s="482"/>
      <c r="D31" s="505" t="s">
        <v>432</v>
      </c>
      <c r="E31" s="501">
        <v>10000</v>
      </c>
    </row>
    <row r="32" spans="1:5" ht="14.25">
      <c r="A32" s="481"/>
      <c r="B32" s="482"/>
      <c r="C32" s="482"/>
      <c r="D32" s="505" t="s">
        <v>433</v>
      </c>
      <c r="E32" s="501">
        <v>5000</v>
      </c>
    </row>
    <row r="33" spans="1:5" ht="14.25">
      <c r="A33" s="481"/>
      <c r="B33" s="482"/>
      <c r="C33" s="482"/>
      <c r="D33" s="505" t="s">
        <v>434</v>
      </c>
      <c r="E33" s="501">
        <v>3000</v>
      </c>
    </row>
    <row r="34" spans="1:5" ht="28.5">
      <c r="A34" s="481"/>
      <c r="B34" s="482"/>
      <c r="C34" s="482"/>
      <c r="D34" s="506" t="s">
        <v>435</v>
      </c>
      <c r="E34" s="507">
        <v>10000</v>
      </c>
    </row>
    <row r="35" spans="1:5" ht="42.75">
      <c r="A35" s="481"/>
      <c r="B35" s="482"/>
      <c r="C35" s="482"/>
      <c r="D35" s="506" t="s">
        <v>436</v>
      </c>
      <c r="E35" s="501">
        <v>5000</v>
      </c>
    </row>
    <row r="36" spans="1:5" ht="12.75" customHeight="1">
      <c r="A36" s="481"/>
      <c r="B36" s="482"/>
      <c r="C36" s="482"/>
      <c r="D36" s="505" t="s">
        <v>437</v>
      </c>
      <c r="E36" s="501">
        <v>2000</v>
      </c>
    </row>
    <row r="37" spans="1:5" ht="14.25">
      <c r="A37" s="481"/>
      <c r="B37" s="482"/>
      <c r="C37" s="482"/>
      <c r="D37" s="506" t="s">
        <v>438</v>
      </c>
      <c r="E37" s="507">
        <v>2000</v>
      </c>
    </row>
    <row r="38" spans="1:5" ht="14.25">
      <c r="A38" s="481"/>
      <c r="B38" s="482"/>
      <c r="C38" s="482"/>
      <c r="D38" s="505" t="s">
        <v>439</v>
      </c>
      <c r="E38" s="507">
        <v>2000</v>
      </c>
    </row>
    <row r="39" spans="1:5" ht="14.25">
      <c r="A39" s="481"/>
      <c r="B39" s="482"/>
      <c r="C39" s="508"/>
      <c r="D39" s="505" t="s">
        <v>440</v>
      </c>
      <c r="E39" s="501">
        <v>4000</v>
      </c>
    </row>
    <row r="40" spans="1:5" ht="14.25">
      <c r="A40" s="481"/>
      <c r="B40" s="482"/>
      <c r="C40" s="482"/>
      <c r="D40" s="505" t="s">
        <v>441</v>
      </c>
      <c r="E40" s="501">
        <v>2000</v>
      </c>
    </row>
    <row r="41" spans="1:5" ht="14.25">
      <c r="A41" s="481"/>
      <c r="B41" s="482"/>
      <c r="C41" s="482"/>
      <c r="D41" s="505" t="s">
        <v>751</v>
      </c>
      <c r="E41" s="501">
        <v>2000</v>
      </c>
    </row>
    <row r="42" spans="1:5" ht="14.25">
      <c r="A42" s="481"/>
      <c r="B42" s="482"/>
      <c r="C42" s="482"/>
      <c r="D42" s="506" t="s">
        <v>442</v>
      </c>
      <c r="E42" s="501">
        <v>2000</v>
      </c>
    </row>
    <row r="43" spans="1:5" ht="14.25">
      <c r="A43" s="481"/>
      <c r="B43" s="482"/>
      <c r="C43" s="482"/>
      <c r="D43" s="506" t="s">
        <v>443</v>
      </c>
      <c r="E43" s="501">
        <v>2000</v>
      </c>
    </row>
    <row r="44" spans="1:5" ht="14.25">
      <c r="A44" s="481"/>
      <c r="B44" s="482"/>
      <c r="C44" s="482"/>
      <c r="D44" s="506" t="s">
        <v>444</v>
      </c>
      <c r="E44" s="501">
        <v>2000</v>
      </c>
    </row>
    <row r="45" spans="1:5" ht="15" customHeight="1">
      <c r="A45" s="481"/>
      <c r="B45" s="482"/>
      <c r="C45" s="482"/>
      <c r="D45" s="505" t="s">
        <v>445</v>
      </c>
      <c r="E45" s="501">
        <v>2000</v>
      </c>
    </row>
    <row r="46" spans="1:5" ht="42" customHeight="1">
      <c r="A46" s="481"/>
      <c r="B46" s="482"/>
      <c r="C46" s="482"/>
      <c r="D46" s="506" t="s">
        <v>446</v>
      </c>
      <c r="E46" s="501">
        <v>3000</v>
      </c>
    </row>
    <row r="47" spans="1:5" ht="15">
      <c r="A47" s="481"/>
      <c r="B47" s="482"/>
      <c r="C47" s="483"/>
      <c r="D47" s="509"/>
      <c r="E47" s="510"/>
    </row>
    <row r="48" spans="1:5" ht="15.75" thickBot="1">
      <c r="A48" s="488"/>
      <c r="B48" s="489"/>
      <c r="C48" s="489"/>
      <c r="D48" s="511" t="s">
        <v>447</v>
      </c>
      <c r="E48" s="512">
        <f>E29+E24+E20+E17</f>
        <v>84000</v>
      </c>
    </row>
    <row r="49" spans="1:3" ht="12.75">
      <c r="A49" s="177"/>
      <c r="B49" s="177"/>
      <c r="C49" s="177"/>
    </row>
  </sheetData>
  <mergeCells count="3">
    <mergeCell ref="D8:E8"/>
    <mergeCell ref="D10:E10"/>
    <mergeCell ref="D9:E9"/>
  </mergeCells>
  <printOptions/>
  <pageMargins left="0.62" right="0.3937007874015748" top="0.3937007874015748" bottom="0.3937007874015748" header="0.25" footer="0.11811023622047245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workbookViewId="0" topLeftCell="A1">
      <selection activeCell="D23" sqref="D23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5.00390625" style="1" customWidth="1"/>
    <col min="5" max="16384" width="9.125" style="1" customWidth="1"/>
  </cols>
  <sheetData>
    <row r="1" ht="12.75">
      <c r="D1" s="6" t="s">
        <v>356</v>
      </c>
    </row>
    <row r="2" ht="12.75">
      <c r="D2" s="6" t="s">
        <v>357</v>
      </c>
    </row>
    <row r="3" ht="12.75">
      <c r="D3" s="6" t="s">
        <v>218</v>
      </c>
    </row>
    <row r="4" ht="12.75">
      <c r="D4" s="6" t="s">
        <v>714</v>
      </c>
    </row>
    <row r="6" spans="1:11" ht="19.5" customHeight="1">
      <c r="A6" s="883" t="s">
        <v>54</v>
      </c>
      <c r="B6" s="883"/>
      <c r="C6" s="883"/>
      <c r="D6" s="883"/>
      <c r="E6" s="5"/>
      <c r="F6" s="5"/>
      <c r="G6" s="5"/>
      <c r="H6" s="5"/>
      <c r="I6" s="5"/>
      <c r="J6" s="5"/>
      <c r="K6" s="5"/>
    </row>
    <row r="7" spans="1:8" ht="19.5" customHeight="1">
      <c r="A7" s="883" t="s">
        <v>629</v>
      </c>
      <c r="B7" s="883"/>
      <c r="C7" s="883"/>
      <c r="D7" s="883"/>
      <c r="E7" s="5"/>
      <c r="F7" s="5"/>
      <c r="G7" s="5"/>
      <c r="H7" s="5"/>
    </row>
    <row r="9" ht="12.75">
      <c r="D9" s="9" t="s">
        <v>626</v>
      </c>
    </row>
    <row r="10" spans="1:11" ht="19.5" customHeight="1">
      <c r="A10" s="15" t="s">
        <v>645</v>
      </c>
      <c r="B10" s="15" t="s">
        <v>590</v>
      </c>
      <c r="C10" s="15" t="s">
        <v>586</v>
      </c>
      <c r="D10" s="15" t="s">
        <v>642</v>
      </c>
      <c r="E10" s="7"/>
      <c r="F10" s="7"/>
      <c r="G10" s="7"/>
      <c r="H10" s="7"/>
      <c r="I10" s="7"/>
      <c r="J10" s="8"/>
      <c r="K10" s="8"/>
    </row>
    <row r="11" spans="1:11" ht="19.5" customHeight="1">
      <c r="A11" s="20" t="s">
        <v>596</v>
      </c>
      <c r="B11" s="20"/>
      <c r="C11" s="29" t="s">
        <v>648</v>
      </c>
      <c r="D11" s="213">
        <v>70820</v>
      </c>
      <c r="E11" s="7"/>
      <c r="F11" s="7"/>
      <c r="G11" s="7"/>
      <c r="H11" s="7"/>
      <c r="I11" s="7"/>
      <c r="J11" s="8"/>
      <c r="K11" s="8"/>
    </row>
    <row r="12" spans="1:11" ht="19.5" customHeight="1">
      <c r="A12" s="20" t="s">
        <v>601</v>
      </c>
      <c r="B12" s="20"/>
      <c r="C12" s="29" t="s">
        <v>595</v>
      </c>
      <c r="D12" s="213">
        <f>D13+D14</f>
        <v>160200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30" t="s">
        <v>597</v>
      </c>
      <c r="B13" s="215" t="s">
        <v>253</v>
      </c>
      <c r="C13" s="31" t="s">
        <v>249</v>
      </c>
      <c r="D13" s="211">
        <v>200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24" t="s">
        <v>598</v>
      </c>
      <c r="B14" s="24">
        <v>2960</v>
      </c>
      <c r="C14" s="32" t="s">
        <v>248</v>
      </c>
      <c r="D14" s="212">
        <v>160000</v>
      </c>
      <c r="E14" s="7"/>
      <c r="F14" s="7"/>
      <c r="G14" s="7"/>
      <c r="H14" s="7"/>
      <c r="I14" s="7"/>
      <c r="J14" s="8"/>
      <c r="K14" s="8"/>
    </row>
    <row r="15" spans="1:11" ht="19.5" customHeight="1">
      <c r="A15" s="20" t="s">
        <v>602</v>
      </c>
      <c r="B15" s="20"/>
      <c r="C15" s="29" t="s">
        <v>594</v>
      </c>
      <c r="D15" s="213">
        <f>D16+D22</f>
        <v>231020</v>
      </c>
      <c r="E15" s="7"/>
      <c r="F15" s="7"/>
      <c r="G15" s="7"/>
      <c r="H15" s="7"/>
      <c r="I15" s="7"/>
      <c r="J15" s="8"/>
      <c r="K15" s="8"/>
    </row>
    <row r="16" spans="1:11" ht="19.5" customHeight="1">
      <c r="A16" s="22" t="s">
        <v>597</v>
      </c>
      <c r="B16" s="22"/>
      <c r="C16" s="33" t="s">
        <v>622</v>
      </c>
      <c r="D16" s="214">
        <f>SUM(D17:D21)</f>
        <v>231020</v>
      </c>
      <c r="E16" s="7"/>
      <c r="F16" s="7"/>
      <c r="G16" s="7"/>
      <c r="H16" s="7"/>
      <c r="I16" s="7"/>
      <c r="J16" s="8"/>
      <c r="K16" s="8"/>
    </row>
    <row r="17" spans="1:11" ht="19.5" customHeight="1">
      <c r="A17" s="24"/>
      <c r="B17" s="24">
        <v>2960</v>
      </c>
      <c r="C17" s="32" t="s">
        <v>248</v>
      </c>
      <c r="D17" s="212">
        <v>140813</v>
      </c>
      <c r="E17" s="7"/>
      <c r="F17" s="7"/>
      <c r="G17" s="7"/>
      <c r="H17" s="7"/>
      <c r="I17" s="7"/>
      <c r="J17" s="8"/>
      <c r="K17" s="8"/>
    </row>
    <row r="18" spans="1:11" ht="19.5" customHeight="1">
      <c r="A18" s="24"/>
      <c r="B18" s="24">
        <v>4210</v>
      </c>
      <c r="C18" s="32" t="s">
        <v>87</v>
      </c>
      <c r="D18" s="212">
        <v>65207</v>
      </c>
      <c r="E18" s="7"/>
      <c r="F18" s="7"/>
      <c r="G18" s="7"/>
      <c r="H18" s="7"/>
      <c r="I18" s="7"/>
      <c r="J18" s="8"/>
      <c r="K18" s="8"/>
    </row>
    <row r="19" spans="1:11" ht="20.25" customHeight="1">
      <c r="A19" s="24"/>
      <c r="B19" s="24">
        <v>4300</v>
      </c>
      <c r="C19" s="32" t="s">
        <v>76</v>
      </c>
      <c r="D19" s="212">
        <v>12000</v>
      </c>
      <c r="E19" s="7"/>
      <c r="F19" s="7"/>
      <c r="G19" s="7"/>
      <c r="H19" s="7"/>
      <c r="I19" s="7"/>
      <c r="J19" s="8"/>
      <c r="K19" s="8"/>
    </row>
    <row r="20" spans="1:11" ht="20.25" customHeight="1">
      <c r="A20" s="24"/>
      <c r="B20" s="24">
        <v>4700</v>
      </c>
      <c r="C20" s="32" t="s">
        <v>250</v>
      </c>
      <c r="D20" s="212">
        <v>4000</v>
      </c>
      <c r="E20" s="7"/>
      <c r="F20" s="7"/>
      <c r="G20" s="7"/>
      <c r="H20" s="7"/>
      <c r="I20" s="7"/>
      <c r="J20" s="8"/>
      <c r="K20" s="8"/>
    </row>
    <row r="21" spans="1:11" ht="20.25" customHeight="1">
      <c r="A21" s="24"/>
      <c r="B21" s="24">
        <v>4810</v>
      </c>
      <c r="C21" s="32" t="s">
        <v>141</v>
      </c>
      <c r="D21" s="212">
        <v>9000</v>
      </c>
      <c r="E21" s="7"/>
      <c r="F21" s="7"/>
      <c r="G21" s="7"/>
      <c r="H21" s="7"/>
      <c r="I21" s="7"/>
      <c r="J21" s="8"/>
      <c r="K21" s="8"/>
    </row>
    <row r="22" spans="1:11" ht="19.5" customHeight="1">
      <c r="A22" s="24" t="s">
        <v>598</v>
      </c>
      <c r="B22" s="24"/>
      <c r="C22" s="32" t="s">
        <v>624</v>
      </c>
      <c r="D22" s="212">
        <v>0</v>
      </c>
      <c r="E22" s="7"/>
      <c r="F22" s="7"/>
      <c r="G22" s="7"/>
      <c r="H22" s="7"/>
      <c r="I22" s="7"/>
      <c r="J22" s="8"/>
      <c r="K22" s="8"/>
    </row>
    <row r="23" spans="1:11" ht="19.5" customHeight="1">
      <c r="A23" s="20" t="s">
        <v>623</v>
      </c>
      <c r="B23" s="20"/>
      <c r="C23" s="29" t="s">
        <v>650</v>
      </c>
      <c r="D23" s="213">
        <f>D11+D12-D15</f>
        <v>0</v>
      </c>
      <c r="E23" s="7"/>
      <c r="F23" s="7"/>
      <c r="G23" s="7"/>
      <c r="H23" s="7"/>
      <c r="I23" s="7"/>
      <c r="J23" s="8"/>
      <c r="K23" s="8"/>
    </row>
    <row r="24" spans="1:11" ht="15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8"/>
      <c r="K25" s="8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5">
      <c r="A27" s="7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</sheetData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B28" sqref="B28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7.75390625" style="1" customWidth="1"/>
    <col min="5" max="16384" width="9.125" style="1" customWidth="1"/>
  </cols>
  <sheetData>
    <row r="1" ht="12.75">
      <c r="D1" s="6" t="s">
        <v>358</v>
      </c>
    </row>
    <row r="2" ht="12.75">
      <c r="D2" s="6" t="s">
        <v>357</v>
      </c>
    </row>
    <row r="3" ht="12.75">
      <c r="D3" s="6" t="s">
        <v>218</v>
      </c>
    </row>
    <row r="4" ht="12.75">
      <c r="D4" s="6" t="s">
        <v>714</v>
      </c>
    </row>
    <row r="6" spans="1:11" ht="19.5" customHeight="1">
      <c r="A6" s="883" t="s">
        <v>54</v>
      </c>
      <c r="B6" s="883"/>
      <c r="C6" s="883"/>
      <c r="D6" s="883"/>
      <c r="E6" s="5"/>
      <c r="F6" s="5"/>
      <c r="G6" s="5"/>
      <c r="H6" s="5"/>
      <c r="I6" s="5"/>
      <c r="J6" s="5"/>
      <c r="K6" s="5"/>
    </row>
    <row r="7" spans="1:8" ht="19.5" customHeight="1">
      <c r="A7" s="883" t="s">
        <v>1</v>
      </c>
      <c r="B7" s="883"/>
      <c r="C7" s="883"/>
      <c r="D7" s="883"/>
      <c r="E7" s="5"/>
      <c r="F7" s="5"/>
      <c r="G7" s="5"/>
      <c r="H7" s="5"/>
    </row>
    <row r="8" ht="18">
      <c r="C8" s="5" t="s">
        <v>364</v>
      </c>
    </row>
    <row r="9" ht="12.75">
      <c r="D9" s="9" t="s">
        <v>626</v>
      </c>
    </row>
    <row r="10" spans="1:11" ht="19.5" customHeight="1">
      <c r="A10" s="15" t="s">
        <v>645</v>
      </c>
      <c r="B10" s="15" t="s">
        <v>590</v>
      </c>
      <c r="C10" s="15" t="s">
        <v>586</v>
      </c>
      <c r="D10" s="15" t="s">
        <v>642</v>
      </c>
      <c r="E10" s="7"/>
      <c r="F10" s="7"/>
      <c r="G10" s="7"/>
      <c r="H10" s="7"/>
      <c r="I10" s="7"/>
      <c r="J10" s="8"/>
      <c r="K10" s="8"/>
    </row>
    <row r="11" spans="1:11" ht="19.5" customHeight="1">
      <c r="A11" s="20" t="s">
        <v>596</v>
      </c>
      <c r="B11" s="20"/>
      <c r="C11" s="29" t="s">
        <v>648</v>
      </c>
      <c r="D11" s="213">
        <v>160038</v>
      </c>
      <c r="E11" s="7"/>
      <c r="F11" s="7"/>
      <c r="G11" s="7"/>
      <c r="H11" s="7"/>
      <c r="I11" s="7"/>
      <c r="J11" s="8"/>
      <c r="K11" s="8"/>
    </row>
    <row r="12" spans="1:11" ht="19.5" customHeight="1">
      <c r="A12" s="20" t="s">
        <v>601</v>
      </c>
      <c r="B12" s="20"/>
      <c r="C12" s="29" t="s">
        <v>365</v>
      </c>
      <c r="D12" s="213">
        <f>SUM(D13:D14)</f>
        <v>460000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215" t="s">
        <v>254</v>
      </c>
      <c r="B13" s="215" t="s">
        <v>252</v>
      </c>
      <c r="C13" s="31" t="s">
        <v>247</v>
      </c>
      <c r="D13" s="211">
        <v>450000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216" t="s">
        <v>255</v>
      </c>
      <c r="B14" s="216" t="s">
        <v>253</v>
      </c>
      <c r="C14" s="32" t="s">
        <v>249</v>
      </c>
      <c r="D14" s="212">
        <v>10000</v>
      </c>
      <c r="E14" s="7"/>
      <c r="F14" s="7"/>
      <c r="G14" s="7"/>
      <c r="H14" s="7"/>
      <c r="I14" s="7"/>
      <c r="J14" s="8"/>
      <c r="K14" s="8"/>
    </row>
    <row r="15" spans="1:11" ht="19.5" customHeight="1">
      <c r="A15" s="20" t="s">
        <v>602</v>
      </c>
      <c r="B15" s="20"/>
      <c r="C15" s="29" t="s">
        <v>366</v>
      </c>
      <c r="D15" s="213">
        <f>D16+D26</f>
        <v>610000</v>
      </c>
      <c r="E15" s="7"/>
      <c r="F15" s="7"/>
      <c r="G15" s="7"/>
      <c r="H15" s="7"/>
      <c r="I15" s="7"/>
      <c r="J15" s="8"/>
      <c r="K15" s="8"/>
    </row>
    <row r="16" spans="1:11" ht="19.5" customHeight="1">
      <c r="A16" s="22" t="s">
        <v>597</v>
      </c>
      <c r="B16" s="22"/>
      <c r="C16" s="33" t="s">
        <v>367</v>
      </c>
      <c r="D16" s="214">
        <f>SUM(D17:D25)</f>
        <v>553000</v>
      </c>
      <c r="E16" s="7"/>
      <c r="F16" s="7"/>
      <c r="G16" s="7"/>
      <c r="H16" s="7"/>
      <c r="I16" s="7"/>
      <c r="J16" s="8"/>
      <c r="K16" s="8"/>
    </row>
    <row r="17" spans="1:11" ht="15" customHeight="1">
      <c r="A17" s="24"/>
      <c r="B17" s="24">
        <v>2960</v>
      </c>
      <c r="C17" s="32" t="s">
        <v>248</v>
      </c>
      <c r="D17" s="212">
        <v>93000</v>
      </c>
      <c r="E17" s="7"/>
      <c r="F17" s="7"/>
      <c r="G17" s="7"/>
      <c r="H17" s="7"/>
      <c r="I17" s="7"/>
      <c r="J17" s="8"/>
      <c r="K17" s="8"/>
    </row>
    <row r="18" spans="1:11" ht="15" customHeight="1">
      <c r="A18" s="24"/>
      <c r="B18" s="24">
        <v>4210</v>
      </c>
      <c r="C18" s="32" t="s">
        <v>87</v>
      </c>
      <c r="D18" s="212">
        <v>17000</v>
      </c>
      <c r="E18" s="7"/>
      <c r="F18" s="7"/>
      <c r="G18" s="7"/>
      <c r="H18" s="7"/>
      <c r="I18" s="7"/>
      <c r="J18" s="8"/>
      <c r="K18" s="8"/>
    </row>
    <row r="19" spans="1:11" ht="15" customHeight="1">
      <c r="A19" s="24"/>
      <c r="B19" s="24">
        <v>4270</v>
      </c>
      <c r="C19" s="32" t="s">
        <v>89</v>
      </c>
      <c r="D19" s="212">
        <v>6400</v>
      </c>
      <c r="E19" s="7"/>
      <c r="F19" s="7"/>
      <c r="G19" s="7"/>
      <c r="H19" s="7"/>
      <c r="I19" s="7"/>
      <c r="J19" s="8"/>
      <c r="K19" s="8"/>
    </row>
    <row r="20" spans="1:11" ht="15" customHeight="1">
      <c r="A20" s="24"/>
      <c r="B20" s="24">
        <v>4300</v>
      </c>
      <c r="C20" s="32" t="s">
        <v>76</v>
      </c>
      <c r="D20" s="212">
        <v>400000</v>
      </c>
      <c r="E20" s="7"/>
      <c r="F20" s="7"/>
      <c r="G20" s="7"/>
      <c r="H20" s="7"/>
      <c r="I20" s="7"/>
      <c r="J20" s="8"/>
      <c r="K20" s="8"/>
    </row>
    <row r="21" spans="1:11" ht="15" customHeight="1">
      <c r="A21" s="24"/>
      <c r="B21" s="24">
        <v>4350</v>
      </c>
      <c r="C21" s="32" t="s">
        <v>91</v>
      </c>
      <c r="D21" s="212">
        <v>1000</v>
      </c>
      <c r="E21" s="7"/>
      <c r="F21" s="7"/>
      <c r="G21" s="7"/>
      <c r="H21" s="7"/>
      <c r="I21" s="7"/>
      <c r="J21" s="8"/>
      <c r="K21" s="8"/>
    </row>
    <row r="22" spans="1:11" ht="15" customHeight="1">
      <c r="A22" s="24"/>
      <c r="B22" s="24">
        <v>4530</v>
      </c>
      <c r="C22" s="32" t="s">
        <v>101</v>
      </c>
      <c r="D22" s="212">
        <v>5600</v>
      </c>
      <c r="E22" s="7"/>
      <c r="F22" s="7"/>
      <c r="G22" s="7"/>
      <c r="H22" s="7"/>
      <c r="I22" s="7"/>
      <c r="J22" s="8"/>
      <c r="K22" s="8"/>
    </row>
    <row r="23" spans="1:11" ht="15" customHeight="1">
      <c r="A23" s="24"/>
      <c r="B23" s="24">
        <v>4700</v>
      </c>
      <c r="C23" s="32" t="s">
        <v>250</v>
      </c>
      <c r="D23" s="212">
        <v>5000</v>
      </c>
      <c r="E23" s="7"/>
      <c r="F23" s="7"/>
      <c r="G23" s="7"/>
      <c r="H23" s="7"/>
      <c r="I23" s="7"/>
      <c r="J23" s="8"/>
      <c r="K23" s="8"/>
    </row>
    <row r="24" spans="1:11" ht="15" customHeight="1">
      <c r="A24" s="24"/>
      <c r="B24" s="24">
        <v>4740</v>
      </c>
      <c r="C24" s="32" t="s">
        <v>251</v>
      </c>
      <c r="D24" s="212">
        <v>3000</v>
      </c>
      <c r="E24" s="7"/>
      <c r="F24" s="7"/>
      <c r="G24" s="7"/>
      <c r="H24" s="7"/>
      <c r="I24" s="7"/>
      <c r="J24" s="8"/>
      <c r="K24" s="8"/>
    </row>
    <row r="25" spans="1:11" ht="15" customHeight="1">
      <c r="A25" s="24"/>
      <c r="B25" s="24">
        <v>4750</v>
      </c>
      <c r="C25" s="32" t="s">
        <v>125</v>
      </c>
      <c r="D25" s="212">
        <v>22000</v>
      </c>
      <c r="E25" s="7"/>
      <c r="F25" s="7"/>
      <c r="G25" s="7"/>
      <c r="H25" s="7"/>
      <c r="I25" s="7"/>
      <c r="J25" s="8"/>
      <c r="K25" s="8"/>
    </row>
    <row r="26" spans="1:11" ht="19.5" customHeight="1">
      <c r="A26" s="24" t="s">
        <v>598</v>
      </c>
      <c r="B26" s="24"/>
      <c r="C26" s="32" t="s">
        <v>368</v>
      </c>
      <c r="D26" s="212">
        <f>SUM(D27)</f>
        <v>57000</v>
      </c>
      <c r="E26" s="7"/>
      <c r="F26" s="7"/>
      <c r="G26" s="7"/>
      <c r="H26" s="7"/>
      <c r="I26" s="7"/>
      <c r="J26" s="8"/>
      <c r="K26" s="8"/>
    </row>
    <row r="27" spans="1:11" ht="15">
      <c r="A27" s="24"/>
      <c r="B27" s="24">
        <v>6120</v>
      </c>
      <c r="C27" s="34" t="s">
        <v>121</v>
      </c>
      <c r="D27" s="212">
        <v>57000</v>
      </c>
      <c r="E27" s="7"/>
      <c r="F27" s="7"/>
      <c r="G27" s="7"/>
      <c r="H27" s="7"/>
      <c r="I27" s="7"/>
      <c r="J27" s="8"/>
      <c r="K27" s="8"/>
    </row>
    <row r="28" spans="1:11" ht="19.5" customHeight="1">
      <c r="A28" s="20" t="s">
        <v>623</v>
      </c>
      <c r="B28" s="20"/>
      <c r="C28" s="29" t="s">
        <v>650</v>
      </c>
      <c r="D28" s="213">
        <f>D11+D12-D15</f>
        <v>10038</v>
      </c>
      <c r="E28" s="7"/>
      <c r="F28" s="7"/>
      <c r="G28" s="7"/>
      <c r="H28" s="7"/>
      <c r="I28" s="7"/>
      <c r="J28" s="8"/>
      <c r="K28" s="8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</row>
    <row r="30" spans="1:11" ht="15">
      <c r="A30" s="7"/>
      <c r="B30" s="7"/>
      <c r="C30" s="7"/>
      <c r="D30" s="7"/>
      <c r="E30" s="7"/>
      <c r="F30" s="7"/>
      <c r="G30" s="7"/>
      <c r="H30" s="7"/>
      <c r="I30" s="7"/>
      <c r="J30" s="8"/>
      <c r="K30" s="8"/>
    </row>
    <row r="31" spans="1:11" ht="15">
      <c r="A31" s="7"/>
      <c r="B31" s="7"/>
      <c r="C31" s="7"/>
      <c r="D31" s="7"/>
      <c r="E31" s="7"/>
      <c r="F31" s="7"/>
      <c r="G31" s="7"/>
      <c r="H31" s="7"/>
      <c r="I31" s="7"/>
      <c r="J31" s="8"/>
      <c r="K31" s="8"/>
    </row>
    <row r="32" spans="1:11" ht="15">
      <c r="A32" s="7"/>
      <c r="B32" s="7"/>
      <c r="C32" s="7"/>
      <c r="D32" s="7"/>
      <c r="E32" s="7"/>
      <c r="F32" s="7"/>
      <c r="G32" s="7"/>
      <c r="H32" s="7"/>
      <c r="I32" s="7"/>
      <c r="J32" s="8"/>
      <c r="K32" s="8"/>
    </row>
    <row r="33" spans="1:11" ht="15">
      <c r="A33" s="7"/>
      <c r="B33" s="7"/>
      <c r="C33" s="7"/>
      <c r="D33" s="7"/>
      <c r="E33" s="7"/>
      <c r="F33" s="7"/>
      <c r="G33" s="7"/>
      <c r="H33" s="7"/>
      <c r="I33" s="7"/>
      <c r="J33" s="8"/>
      <c r="K33" s="8"/>
    </row>
    <row r="34" spans="1:11" ht="15">
      <c r="A34" s="7"/>
      <c r="B34" s="7"/>
      <c r="C34" s="7"/>
      <c r="D34" s="7"/>
      <c r="E34" s="7"/>
      <c r="F34" s="7"/>
      <c r="G34" s="7"/>
      <c r="H34" s="7"/>
      <c r="I34" s="7"/>
      <c r="J34" s="8"/>
      <c r="K34" s="8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5"/>
  <sheetViews>
    <sheetView workbookViewId="0" topLeftCell="D1">
      <selection activeCell="L26" sqref="L26"/>
    </sheetView>
  </sheetViews>
  <sheetFormatPr defaultColWidth="9.00390625" defaultRowHeight="12.75"/>
  <cols>
    <col min="1" max="1" width="3.375" style="172" customWidth="1"/>
    <col min="2" max="2" width="35.75390625" style="172" customWidth="1"/>
    <col min="3" max="3" width="10.875" style="172" hidden="1" customWidth="1"/>
    <col min="4" max="4" width="11.125" style="172" customWidth="1"/>
    <col min="5" max="16" width="9.625" style="172" customWidth="1"/>
    <col min="17" max="17" width="9.75390625" style="172" customWidth="1"/>
    <col min="18" max="30" width="9.625" style="172" customWidth="1"/>
    <col min="31" max="42" width="10.125" style="172" customWidth="1"/>
    <col min="43" max="16384" width="9.125" style="172" customWidth="1"/>
  </cols>
  <sheetData>
    <row r="1" spans="4:25" ht="12">
      <c r="D1" s="174"/>
      <c r="F1" s="379"/>
      <c r="K1" s="173" t="s">
        <v>579</v>
      </c>
      <c r="Y1" s="173" t="s">
        <v>579</v>
      </c>
    </row>
    <row r="2" spans="1:25" ht="12">
      <c r="A2" s="640"/>
      <c r="B2" s="641"/>
      <c r="C2" s="640"/>
      <c r="D2" s="174"/>
      <c r="F2" s="379"/>
      <c r="K2" s="173" t="s">
        <v>559</v>
      </c>
      <c r="Y2" s="173" t="s">
        <v>559</v>
      </c>
    </row>
    <row r="3" spans="1:25" ht="12">
      <c r="A3" s="640"/>
      <c r="B3" s="641"/>
      <c r="D3" s="174"/>
      <c r="F3" s="379"/>
      <c r="K3" s="173" t="s">
        <v>218</v>
      </c>
      <c r="Y3" s="173" t="s">
        <v>218</v>
      </c>
    </row>
    <row r="4" spans="1:25" ht="12">
      <c r="A4" s="640"/>
      <c r="B4" s="641"/>
      <c r="D4" s="174"/>
      <c r="F4" s="379"/>
      <c r="K4" s="173" t="s">
        <v>734</v>
      </c>
      <c r="Y4" s="173" t="s">
        <v>734</v>
      </c>
    </row>
    <row r="5" spans="1:6" ht="12">
      <c r="A5" s="640"/>
      <c r="B5" s="641"/>
      <c r="D5" s="174"/>
      <c r="E5" s="173"/>
      <c r="F5" s="379"/>
    </row>
    <row r="6" spans="1:5" ht="9.75">
      <c r="A6" s="640"/>
      <c r="B6" s="641"/>
      <c r="D6" s="174"/>
      <c r="E6" s="174"/>
    </row>
    <row r="7" spans="1:5" ht="9.75">
      <c r="A7" s="640"/>
      <c r="B7" s="641"/>
      <c r="D7" s="174"/>
      <c r="E7" s="174"/>
    </row>
    <row r="8" spans="1:5" ht="9.75">
      <c r="A8" s="640"/>
      <c r="B8" s="641"/>
      <c r="D8" s="174"/>
      <c r="E8" s="174"/>
    </row>
    <row r="9" spans="1:6" ht="9.75">
      <c r="A9" s="640"/>
      <c r="B9" s="641"/>
      <c r="D9" s="460"/>
      <c r="E9" s="640"/>
      <c r="F9" s="640"/>
    </row>
    <row r="10" spans="2:27" ht="12.75" customHeight="1">
      <c r="B10" s="1066" t="s">
        <v>560</v>
      </c>
      <c r="C10" s="1066"/>
      <c r="D10" s="1066"/>
      <c r="E10" s="1066"/>
      <c r="F10" s="1066"/>
      <c r="G10" s="1066"/>
      <c r="H10" s="1066"/>
      <c r="I10" s="1066"/>
      <c r="J10" s="1066"/>
      <c r="K10" s="1066"/>
      <c r="L10" s="1066"/>
      <c r="M10" s="1066"/>
      <c r="N10" s="1066" t="s">
        <v>560</v>
      </c>
      <c r="O10" s="1066"/>
      <c r="P10" s="1066"/>
      <c r="Q10" s="1066"/>
      <c r="R10" s="1066"/>
      <c r="S10" s="1066"/>
      <c r="T10" s="1066"/>
      <c r="U10" s="1066"/>
      <c r="V10" s="1066"/>
      <c r="W10" s="1066"/>
      <c r="X10" s="1066"/>
      <c r="Y10" s="1066"/>
      <c r="Z10" s="1066"/>
      <c r="AA10" s="1066"/>
    </row>
    <row r="11" spans="1:6" ht="9.75">
      <c r="A11" s="640"/>
      <c r="B11" s="459"/>
      <c r="C11" s="640"/>
      <c r="D11" s="640"/>
      <c r="E11" s="640"/>
      <c r="F11" s="640"/>
    </row>
    <row r="12" spans="1:6" ht="9.75">
      <c r="A12" s="640"/>
      <c r="B12" s="459"/>
      <c r="C12" s="640"/>
      <c r="D12" s="640"/>
      <c r="E12" s="640"/>
      <c r="F12" s="640"/>
    </row>
    <row r="13" spans="1:6" ht="9.75">
      <c r="A13" s="640"/>
      <c r="B13" s="641"/>
      <c r="C13" s="640"/>
      <c r="D13" s="640"/>
      <c r="E13" s="640"/>
      <c r="F13" s="640"/>
    </row>
    <row r="14" spans="13:27" ht="10.5" thickBot="1">
      <c r="M14" s="175" t="s">
        <v>219</v>
      </c>
      <c r="AA14" s="175" t="s">
        <v>219</v>
      </c>
    </row>
    <row r="15" spans="1:27" ht="12.75" customHeight="1">
      <c r="A15" s="704"/>
      <c r="B15" s="681"/>
      <c r="C15" s="681"/>
      <c r="D15" s="1067" t="s">
        <v>561</v>
      </c>
      <c r="E15" s="1043"/>
      <c r="F15" s="1043"/>
      <c r="G15" s="1043"/>
      <c r="H15" s="1043"/>
      <c r="I15" s="1043"/>
      <c r="J15" s="1043"/>
      <c r="K15" s="1043"/>
      <c r="L15" s="1043"/>
      <c r="M15" s="1044"/>
      <c r="N15" s="708"/>
      <c r="O15" s="612"/>
      <c r="P15" s="612"/>
      <c r="Q15" s="612"/>
      <c r="R15" s="612"/>
      <c r="S15" s="612"/>
      <c r="T15" s="612" t="s">
        <v>561</v>
      </c>
      <c r="U15" s="612"/>
      <c r="V15" s="612"/>
      <c r="W15" s="612"/>
      <c r="X15" s="612"/>
      <c r="Y15" s="612"/>
      <c r="Z15" s="612"/>
      <c r="AA15" s="611"/>
    </row>
    <row r="16" spans="1:27" ht="12">
      <c r="A16" s="705"/>
      <c r="B16" s="682" t="s">
        <v>562</v>
      </c>
      <c r="C16" s="682" t="s">
        <v>563</v>
      </c>
      <c r="D16" s="683"/>
      <c r="E16" s="683"/>
      <c r="F16" s="684"/>
      <c r="G16" s="685"/>
      <c r="H16" s="684"/>
      <c r="I16" s="685"/>
      <c r="J16" s="684"/>
      <c r="K16" s="685"/>
      <c r="L16" s="684"/>
      <c r="M16" s="684"/>
      <c r="N16" s="684"/>
      <c r="O16" s="685"/>
      <c r="P16" s="684"/>
      <c r="Q16" s="685"/>
      <c r="R16" s="684"/>
      <c r="S16" s="685"/>
      <c r="T16" s="684"/>
      <c r="U16" s="685"/>
      <c r="V16" s="684"/>
      <c r="W16" s="685"/>
      <c r="X16" s="684"/>
      <c r="Y16" s="685"/>
      <c r="Z16" s="684"/>
      <c r="AA16" s="686"/>
    </row>
    <row r="17" spans="1:27" ht="12">
      <c r="A17" s="706" t="s">
        <v>564</v>
      </c>
      <c r="B17" s="682" t="s">
        <v>565</v>
      </c>
      <c r="C17" s="682" t="s">
        <v>566</v>
      </c>
      <c r="D17" s="682" t="s">
        <v>563</v>
      </c>
      <c r="E17" s="682">
        <v>2007</v>
      </c>
      <c r="F17" s="687">
        <v>2008</v>
      </c>
      <c r="G17" s="682">
        <v>2009</v>
      </c>
      <c r="H17" s="687">
        <v>2010</v>
      </c>
      <c r="I17" s="688">
        <v>2011</v>
      </c>
      <c r="J17" s="687">
        <v>2012</v>
      </c>
      <c r="K17" s="688">
        <v>2013</v>
      </c>
      <c r="L17" s="687">
        <v>2014</v>
      </c>
      <c r="M17" s="687">
        <v>2015</v>
      </c>
      <c r="N17" s="687">
        <v>2016</v>
      </c>
      <c r="O17" s="688">
        <v>2017</v>
      </c>
      <c r="P17" s="687">
        <v>2018</v>
      </c>
      <c r="Q17" s="688">
        <v>2019</v>
      </c>
      <c r="R17" s="687">
        <v>2020</v>
      </c>
      <c r="S17" s="688">
        <v>2021</v>
      </c>
      <c r="T17" s="687">
        <v>2022</v>
      </c>
      <c r="U17" s="688">
        <v>2023</v>
      </c>
      <c r="V17" s="687">
        <v>2024</v>
      </c>
      <c r="W17" s="688">
        <v>2025</v>
      </c>
      <c r="X17" s="687">
        <v>2026</v>
      </c>
      <c r="Y17" s="688">
        <v>2027</v>
      </c>
      <c r="Z17" s="687">
        <v>2028</v>
      </c>
      <c r="AA17" s="689">
        <v>2029</v>
      </c>
    </row>
    <row r="18" spans="1:27" ht="12">
      <c r="A18" s="705"/>
      <c r="B18" s="683"/>
      <c r="C18" s="682" t="s">
        <v>567</v>
      </c>
      <c r="D18" s="690" t="s">
        <v>743</v>
      </c>
      <c r="E18" s="683"/>
      <c r="F18" s="691"/>
      <c r="G18" s="692"/>
      <c r="H18" s="691"/>
      <c r="I18" s="692"/>
      <c r="J18" s="691"/>
      <c r="K18" s="692"/>
      <c r="L18" s="691"/>
      <c r="M18" s="691"/>
      <c r="N18" s="691"/>
      <c r="O18" s="692"/>
      <c r="P18" s="691"/>
      <c r="Q18" s="692"/>
      <c r="R18" s="691"/>
      <c r="S18" s="692"/>
      <c r="T18" s="691"/>
      <c r="U18" s="692"/>
      <c r="V18" s="691"/>
      <c r="W18" s="692"/>
      <c r="X18" s="691"/>
      <c r="Y18" s="692"/>
      <c r="Z18" s="691"/>
      <c r="AA18" s="693"/>
    </row>
    <row r="19" spans="1:27" ht="12.75" thickBot="1">
      <c r="A19" s="591"/>
      <c r="B19" s="694"/>
      <c r="C19" s="695"/>
      <c r="D19" s="696"/>
      <c r="E19" s="694"/>
      <c r="F19" s="697"/>
      <c r="G19" s="698"/>
      <c r="H19" s="697"/>
      <c r="I19" s="698"/>
      <c r="J19" s="697"/>
      <c r="K19" s="698"/>
      <c r="L19" s="697"/>
      <c r="M19" s="697"/>
      <c r="N19" s="697"/>
      <c r="O19" s="698"/>
      <c r="P19" s="697"/>
      <c r="Q19" s="698"/>
      <c r="R19" s="697"/>
      <c r="S19" s="698"/>
      <c r="T19" s="697"/>
      <c r="U19" s="698"/>
      <c r="V19" s="697"/>
      <c r="W19" s="698"/>
      <c r="X19" s="697"/>
      <c r="Y19" s="698"/>
      <c r="Z19" s="697"/>
      <c r="AA19" s="699"/>
    </row>
    <row r="20" spans="1:27" s="646" customFormat="1" ht="12" thickBot="1">
      <c r="A20" s="707">
        <v>1</v>
      </c>
      <c r="B20" s="643">
        <v>2</v>
      </c>
      <c r="C20" s="643">
        <v>3</v>
      </c>
      <c r="D20" s="643">
        <v>4</v>
      </c>
      <c r="E20" s="643">
        <v>5</v>
      </c>
      <c r="F20" s="644">
        <v>6</v>
      </c>
      <c r="G20" s="643">
        <v>7</v>
      </c>
      <c r="H20" s="644">
        <v>8</v>
      </c>
      <c r="I20" s="643">
        <v>9</v>
      </c>
      <c r="J20" s="644">
        <v>10</v>
      </c>
      <c r="K20" s="643">
        <v>11</v>
      </c>
      <c r="L20" s="644">
        <v>12</v>
      </c>
      <c r="M20" s="644">
        <v>13</v>
      </c>
      <c r="N20" s="644">
        <v>14</v>
      </c>
      <c r="O20" s="643">
        <v>15</v>
      </c>
      <c r="P20" s="644">
        <v>16</v>
      </c>
      <c r="Q20" s="643">
        <v>17</v>
      </c>
      <c r="R20" s="644">
        <v>18</v>
      </c>
      <c r="S20" s="643">
        <v>19</v>
      </c>
      <c r="T20" s="644">
        <v>20</v>
      </c>
      <c r="U20" s="643">
        <v>21</v>
      </c>
      <c r="V20" s="644">
        <v>22</v>
      </c>
      <c r="W20" s="643">
        <v>23</v>
      </c>
      <c r="X20" s="644">
        <v>24</v>
      </c>
      <c r="Y20" s="643">
        <v>25</v>
      </c>
      <c r="Z20" s="644">
        <v>26</v>
      </c>
      <c r="AA20" s="645">
        <v>27</v>
      </c>
    </row>
    <row r="21" spans="1:27" ht="12.75">
      <c r="A21" s="700" t="s">
        <v>597</v>
      </c>
      <c r="B21" s="642" t="s">
        <v>568</v>
      </c>
      <c r="C21" s="240">
        <v>0</v>
      </c>
      <c r="D21" s="647">
        <v>0</v>
      </c>
      <c r="E21" s="647">
        <v>4000000</v>
      </c>
      <c r="F21" s="418">
        <v>4000000</v>
      </c>
      <c r="G21" s="648">
        <v>4000000</v>
      </c>
      <c r="H21" s="418">
        <v>4000000</v>
      </c>
      <c r="I21" s="648">
        <v>4000000</v>
      </c>
      <c r="J21" s="418">
        <v>4000000</v>
      </c>
      <c r="K21" s="415">
        <f>J21-'Sytuacja finans.'!J29</f>
        <v>3600000</v>
      </c>
      <c r="L21" s="415">
        <f>K21-'Sytuacja finans.'!K29</f>
        <v>3200000</v>
      </c>
      <c r="M21" s="415">
        <f>L21-'Sytuacja finans.'!L29</f>
        <v>2800000</v>
      </c>
      <c r="N21" s="415">
        <f>M21-'Sytuacja finans.'!M29</f>
        <v>2400000</v>
      </c>
      <c r="O21" s="415">
        <f>N21-'Sytuacja finans.'!N29</f>
        <v>2000000</v>
      </c>
      <c r="P21" s="415">
        <f>O21-'Sytuacja finans.'!O29</f>
        <v>1600000</v>
      </c>
      <c r="Q21" s="415">
        <f>P21-'Sytuacja finans.'!P29</f>
        <v>1200000</v>
      </c>
      <c r="R21" s="415">
        <f>Q21-'Sytuacja finans.'!Q29</f>
        <v>800000</v>
      </c>
      <c r="S21" s="415">
        <f>R21-'Sytuacja finans.'!R29</f>
        <v>400000</v>
      </c>
      <c r="T21" s="415">
        <f>S21-'Sytuacja finans.'!S29</f>
        <v>0</v>
      </c>
      <c r="U21" s="418">
        <v>0</v>
      </c>
      <c r="V21" s="418">
        <v>0</v>
      </c>
      <c r="W21" s="418">
        <v>0</v>
      </c>
      <c r="X21" s="418">
        <v>0</v>
      </c>
      <c r="Y21" s="418">
        <v>0</v>
      </c>
      <c r="Z21" s="418">
        <v>0</v>
      </c>
      <c r="AA21" s="617">
        <v>0</v>
      </c>
    </row>
    <row r="22" spans="1:27" ht="12.75">
      <c r="A22" s="701" t="s">
        <v>598</v>
      </c>
      <c r="B22" s="649" t="s">
        <v>605</v>
      </c>
      <c r="C22" s="650">
        <v>11018970</v>
      </c>
      <c r="D22" s="651">
        <v>11468903</v>
      </c>
      <c r="E22" s="651">
        <f>D22+'Żródła finans.'!E18-'Żródła finans.'!E27</f>
        <v>7478903</v>
      </c>
      <c r="F22" s="652">
        <f>E22-'Sytuacja finans.'!E21</f>
        <v>7478903</v>
      </c>
      <c r="G22" s="652">
        <f>F22-'Sytuacja finans.'!F21</f>
        <v>7478903</v>
      </c>
      <c r="H22" s="652">
        <f>G22-'Sytuacja finans.'!G21</f>
        <v>7478903</v>
      </c>
      <c r="I22" s="652">
        <f>H22-'Sytuacja finans.'!H21</f>
        <v>7478903</v>
      </c>
      <c r="J22" s="652">
        <f>I22-'Sytuacja finans.'!I21</f>
        <v>7478903</v>
      </c>
      <c r="K22" s="652">
        <f>J22-'Sytuacja finans.'!J21</f>
        <v>7274780</v>
      </c>
      <c r="L22" s="652">
        <f>K22-'Sytuacja finans.'!K21</f>
        <v>6682560</v>
      </c>
      <c r="M22" s="652">
        <f>L22-'Sytuacja finans.'!L21</f>
        <v>6090340</v>
      </c>
      <c r="N22" s="652">
        <f>M22-'Sytuacja finans.'!M21</f>
        <v>5498120</v>
      </c>
      <c r="O22" s="652">
        <f>N22-'Sytuacja finans.'!N21</f>
        <v>4906200</v>
      </c>
      <c r="P22" s="652">
        <f>O22-'Sytuacja finans.'!O21</f>
        <v>4480680</v>
      </c>
      <c r="Q22" s="652">
        <f>P22-'Sytuacja finans.'!P21</f>
        <v>4055160</v>
      </c>
      <c r="R22" s="652">
        <f>Q22-'Sytuacja finans.'!Q21</f>
        <v>3629640</v>
      </c>
      <c r="S22" s="652">
        <f>R22-'Sytuacja finans.'!R21</f>
        <v>3204120</v>
      </c>
      <c r="T22" s="652">
        <f>S22-'Sytuacja finans.'!S21</f>
        <v>2778600</v>
      </c>
      <c r="U22" s="652">
        <f>T22-'Sytuacja finans.'!T21</f>
        <v>2353080</v>
      </c>
      <c r="V22" s="652">
        <f>U22-'Sytuacja finans.'!U21</f>
        <v>1927560</v>
      </c>
      <c r="W22" s="652">
        <f>V22-'Sytuacja finans.'!V21</f>
        <v>1502040</v>
      </c>
      <c r="X22" s="652">
        <f>W22-'Sytuacja finans.'!W21</f>
        <v>1076520</v>
      </c>
      <c r="Y22" s="652">
        <f>X22-'Sytuacja finans.'!X21</f>
        <v>651000</v>
      </c>
      <c r="Z22" s="652">
        <f>Y22-'Sytuacja finans.'!Y21</f>
        <v>225480</v>
      </c>
      <c r="AA22" s="838">
        <f>Z32-'Sytuacja finans.'!Z21</f>
        <v>0</v>
      </c>
    </row>
    <row r="23" spans="1:27" ht="12.75">
      <c r="A23" s="702" t="s">
        <v>599</v>
      </c>
      <c r="B23" s="642" t="s">
        <v>606</v>
      </c>
      <c r="C23" s="240">
        <v>171248</v>
      </c>
      <c r="D23" s="647">
        <v>20000</v>
      </c>
      <c r="E23" s="647">
        <v>10000</v>
      </c>
      <c r="F23" s="418">
        <v>0</v>
      </c>
      <c r="G23" s="248">
        <v>0</v>
      </c>
      <c r="H23" s="241">
        <v>0</v>
      </c>
      <c r="I23" s="248">
        <v>0</v>
      </c>
      <c r="J23" s="241">
        <v>0</v>
      </c>
      <c r="K23" s="248">
        <v>0</v>
      </c>
      <c r="L23" s="241">
        <v>0</v>
      </c>
      <c r="M23" s="241">
        <v>0</v>
      </c>
      <c r="N23" s="241">
        <v>0</v>
      </c>
      <c r="O23" s="248">
        <v>0</v>
      </c>
      <c r="P23" s="241">
        <v>0</v>
      </c>
      <c r="Q23" s="248">
        <v>0</v>
      </c>
      <c r="R23" s="241">
        <v>0</v>
      </c>
      <c r="S23" s="248">
        <v>0</v>
      </c>
      <c r="T23" s="241">
        <v>0</v>
      </c>
      <c r="U23" s="241">
        <v>0</v>
      </c>
      <c r="V23" s="241">
        <v>0</v>
      </c>
      <c r="W23" s="241">
        <v>0</v>
      </c>
      <c r="X23" s="241">
        <v>0</v>
      </c>
      <c r="Y23" s="241">
        <v>0</v>
      </c>
      <c r="Z23" s="241">
        <v>0</v>
      </c>
      <c r="AA23" s="656">
        <v>0</v>
      </c>
    </row>
    <row r="24" spans="1:27" ht="12.75">
      <c r="A24" s="701" t="s">
        <v>587</v>
      </c>
      <c r="B24" s="649" t="s">
        <v>569</v>
      </c>
      <c r="C24" s="650"/>
      <c r="D24" s="651"/>
      <c r="E24" s="651"/>
      <c r="F24" s="652"/>
      <c r="G24" s="653"/>
      <c r="H24" s="654"/>
      <c r="I24" s="653"/>
      <c r="J24" s="654"/>
      <c r="K24" s="653"/>
      <c r="L24" s="654"/>
      <c r="M24" s="654"/>
      <c r="N24" s="654"/>
      <c r="O24" s="653"/>
      <c r="P24" s="654"/>
      <c r="Q24" s="653"/>
      <c r="R24" s="654"/>
      <c r="S24" s="653"/>
      <c r="T24" s="654"/>
      <c r="U24" s="654"/>
      <c r="V24" s="654"/>
      <c r="W24" s="654"/>
      <c r="X24" s="654"/>
      <c r="Y24" s="654"/>
      <c r="Z24" s="654"/>
      <c r="AA24" s="655"/>
    </row>
    <row r="25" spans="1:27" ht="12.75">
      <c r="A25" s="702" t="s">
        <v>604</v>
      </c>
      <c r="B25" s="642" t="s">
        <v>576</v>
      </c>
      <c r="C25" s="240">
        <v>0</v>
      </c>
      <c r="D25" s="647">
        <f aca="true" t="shared" si="0" ref="D25:AA25">D30</f>
        <v>0</v>
      </c>
      <c r="E25" s="647">
        <f t="shared" si="0"/>
        <v>0</v>
      </c>
      <c r="F25" s="418">
        <f t="shared" si="0"/>
        <v>0</v>
      </c>
      <c r="G25" s="248">
        <f t="shared" si="0"/>
        <v>0</v>
      </c>
      <c r="H25" s="241">
        <f t="shared" si="0"/>
        <v>0</v>
      </c>
      <c r="I25" s="248">
        <f t="shared" si="0"/>
        <v>0</v>
      </c>
      <c r="J25" s="241">
        <f t="shared" si="0"/>
        <v>0</v>
      </c>
      <c r="K25" s="248">
        <f t="shared" si="0"/>
        <v>0</v>
      </c>
      <c r="L25" s="241">
        <f t="shared" si="0"/>
        <v>0</v>
      </c>
      <c r="M25" s="241">
        <f t="shared" si="0"/>
        <v>0</v>
      </c>
      <c r="N25" s="241">
        <f t="shared" si="0"/>
        <v>0</v>
      </c>
      <c r="O25" s="248">
        <f t="shared" si="0"/>
        <v>0</v>
      </c>
      <c r="P25" s="241">
        <f t="shared" si="0"/>
        <v>0</v>
      </c>
      <c r="Q25" s="248">
        <f t="shared" si="0"/>
        <v>0</v>
      </c>
      <c r="R25" s="241">
        <f t="shared" si="0"/>
        <v>0</v>
      </c>
      <c r="S25" s="248">
        <f t="shared" si="0"/>
        <v>0</v>
      </c>
      <c r="T25" s="241">
        <f t="shared" si="0"/>
        <v>0</v>
      </c>
      <c r="U25" s="241">
        <f t="shared" si="0"/>
        <v>0</v>
      </c>
      <c r="V25" s="241">
        <f t="shared" si="0"/>
        <v>0</v>
      </c>
      <c r="W25" s="241">
        <f t="shared" si="0"/>
        <v>0</v>
      </c>
      <c r="X25" s="241">
        <f t="shared" si="0"/>
        <v>0</v>
      </c>
      <c r="Y25" s="241">
        <f t="shared" si="0"/>
        <v>0</v>
      </c>
      <c r="Z25" s="241">
        <f t="shared" si="0"/>
        <v>0</v>
      </c>
      <c r="AA25" s="656">
        <f t="shared" si="0"/>
        <v>0</v>
      </c>
    </row>
    <row r="26" spans="1:27" ht="12.75">
      <c r="A26" s="702"/>
      <c r="B26" s="642" t="s">
        <v>577</v>
      </c>
      <c r="C26" s="240"/>
      <c r="D26" s="647"/>
      <c r="E26" s="647"/>
      <c r="F26" s="418"/>
      <c r="G26" s="248"/>
      <c r="H26" s="241"/>
      <c r="I26" s="248"/>
      <c r="J26" s="241"/>
      <c r="K26" s="248"/>
      <c r="L26" s="241"/>
      <c r="M26" s="241"/>
      <c r="N26" s="241"/>
      <c r="O26" s="248"/>
      <c r="P26" s="241"/>
      <c r="Q26" s="248"/>
      <c r="R26" s="241"/>
      <c r="S26" s="248"/>
      <c r="T26" s="241"/>
      <c r="U26" s="241"/>
      <c r="V26" s="241"/>
      <c r="W26" s="241"/>
      <c r="X26" s="241"/>
      <c r="Y26" s="241"/>
      <c r="Z26" s="241"/>
      <c r="AA26" s="656"/>
    </row>
    <row r="27" spans="1:27" ht="12.75">
      <c r="A27" s="702"/>
      <c r="B27" s="642" t="s">
        <v>578</v>
      </c>
      <c r="C27" s="240"/>
      <c r="D27" s="647"/>
      <c r="E27" s="647"/>
      <c r="F27" s="418"/>
      <c r="G27" s="248"/>
      <c r="H27" s="241"/>
      <c r="I27" s="248"/>
      <c r="J27" s="241"/>
      <c r="K27" s="248"/>
      <c r="L27" s="241"/>
      <c r="M27" s="241"/>
      <c r="N27" s="241"/>
      <c r="O27" s="248"/>
      <c r="P27" s="241"/>
      <c r="Q27" s="248"/>
      <c r="R27" s="241"/>
      <c r="S27" s="248"/>
      <c r="T27" s="241"/>
      <c r="U27" s="241"/>
      <c r="V27" s="241"/>
      <c r="W27" s="241"/>
      <c r="X27" s="241"/>
      <c r="Y27" s="241"/>
      <c r="Z27" s="241"/>
      <c r="AA27" s="656"/>
    </row>
    <row r="28" spans="1:27" ht="12.75">
      <c r="A28" s="702"/>
      <c r="B28" s="649" t="s">
        <v>570</v>
      </c>
      <c r="C28" s="650"/>
      <c r="D28" s="651"/>
      <c r="E28" s="651"/>
      <c r="F28" s="652"/>
      <c r="G28" s="653"/>
      <c r="H28" s="654"/>
      <c r="I28" s="653"/>
      <c r="J28" s="654"/>
      <c r="K28" s="653"/>
      <c r="L28" s="654"/>
      <c r="M28" s="654"/>
      <c r="N28" s="654"/>
      <c r="O28" s="653"/>
      <c r="P28" s="654"/>
      <c r="Q28" s="653"/>
      <c r="R28" s="654"/>
      <c r="S28" s="653"/>
      <c r="T28" s="654"/>
      <c r="U28" s="654"/>
      <c r="V28" s="654"/>
      <c r="W28" s="654"/>
      <c r="X28" s="654"/>
      <c r="Y28" s="654"/>
      <c r="Z28" s="654"/>
      <c r="AA28" s="655"/>
    </row>
    <row r="29" spans="1:27" ht="12.75">
      <c r="A29" s="702"/>
      <c r="B29" s="642" t="s">
        <v>571</v>
      </c>
      <c r="C29" s="240"/>
      <c r="D29" s="647"/>
      <c r="E29" s="647"/>
      <c r="F29" s="418"/>
      <c r="G29" s="248"/>
      <c r="H29" s="241"/>
      <c r="I29" s="248"/>
      <c r="J29" s="241"/>
      <c r="K29" s="248"/>
      <c r="L29" s="241"/>
      <c r="M29" s="241"/>
      <c r="N29" s="241"/>
      <c r="O29" s="248"/>
      <c r="P29" s="241"/>
      <c r="Q29" s="248"/>
      <c r="R29" s="241"/>
      <c r="S29" s="248"/>
      <c r="T29" s="241"/>
      <c r="U29" s="241"/>
      <c r="V29" s="241"/>
      <c r="W29" s="241"/>
      <c r="X29" s="241"/>
      <c r="Y29" s="241"/>
      <c r="Z29" s="241"/>
      <c r="AA29" s="656"/>
    </row>
    <row r="30" spans="1:27" ht="12.75">
      <c r="A30" s="702"/>
      <c r="B30" s="649" t="s">
        <v>572</v>
      </c>
      <c r="C30" s="657"/>
      <c r="D30" s="651"/>
      <c r="E30" s="651"/>
      <c r="F30" s="652"/>
      <c r="G30" s="653"/>
      <c r="H30" s="654"/>
      <c r="I30" s="653"/>
      <c r="J30" s="654"/>
      <c r="K30" s="653"/>
      <c r="L30" s="654"/>
      <c r="M30" s="654"/>
      <c r="N30" s="654"/>
      <c r="O30" s="653"/>
      <c r="P30" s="654"/>
      <c r="Q30" s="653"/>
      <c r="R30" s="654"/>
      <c r="S30" s="653"/>
      <c r="T30" s="654"/>
      <c r="U30" s="654"/>
      <c r="V30" s="654"/>
      <c r="W30" s="654"/>
      <c r="X30" s="654"/>
      <c r="Y30" s="654"/>
      <c r="Z30" s="654"/>
      <c r="AA30" s="655"/>
    </row>
    <row r="31" spans="1:27" ht="12.75">
      <c r="A31" s="702"/>
      <c r="B31" s="658" t="s">
        <v>573</v>
      </c>
      <c r="C31" s="659"/>
      <c r="D31" s="660"/>
      <c r="E31" s="660"/>
      <c r="F31" s="425"/>
      <c r="G31" s="661"/>
      <c r="H31" s="662"/>
      <c r="I31" s="661"/>
      <c r="J31" s="662"/>
      <c r="K31" s="661"/>
      <c r="L31" s="662"/>
      <c r="M31" s="662"/>
      <c r="N31" s="662"/>
      <c r="O31" s="661"/>
      <c r="P31" s="662"/>
      <c r="Q31" s="661"/>
      <c r="R31" s="662"/>
      <c r="S31" s="661"/>
      <c r="T31" s="662"/>
      <c r="U31" s="662"/>
      <c r="V31" s="662"/>
      <c r="W31" s="662"/>
      <c r="X31" s="662"/>
      <c r="Y31" s="662"/>
      <c r="Z31" s="662"/>
      <c r="AA31" s="663"/>
    </row>
    <row r="32" spans="1:27" ht="12.75">
      <c r="A32" s="701" t="s">
        <v>607</v>
      </c>
      <c r="B32" s="658" t="s">
        <v>574</v>
      </c>
      <c r="C32" s="664">
        <f aca="true" t="shared" si="1" ref="C32:AA32">SUM(C21:C25)</f>
        <v>11190218</v>
      </c>
      <c r="D32" s="665">
        <f t="shared" si="1"/>
        <v>11488903</v>
      </c>
      <c r="E32" s="665">
        <f t="shared" si="1"/>
        <v>11488903</v>
      </c>
      <c r="F32" s="394">
        <f t="shared" si="1"/>
        <v>11478903</v>
      </c>
      <c r="G32" s="666">
        <f t="shared" si="1"/>
        <v>11478903</v>
      </c>
      <c r="H32" s="667">
        <f t="shared" si="1"/>
        <v>11478903</v>
      </c>
      <c r="I32" s="666">
        <f t="shared" si="1"/>
        <v>11478903</v>
      </c>
      <c r="J32" s="667">
        <f t="shared" si="1"/>
        <v>11478903</v>
      </c>
      <c r="K32" s="666">
        <f t="shared" si="1"/>
        <v>10874780</v>
      </c>
      <c r="L32" s="667">
        <f t="shared" si="1"/>
        <v>9882560</v>
      </c>
      <c r="M32" s="667">
        <f t="shared" si="1"/>
        <v>8890340</v>
      </c>
      <c r="N32" s="667">
        <f t="shared" si="1"/>
        <v>7898120</v>
      </c>
      <c r="O32" s="666">
        <f t="shared" si="1"/>
        <v>6906200</v>
      </c>
      <c r="P32" s="667">
        <f t="shared" si="1"/>
        <v>6080680</v>
      </c>
      <c r="Q32" s="666">
        <f t="shared" si="1"/>
        <v>5255160</v>
      </c>
      <c r="R32" s="667">
        <f t="shared" si="1"/>
        <v>4429640</v>
      </c>
      <c r="S32" s="666">
        <f t="shared" si="1"/>
        <v>3604120</v>
      </c>
      <c r="T32" s="667">
        <f t="shared" si="1"/>
        <v>2778600</v>
      </c>
      <c r="U32" s="667">
        <f t="shared" si="1"/>
        <v>2353080</v>
      </c>
      <c r="V32" s="667">
        <f t="shared" si="1"/>
        <v>1927560</v>
      </c>
      <c r="W32" s="667">
        <f t="shared" si="1"/>
        <v>1502040</v>
      </c>
      <c r="X32" s="667">
        <f t="shared" si="1"/>
        <v>1076520</v>
      </c>
      <c r="Y32" s="667">
        <f t="shared" si="1"/>
        <v>651000</v>
      </c>
      <c r="Z32" s="667">
        <f t="shared" si="1"/>
        <v>225480</v>
      </c>
      <c r="AA32" s="668">
        <f t="shared" si="1"/>
        <v>0</v>
      </c>
    </row>
    <row r="33" spans="1:27" ht="13.5" thickBot="1">
      <c r="A33" s="703" t="s">
        <v>609</v>
      </c>
      <c r="B33" s="669" t="s">
        <v>3</v>
      </c>
      <c r="C33" s="670">
        <v>32826290</v>
      </c>
      <c r="D33" s="671">
        <v>37952654</v>
      </c>
      <c r="E33" s="672">
        <f>'Żródła finans.'!E13</f>
        <v>35556867</v>
      </c>
      <c r="F33" s="673">
        <v>32947688</v>
      </c>
      <c r="G33" s="839">
        <f>'Sytuacja finans.'!F11</f>
        <v>33477165</v>
      </c>
      <c r="H33" s="839">
        <f>'Sytuacja finans.'!G11</f>
        <v>33941856.5</v>
      </c>
      <c r="I33" s="839">
        <f>'Sytuacja finans.'!H11</f>
        <v>34214888.37305</v>
      </c>
      <c r="J33" s="839">
        <f>'Sytuacja finans.'!I11</f>
        <v>34694442.21959625</v>
      </c>
      <c r="K33" s="839">
        <f>'Sytuacja finans.'!J11</f>
        <v>35182696.198696814</v>
      </c>
      <c r="L33" s="839">
        <f>'Sytuacja finans.'!K11</f>
        <v>35567786.348711945</v>
      </c>
      <c r="M33" s="839">
        <f>'Sytuacja finans.'!L11</f>
        <v>36072913.198873945</v>
      </c>
      <c r="N33" s="839">
        <f>'Sytuacja finans.'!M11</f>
        <v>36361852.83502796</v>
      </c>
      <c r="O33" s="839">
        <f>'Sytuacja finans.'!N11</f>
        <v>36781675.848908655</v>
      </c>
      <c r="P33" s="839">
        <f>'Sytuacja finans.'!O11</f>
        <v>37190127.446579725</v>
      </c>
      <c r="Q33" s="839">
        <f>'Sytuacja finans.'!P11</f>
        <v>37577218.97653034</v>
      </c>
      <c r="R33" s="839">
        <f>'Sytuacja finans.'!Q11</f>
        <v>37870781.99742096</v>
      </c>
      <c r="S33" s="839">
        <f>'Sytuacja finans.'!R11</f>
        <v>38182592.06092164</v>
      </c>
      <c r="T33" s="839">
        <f>'Sytuacja finans.'!S11</f>
        <v>38580051.01725958</v>
      </c>
      <c r="U33" s="839">
        <f>'Sytuacja finans.'!T11</f>
        <v>38983049.18459958</v>
      </c>
      <c r="V33" s="839">
        <f>'Sytuacja finans.'!U11</f>
        <v>39308328.12187043</v>
      </c>
      <c r="W33" s="839">
        <f>'Sytuacja finans.'!V11</f>
        <v>39747004.813648716</v>
      </c>
      <c r="X33" s="839">
        <f>'Sytuacja finans.'!W11</f>
        <v>40194605.35681734</v>
      </c>
      <c r="Y33" s="839">
        <f>'Sytuacja finans.'!X11</f>
        <v>40651362.9450811</v>
      </c>
      <c r="Z33" s="839">
        <f>'Sytuacja finans.'!Y11</f>
        <v>41120936.30388907</v>
      </c>
      <c r="AA33" s="840">
        <f>'Sytuacja finans.'!Z11</f>
        <v>41514444.277390935</v>
      </c>
    </row>
    <row r="34" spans="1:27" ht="13.5" thickBot="1">
      <c r="A34" s="674" t="s">
        <v>615</v>
      </c>
      <c r="B34" s="675" t="s">
        <v>575</v>
      </c>
      <c r="C34" s="676">
        <f aca="true" t="shared" si="2" ref="C34:AA34">C32/C33*100</f>
        <v>34.08919497146952</v>
      </c>
      <c r="D34" s="677">
        <f t="shared" si="2"/>
        <v>30.271672173440095</v>
      </c>
      <c r="E34" s="677">
        <f t="shared" si="2"/>
        <v>32.311347903627166</v>
      </c>
      <c r="F34" s="677">
        <f t="shared" si="2"/>
        <v>34.839782991753474</v>
      </c>
      <c r="G34" s="678">
        <f t="shared" si="2"/>
        <v>34.28875473774437</v>
      </c>
      <c r="H34" s="677">
        <f t="shared" si="2"/>
        <v>33.81931391996781</v>
      </c>
      <c r="I34" s="678">
        <f t="shared" si="2"/>
        <v>33.54943869710701</v>
      </c>
      <c r="J34" s="677">
        <f t="shared" si="2"/>
        <v>33.08571132905097</v>
      </c>
      <c r="K34" s="678">
        <f t="shared" si="2"/>
        <v>30.909455996731733</v>
      </c>
      <c r="L34" s="677">
        <f t="shared" si="2"/>
        <v>27.78514215956509</v>
      </c>
      <c r="M34" s="677">
        <f t="shared" si="2"/>
        <v>24.645472770625915</v>
      </c>
      <c r="N34" s="677">
        <f t="shared" si="2"/>
        <v>21.720895345551845</v>
      </c>
      <c r="O34" s="678">
        <f t="shared" si="2"/>
        <v>18.776197224860578</v>
      </c>
      <c r="P34" s="677">
        <f t="shared" si="2"/>
        <v>16.350253192152543</v>
      </c>
      <c r="Q34" s="678">
        <f t="shared" si="2"/>
        <v>13.984962546808541</v>
      </c>
      <c r="R34" s="677">
        <f t="shared" si="2"/>
        <v>11.696721763764115</v>
      </c>
      <c r="S34" s="679">
        <f t="shared" si="2"/>
        <v>9.439170589177138</v>
      </c>
      <c r="T34" s="677">
        <f t="shared" si="2"/>
        <v>7.202167769962086</v>
      </c>
      <c r="U34" s="677">
        <f t="shared" si="2"/>
        <v>6.036161996608501</v>
      </c>
      <c r="V34" s="677">
        <f t="shared" si="2"/>
        <v>4.903693675355124</v>
      </c>
      <c r="W34" s="677">
        <f t="shared" si="2"/>
        <v>3.779001731180043</v>
      </c>
      <c r="X34" s="677">
        <f t="shared" si="2"/>
        <v>2.6782698584635143</v>
      </c>
      <c r="Y34" s="677">
        <f t="shared" si="2"/>
        <v>1.6014223210166003</v>
      </c>
      <c r="Z34" s="677">
        <f t="shared" si="2"/>
        <v>0.5483338179210547</v>
      </c>
      <c r="AA34" s="680">
        <f t="shared" si="2"/>
        <v>0</v>
      </c>
    </row>
    <row r="35" ht="9.75">
      <c r="C35" s="89"/>
    </row>
  </sheetData>
  <mergeCells count="3">
    <mergeCell ref="B10:M10"/>
    <mergeCell ref="D15:M15"/>
    <mergeCell ref="N10:AA10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7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22" sqref="X22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0.875" style="1" customWidth="1"/>
    <col min="4" max="4" width="10.375" style="1" customWidth="1"/>
    <col min="5" max="5" width="11.00390625" style="1" customWidth="1"/>
    <col min="6" max="6" width="10.25390625" style="1" customWidth="1"/>
    <col min="7" max="7" width="12.75390625" style="1" customWidth="1"/>
    <col min="8" max="8" width="10.375" style="1" customWidth="1"/>
    <col min="9" max="9" width="10.25390625" style="1" customWidth="1"/>
    <col min="10" max="10" width="10.00390625" style="1" customWidth="1"/>
    <col min="11" max="11" width="10.375" style="1" customWidth="1"/>
    <col min="12" max="12" width="10.00390625" style="1" customWidth="1"/>
    <col min="13" max="13" width="10.875" style="1" customWidth="1"/>
    <col min="14" max="14" width="10.75390625" style="1" customWidth="1"/>
    <col min="15" max="15" width="10.625" style="1" customWidth="1"/>
    <col min="16" max="16" width="11.625" style="1" customWidth="1"/>
    <col min="17" max="17" width="10.25390625" style="1" customWidth="1"/>
    <col min="18" max="18" width="10.125" style="1" customWidth="1"/>
    <col min="19" max="19" width="10.875" style="1" customWidth="1"/>
    <col min="20" max="20" width="11.00390625" style="1" customWidth="1"/>
    <col min="21" max="21" width="10.625" style="1" customWidth="1"/>
    <col min="22" max="22" width="10.25390625" style="1" customWidth="1"/>
    <col min="23" max="23" width="11.25390625" style="1" customWidth="1"/>
    <col min="24" max="24" width="10.25390625" style="1" customWidth="1"/>
    <col min="25" max="25" width="10.625" style="1" customWidth="1"/>
    <col min="26" max="26" width="11.25390625" style="1" customWidth="1"/>
    <col min="27" max="16384" width="9.125" style="1" customWidth="1"/>
  </cols>
  <sheetData>
    <row r="1" spans="11:25" ht="12.75">
      <c r="K1" s="1" t="s">
        <v>359</v>
      </c>
      <c r="Y1" s="1" t="s">
        <v>359</v>
      </c>
    </row>
    <row r="2" spans="11:25" ht="12.75">
      <c r="K2" s="1" t="s">
        <v>360</v>
      </c>
      <c r="Y2" s="1" t="s">
        <v>360</v>
      </c>
    </row>
    <row r="3" spans="11:25" ht="12.75">
      <c r="K3" s="1" t="s">
        <v>218</v>
      </c>
      <c r="Y3" s="1" t="s">
        <v>218</v>
      </c>
    </row>
    <row r="4" spans="11:25" ht="12.75">
      <c r="K4" s="1" t="s">
        <v>733</v>
      </c>
      <c r="Y4" s="1" t="s">
        <v>733</v>
      </c>
    </row>
    <row r="6" spans="1:12" ht="18">
      <c r="A6" s="945" t="s">
        <v>484</v>
      </c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</row>
    <row r="7" spans="7:26" ht="13.5" thickBot="1">
      <c r="G7" s="9"/>
      <c r="L7" s="9" t="s">
        <v>626</v>
      </c>
      <c r="Z7" s="727" t="s">
        <v>626</v>
      </c>
    </row>
    <row r="8" spans="1:26" ht="24.75" customHeight="1" thickBot="1">
      <c r="A8" s="1073" t="s">
        <v>564</v>
      </c>
      <c r="B8" s="1073" t="s">
        <v>586</v>
      </c>
      <c r="C8" s="1071" t="s">
        <v>744</v>
      </c>
      <c r="D8" s="1071" t="s">
        <v>642</v>
      </c>
      <c r="E8" s="1068" t="s">
        <v>485</v>
      </c>
      <c r="F8" s="1069"/>
      <c r="G8" s="1069"/>
      <c r="H8" s="1069"/>
      <c r="I8" s="1069"/>
      <c r="J8" s="1069"/>
      <c r="K8" s="1069"/>
      <c r="L8" s="1070"/>
      <c r="M8" s="1068" t="s">
        <v>485</v>
      </c>
      <c r="N8" s="1069"/>
      <c r="O8" s="1069"/>
      <c r="P8" s="1069"/>
      <c r="Q8" s="1069"/>
      <c r="R8" s="1069"/>
      <c r="S8" s="1069"/>
      <c r="T8" s="1069"/>
      <c r="U8" s="1069"/>
      <c r="V8" s="1069"/>
      <c r="W8" s="1069"/>
      <c r="X8" s="1069"/>
      <c r="Y8" s="1069"/>
      <c r="Z8" s="1070"/>
    </row>
    <row r="9" spans="1:26" ht="30" customHeight="1" thickBot="1">
      <c r="A9" s="1074"/>
      <c r="B9" s="1074"/>
      <c r="C9" s="1072"/>
      <c r="D9" s="1072"/>
      <c r="E9" s="726" t="s">
        <v>517</v>
      </c>
      <c r="F9" s="726" t="s">
        <v>643</v>
      </c>
      <c r="G9" s="726" t="s">
        <v>518</v>
      </c>
      <c r="H9" s="726" t="s">
        <v>519</v>
      </c>
      <c r="I9" s="726" t="s">
        <v>520</v>
      </c>
      <c r="J9" s="726" t="s">
        <v>521</v>
      </c>
      <c r="K9" s="726" t="s">
        <v>522</v>
      </c>
      <c r="L9" s="726" t="s">
        <v>523</v>
      </c>
      <c r="M9" s="726" t="s">
        <v>524</v>
      </c>
      <c r="N9" s="726" t="s">
        <v>525</v>
      </c>
      <c r="O9" s="726" t="s">
        <v>526</v>
      </c>
      <c r="P9" s="726" t="s">
        <v>527</v>
      </c>
      <c r="Q9" s="726" t="s">
        <v>528</v>
      </c>
      <c r="R9" s="726" t="s">
        <v>529</v>
      </c>
      <c r="S9" s="726" t="s">
        <v>530</v>
      </c>
      <c r="T9" s="726" t="s">
        <v>531</v>
      </c>
      <c r="U9" s="726" t="s">
        <v>532</v>
      </c>
      <c r="V9" s="726" t="s">
        <v>533</v>
      </c>
      <c r="W9" s="726" t="s">
        <v>534</v>
      </c>
      <c r="X9" s="726" t="s">
        <v>535</v>
      </c>
      <c r="Y9" s="726" t="s">
        <v>536</v>
      </c>
      <c r="Z9" s="726" t="s">
        <v>537</v>
      </c>
    </row>
    <row r="10" spans="1:26" ht="7.5" customHeight="1" thickBot="1">
      <c r="A10" s="714">
        <v>1</v>
      </c>
      <c r="B10" s="714">
        <v>2</v>
      </c>
      <c r="C10" s="714">
        <v>3</v>
      </c>
      <c r="D10" s="714">
        <v>4</v>
      </c>
      <c r="E10" s="714">
        <v>5</v>
      </c>
      <c r="F10" s="714">
        <v>6</v>
      </c>
      <c r="G10" s="714">
        <v>7</v>
      </c>
      <c r="H10" s="714">
        <v>8</v>
      </c>
      <c r="I10" s="714">
        <v>9</v>
      </c>
      <c r="J10" s="714">
        <v>10</v>
      </c>
      <c r="K10" s="714">
        <v>11</v>
      </c>
      <c r="L10" s="714">
        <v>12</v>
      </c>
      <c r="M10" s="714">
        <v>13</v>
      </c>
      <c r="N10" s="714">
        <v>14</v>
      </c>
      <c r="O10" s="714">
        <v>15</v>
      </c>
      <c r="P10" s="714">
        <v>16</v>
      </c>
      <c r="Q10" s="714">
        <v>17</v>
      </c>
      <c r="R10" s="714">
        <v>18</v>
      </c>
      <c r="S10" s="714">
        <v>19</v>
      </c>
      <c r="T10" s="714">
        <v>20</v>
      </c>
      <c r="U10" s="714">
        <v>21</v>
      </c>
      <c r="V10" s="714">
        <v>22</v>
      </c>
      <c r="W10" s="714">
        <v>23</v>
      </c>
      <c r="X10" s="714">
        <v>24</v>
      </c>
      <c r="Y10" s="714">
        <v>25</v>
      </c>
      <c r="Z10" s="714">
        <v>26</v>
      </c>
    </row>
    <row r="11" spans="1:26" ht="13.5" customHeight="1">
      <c r="A11" s="731" t="s">
        <v>596</v>
      </c>
      <c r="B11" s="715" t="s">
        <v>486</v>
      </c>
      <c r="C11" s="728">
        <f>'Prognoza dł. 8'!D33</f>
        <v>37952654</v>
      </c>
      <c r="D11" s="728">
        <f>D12+D16+D17</f>
        <v>35556867</v>
      </c>
      <c r="E11" s="728">
        <f>'Prognoza dł. 8'!F33</f>
        <v>32947688</v>
      </c>
      <c r="F11" s="728">
        <f aca="true" t="shared" si="0" ref="F11:Z11">F12+F16+F17</f>
        <v>33477165</v>
      </c>
      <c r="G11" s="728">
        <f t="shared" si="0"/>
        <v>33941856.5</v>
      </c>
      <c r="H11" s="728">
        <f t="shared" si="0"/>
        <v>34214888.37305</v>
      </c>
      <c r="I11" s="728">
        <f t="shared" si="0"/>
        <v>34694442.21959625</v>
      </c>
      <c r="J11" s="728">
        <f t="shared" si="0"/>
        <v>35182696.198696814</v>
      </c>
      <c r="K11" s="728">
        <f t="shared" si="0"/>
        <v>35567786.348711945</v>
      </c>
      <c r="L11" s="728">
        <f t="shared" si="0"/>
        <v>36072913.198873945</v>
      </c>
      <c r="M11" s="728">
        <f t="shared" si="0"/>
        <v>36361852.83502796</v>
      </c>
      <c r="N11" s="728">
        <f t="shared" si="0"/>
        <v>36781675.848908655</v>
      </c>
      <c r="O11" s="728">
        <f t="shared" si="0"/>
        <v>37190127.446579725</v>
      </c>
      <c r="P11" s="728">
        <f t="shared" si="0"/>
        <v>37577218.97653034</v>
      </c>
      <c r="Q11" s="728">
        <f t="shared" si="0"/>
        <v>37870781.99742096</v>
      </c>
      <c r="R11" s="728">
        <f t="shared" si="0"/>
        <v>38182592.06092164</v>
      </c>
      <c r="S11" s="728">
        <f t="shared" si="0"/>
        <v>38580051.01725958</v>
      </c>
      <c r="T11" s="728">
        <f t="shared" si="0"/>
        <v>38983049.18459958</v>
      </c>
      <c r="U11" s="728">
        <f t="shared" si="0"/>
        <v>39308328.12187043</v>
      </c>
      <c r="V11" s="728">
        <f t="shared" si="0"/>
        <v>39747004.813648716</v>
      </c>
      <c r="W11" s="728">
        <f t="shared" si="0"/>
        <v>40194605.35681734</v>
      </c>
      <c r="X11" s="728">
        <f t="shared" si="0"/>
        <v>40651362.9450811</v>
      </c>
      <c r="Y11" s="728">
        <f t="shared" si="0"/>
        <v>41120936.30388907</v>
      </c>
      <c r="Z11" s="728">
        <f t="shared" si="0"/>
        <v>41514444.277390935</v>
      </c>
    </row>
    <row r="12" spans="1:26" ht="13.5" customHeight="1">
      <c r="A12" s="717" t="s">
        <v>487</v>
      </c>
      <c r="B12" s="718" t="s">
        <v>488</v>
      </c>
      <c r="C12" s="724">
        <f aca="true" t="shared" si="1" ref="C12:Z12">SUM(C13:C15)</f>
        <v>10269163</v>
      </c>
      <c r="D12" s="828">
        <f t="shared" si="1"/>
        <v>9498706</v>
      </c>
      <c r="E12" s="724">
        <f t="shared" si="1"/>
        <v>8335474</v>
      </c>
      <c r="F12" s="724">
        <f t="shared" si="1"/>
        <v>8118829</v>
      </c>
      <c r="G12" s="724">
        <f t="shared" si="1"/>
        <v>8329937.14</v>
      </c>
      <c r="H12" s="724">
        <f>H13+H14+H15</f>
        <v>8546848.819449998</v>
      </c>
      <c r="I12" s="724">
        <f t="shared" si="1"/>
        <v>8769722.86862525</v>
      </c>
      <c r="J12" s="724">
        <f t="shared" si="1"/>
        <v>8998730.628696812</v>
      </c>
      <c r="K12" s="724">
        <f t="shared" si="1"/>
        <v>9234040.648711946</v>
      </c>
      <c r="L12" s="724">
        <f t="shared" si="1"/>
        <v>9475830.041873943</v>
      </c>
      <c r="M12" s="724">
        <f t="shared" si="1"/>
        <v>9631784.262242964</v>
      </c>
      <c r="N12" s="724">
        <f t="shared" si="1"/>
        <v>9884306.590395806</v>
      </c>
      <c r="O12" s="724">
        <f t="shared" si="1"/>
        <v>10143784.495481743</v>
      </c>
      <c r="P12" s="724">
        <f t="shared" si="1"/>
        <v>10410412.595921382</v>
      </c>
      <c r="Q12" s="724">
        <f t="shared" si="1"/>
        <v>10582307.553005913</v>
      </c>
      <c r="R12" s="724">
        <f t="shared" si="1"/>
        <v>10757675.244284514</v>
      </c>
      <c r="S12" s="724">
        <f t="shared" si="1"/>
        <v>10910560.70450724</v>
      </c>
      <c r="T12" s="724">
        <f t="shared" si="1"/>
        <v>11066688.019131113</v>
      </c>
      <c r="U12" s="724">
        <f t="shared" si="1"/>
        <v>11357609.440331947</v>
      </c>
      <c r="V12" s="724">
        <f t="shared" si="1"/>
        <v>11656532.538702548</v>
      </c>
      <c r="W12" s="724">
        <f t="shared" si="1"/>
        <v>11963680.720496442</v>
      </c>
      <c r="X12" s="724">
        <f t="shared" si="1"/>
        <v>12279283.685578596</v>
      </c>
      <c r="Y12" s="724">
        <f t="shared" si="1"/>
        <v>12606996.64808907</v>
      </c>
      <c r="Z12" s="724">
        <f t="shared" si="1"/>
        <v>12857934.92331193</v>
      </c>
    </row>
    <row r="13" spans="1:27" ht="13.5" customHeight="1">
      <c r="A13" s="717" t="s">
        <v>597</v>
      </c>
      <c r="B13" s="718" t="s">
        <v>489</v>
      </c>
      <c r="C13" s="724">
        <v>5922125</v>
      </c>
      <c r="D13" s="828">
        <f>'Dochody-ukł.wykon.'!H261+'Dochody-ukł.wykon.'!H268</f>
        <v>4238820</v>
      </c>
      <c r="E13" s="724">
        <v>3760380</v>
      </c>
      <c r="F13" s="724">
        <v>3873191</v>
      </c>
      <c r="G13" s="724">
        <f aca="true" t="shared" si="2" ref="G13:X13">F13*1.03</f>
        <v>3989386.73</v>
      </c>
      <c r="H13" s="724">
        <f>G13*1.03+1</f>
        <v>4109069.3319</v>
      </c>
      <c r="I13" s="724">
        <v>4232340</v>
      </c>
      <c r="J13" s="724">
        <v>4359311</v>
      </c>
      <c r="K13" s="724">
        <f t="shared" si="2"/>
        <v>4490090.33</v>
      </c>
      <c r="L13" s="724">
        <f t="shared" si="2"/>
        <v>4624793.0399</v>
      </c>
      <c r="M13" s="724">
        <f>L13*1.01</f>
        <v>4671040.970299</v>
      </c>
      <c r="N13" s="724">
        <f t="shared" si="2"/>
        <v>4811172.19940797</v>
      </c>
      <c r="O13" s="724">
        <f t="shared" si="2"/>
        <v>4955507.365390209</v>
      </c>
      <c r="P13" s="724">
        <f t="shared" si="2"/>
        <v>5104172.586351915</v>
      </c>
      <c r="Q13" s="724">
        <f>P13*1.01</f>
        <v>5155214.312215434</v>
      </c>
      <c r="R13" s="724">
        <f>Q13*1.01</f>
        <v>5206766.455337589</v>
      </c>
      <c r="S13" s="724">
        <f>R13*1.005</f>
        <v>5232800.287614276</v>
      </c>
      <c r="T13" s="724">
        <f>S13*1.005</f>
        <v>5258964.289052347</v>
      </c>
      <c r="U13" s="724">
        <f t="shared" si="2"/>
        <v>5416733.217723917</v>
      </c>
      <c r="V13" s="724">
        <f t="shared" si="2"/>
        <v>5579235.214255635</v>
      </c>
      <c r="W13" s="724">
        <f t="shared" si="2"/>
        <v>5746612.2706833035</v>
      </c>
      <c r="X13" s="724">
        <f t="shared" si="2"/>
        <v>5919010.638803802</v>
      </c>
      <c r="Y13" s="724">
        <v>6100000</v>
      </c>
      <c r="Z13" s="724">
        <v>6200608</v>
      </c>
      <c r="AA13"/>
    </row>
    <row r="14" spans="1:26" ht="13.5" customHeight="1">
      <c r="A14" s="717" t="s">
        <v>598</v>
      </c>
      <c r="B14" s="718" t="s">
        <v>490</v>
      </c>
      <c r="C14" s="724">
        <v>1382219</v>
      </c>
      <c r="D14" s="828">
        <f>'Dochody-ukł.wykon.'!H260</f>
        <v>1698090</v>
      </c>
      <c r="E14" s="724">
        <v>980742</v>
      </c>
      <c r="F14" s="724">
        <v>561427</v>
      </c>
      <c r="G14" s="724">
        <f>F14*1.005</f>
        <v>564234.1349999999</v>
      </c>
      <c r="H14" s="724">
        <f>G14*1.005</f>
        <v>567055.3056749998</v>
      </c>
      <c r="I14" s="724">
        <f>H14*1.005</f>
        <v>569890.5822033748</v>
      </c>
      <c r="J14" s="724">
        <f>I14*1.005</f>
        <v>572740.0351143916</v>
      </c>
      <c r="K14" s="724">
        <f>J14*1.005</f>
        <v>575603.7352899635</v>
      </c>
      <c r="L14" s="724">
        <f aca="true" t="shared" si="3" ref="L14:Z14">K14*1.005</f>
        <v>578481.7539664133</v>
      </c>
      <c r="M14" s="724">
        <f t="shared" si="3"/>
        <v>581374.1627362453</v>
      </c>
      <c r="N14" s="724">
        <f t="shared" si="3"/>
        <v>584281.0335499265</v>
      </c>
      <c r="O14" s="724">
        <f t="shared" si="3"/>
        <v>587202.4387176761</v>
      </c>
      <c r="P14" s="724">
        <f t="shared" si="3"/>
        <v>590138.4509112644</v>
      </c>
      <c r="Q14" s="724">
        <f t="shared" si="3"/>
        <v>593089.1431658206</v>
      </c>
      <c r="R14" s="724">
        <f t="shared" si="3"/>
        <v>596054.5888816497</v>
      </c>
      <c r="S14" s="724">
        <f t="shared" si="3"/>
        <v>599034.8618260579</v>
      </c>
      <c r="T14" s="724">
        <f t="shared" si="3"/>
        <v>602030.0361351881</v>
      </c>
      <c r="U14" s="724">
        <f t="shared" si="3"/>
        <v>605040.186315864</v>
      </c>
      <c r="V14" s="724">
        <f t="shared" si="3"/>
        <v>608065.3872474432</v>
      </c>
      <c r="W14" s="724">
        <f t="shared" si="3"/>
        <v>611105.7141836804</v>
      </c>
      <c r="X14" s="724">
        <f t="shared" si="3"/>
        <v>614161.2427545987</v>
      </c>
      <c r="Y14" s="724">
        <f t="shared" si="3"/>
        <v>617232.0489683717</v>
      </c>
      <c r="Z14" s="724">
        <f t="shared" si="3"/>
        <v>620318.2092132135</v>
      </c>
    </row>
    <row r="15" spans="1:29" ht="13.5" customHeight="1">
      <c r="A15" s="717" t="s">
        <v>599</v>
      </c>
      <c r="B15" s="716" t="s">
        <v>491</v>
      </c>
      <c r="C15" s="725">
        <v>2964819</v>
      </c>
      <c r="D15" s="827">
        <f>'Dochody-ukł.wykon.'!H259</f>
        <v>3561796</v>
      </c>
      <c r="E15" s="725">
        <v>3594352</v>
      </c>
      <c r="F15" s="725">
        <v>3684211</v>
      </c>
      <c r="G15" s="725">
        <f aca="true" t="shared" si="4" ref="G15:Z15">F15*1.025</f>
        <v>3776316.2749999994</v>
      </c>
      <c r="H15" s="725">
        <f t="shared" si="4"/>
        <v>3870724.1818749993</v>
      </c>
      <c r="I15" s="725">
        <f t="shared" si="4"/>
        <v>3967492.286421874</v>
      </c>
      <c r="J15" s="725">
        <f t="shared" si="4"/>
        <v>4066679.5935824206</v>
      </c>
      <c r="K15" s="725">
        <f t="shared" si="4"/>
        <v>4168346.583421981</v>
      </c>
      <c r="L15" s="725">
        <f t="shared" si="4"/>
        <v>4272555.24800753</v>
      </c>
      <c r="M15" s="725">
        <f t="shared" si="4"/>
        <v>4379369.129207718</v>
      </c>
      <c r="N15" s="725">
        <f t="shared" si="4"/>
        <v>4488853.3574379105</v>
      </c>
      <c r="O15" s="725">
        <f t="shared" si="4"/>
        <v>4601074.691373858</v>
      </c>
      <c r="P15" s="725">
        <f t="shared" si="4"/>
        <v>4716101.558658204</v>
      </c>
      <c r="Q15" s="725">
        <f t="shared" si="4"/>
        <v>4834004.097624659</v>
      </c>
      <c r="R15" s="725">
        <f t="shared" si="4"/>
        <v>4954854.200065275</v>
      </c>
      <c r="S15" s="725">
        <f t="shared" si="4"/>
        <v>5078725.555066906</v>
      </c>
      <c r="T15" s="725">
        <f t="shared" si="4"/>
        <v>5205693.693943578</v>
      </c>
      <c r="U15" s="725">
        <f t="shared" si="4"/>
        <v>5335836.036292166</v>
      </c>
      <c r="V15" s="725">
        <f t="shared" si="4"/>
        <v>5469231.937199471</v>
      </c>
      <c r="W15" s="725">
        <f t="shared" si="4"/>
        <v>5605962.735629457</v>
      </c>
      <c r="X15" s="725">
        <f t="shared" si="4"/>
        <v>5746111.804020193</v>
      </c>
      <c r="Y15" s="725">
        <f t="shared" si="4"/>
        <v>5889764.599120698</v>
      </c>
      <c r="Z15" s="725">
        <f t="shared" si="4"/>
        <v>6037008.714098715</v>
      </c>
      <c r="AA15"/>
      <c r="AB15"/>
      <c r="AC15"/>
    </row>
    <row r="16" spans="1:26" ht="13.5" customHeight="1">
      <c r="A16" s="717" t="s">
        <v>492</v>
      </c>
      <c r="B16" s="719" t="s">
        <v>493</v>
      </c>
      <c r="C16" s="724">
        <v>16726387</v>
      </c>
      <c r="D16" s="828">
        <f>'Dochody-ukł.wykon.'!H267</f>
        <v>19804026</v>
      </c>
      <c r="E16" s="724">
        <v>19345213</v>
      </c>
      <c r="F16" s="724">
        <v>20038665</v>
      </c>
      <c r="G16" s="724">
        <f>F16*1.01</f>
        <v>20239051.65</v>
      </c>
      <c r="H16" s="724">
        <f>G16*1.01-200000+1</f>
        <v>20241443.1665</v>
      </c>
      <c r="I16" s="724">
        <v>20443857</v>
      </c>
      <c r="J16" s="724">
        <f>I16*1.01</f>
        <v>20648295.57</v>
      </c>
      <c r="K16" s="724">
        <v>20742719</v>
      </c>
      <c r="L16" s="724">
        <f>K16*1.01</f>
        <v>20950146.19</v>
      </c>
      <c r="M16" s="724">
        <f>L16*1.005</f>
        <v>21054896.92095</v>
      </c>
      <c r="N16" s="724">
        <f>M16*1.01-100000</f>
        <v>21165445.8901595</v>
      </c>
      <c r="O16" s="724">
        <f>N16*1.01-120000</f>
        <v>21257100.349061094</v>
      </c>
      <c r="P16" s="724">
        <f>O16*1.01-150000</f>
        <v>21319671.352551706</v>
      </c>
      <c r="Q16" s="724">
        <f>P16*1.01-150000</f>
        <v>21382868.066077225</v>
      </c>
      <c r="R16" s="724">
        <f>Q16*1.005</f>
        <v>21489782.40640761</v>
      </c>
      <c r="S16" s="724">
        <f>R16*1.01</f>
        <v>21704680.230471686</v>
      </c>
      <c r="T16" s="724">
        <f>S16*1.01</f>
        <v>21921727.032776404</v>
      </c>
      <c r="U16" s="724">
        <f>T16*1.0002</f>
        <v>21926111.37818296</v>
      </c>
      <c r="V16" s="724">
        <f>U16*1.005</f>
        <v>22035741.93507387</v>
      </c>
      <c r="W16" s="724">
        <f>V16*1.005</f>
        <v>22145920.64474924</v>
      </c>
      <c r="X16" s="724">
        <f>W16*1.005</f>
        <v>22256650.247972984</v>
      </c>
      <c r="Y16" s="724">
        <f>X16*1.005</f>
        <v>22367933.499212846</v>
      </c>
      <c r="Z16" s="724">
        <f>Y16*1.005</f>
        <v>22479773.16670891</v>
      </c>
    </row>
    <row r="17" spans="1:26" ht="13.5" customHeight="1">
      <c r="A17" s="717" t="s">
        <v>494</v>
      </c>
      <c r="B17" s="718" t="s">
        <v>495</v>
      </c>
      <c r="C17" s="724">
        <v>11549508</v>
      </c>
      <c r="D17" s="828">
        <f>'Dochody-ukł.wykon.'!H262</f>
        <v>6254135</v>
      </c>
      <c r="E17" s="724">
        <v>5267001</v>
      </c>
      <c r="F17" s="724">
        <v>5319671</v>
      </c>
      <c r="G17" s="724">
        <f>F17*1.01</f>
        <v>5372867.71</v>
      </c>
      <c r="H17" s="724">
        <f>G17*1.01</f>
        <v>5426596.3871</v>
      </c>
      <c r="I17" s="724">
        <f aca="true" t="shared" si="5" ref="I17:Q17">H17*1.01</f>
        <v>5480862.350971</v>
      </c>
      <c r="J17" s="724">
        <v>5535670</v>
      </c>
      <c r="K17" s="724">
        <f t="shared" si="5"/>
        <v>5591026.7</v>
      </c>
      <c r="L17" s="724">
        <f t="shared" si="5"/>
        <v>5646936.967</v>
      </c>
      <c r="M17" s="724">
        <f>L17*1.005</f>
        <v>5675171.651834999</v>
      </c>
      <c r="N17" s="724">
        <f t="shared" si="5"/>
        <v>5731923.368353349</v>
      </c>
      <c r="O17" s="724">
        <f t="shared" si="5"/>
        <v>5789242.602036883</v>
      </c>
      <c r="P17" s="724">
        <f t="shared" si="5"/>
        <v>5847135.028057252</v>
      </c>
      <c r="Q17" s="724">
        <f t="shared" si="5"/>
        <v>5905606.378337825</v>
      </c>
      <c r="R17" s="724">
        <f>Q17*1.005</f>
        <v>5935134.410229513</v>
      </c>
      <c r="S17" s="724">
        <f aca="true" t="shared" si="6" ref="S17:Y17">R17*1.005</f>
        <v>5964810.08228066</v>
      </c>
      <c r="T17" s="724">
        <f t="shared" si="6"/>
        <v>5994634.132692062</v>
      </c>
      <c r="U17" s="724">
        <f t="shared" si="6"/>
        <v>6024607.3033555215</v>
      </c>
      <c r="V17" s="724">
        <f>U17*1.005</f>
        <v>6054730.339872299</v>
      </c>
      <c r="W17" s="724">
        <f t="shared" si="6"/>
        <v>6085003.991571659</v>
      </c>
      <c r="X17" s="724">
        <f t="shared" si="6"/>
        <v>6115429.011529516</v>
      </c>
      <c r="Y17" s="724">
        <f t="shared" si="6"/>
        <v>6146006.156587163</v>
      </c>
      <c r="Z17" s="724">
        <f>Y17*1.005</f>
        <v>6176736.187370098</v>
      </c>
    </row>
    <row r="18" spans="1:26" ht="13.5" customHeight="1">
      <c r="A18" s="717" t="s">
        <v>601</v>
      </c>
      <c r="B18" s="720" t="s">
        <v>496</v>
      </c>
      <c r="C18" s="729">
        <v>38611589</v>
      </c>
      <c r="D18" s="829">
        <f>'Wydatki wg grup'!G103</f>
        <v>33973495</v>
      </c>
      <c r="E18" s="729">
        <v>32305435</v>
      </c>
      <c r="F18" s="729">
        <v>32626310</v>
      </c>
      <c r="G18" s="729">
        <v>32950393</v>
      </c>
      <c r="H18" s="729">
        <v>33277717</v>
      </c>
      <c r="I18" s="729">
        <v>33608314</v>
      </c>
      <c r="J18" s="729">
        <v>33942217</v>
      </c>
      <c r="K18" s="729">
        <v>34257659</v>
      </c>
      <c r="L18" s="729">
        <v>34576474</v>
      </c>
      <c r="M18" s="729">
        <f>L18*1.02</f>
        <v>35268003.480000004</v>
      </c>
      <c r="N18" s="729">
        <f aca="true" t="shared" si="7" ref="N18:Z18">M18*1.01</f>
        <v>35620683.514800005</v>
      </c>
      <c r="O18" s="729">
        <f t="shared" si="7"/>
        <v>35976890.349948004</v>
      </c>
      <c r="P18" s="729">
        <f t="shared" si="7"/>
        <v>36336659.25344749</v>
      </c>
      <c r="Q18" s="729">
        <f>P18*1.01</f>
        <v>36700025.84598196</v>
      </c>
      <c r="R18" s="729">
        <f t="shared" si="7"/>
        <v>37067026.104441784</v>
      </c>
      <c r="S18" s="729">
        <f t="shared" si="7"/>
        <v>37437696.365486205</v>
      </c>
      <c r="T18" s="729">
        <f t="shared" si="7"/>
        <v>37812073.329141065</v>
      </c>
      <c r="U18" s="729">
        <f>T18*1.01</f>
        <v>38190194.062432475</v>
      </c>
      <c r="V18" s="729">
        <f t="shared" si="7"/>
        <v>38572096.0030568</v>
      </c>
      <c r="W18" s="729">
        <f t="shared" si="7"/>
        <v>38957816.96308737</v>
      </c>
      <c r="X18" s="729">
        <f t="shared" si="7"/>
        <v>39347395.13271825</v>
      </c>
      <c r="Y18" s="729">
        <f>X18*1.01</f>
        <v>39740869.08404543</v>
      </c>
      <c r="Z18" s="729">
        <f t="shared" si="7"/>
        <v>40138277.774885885</v>
      </c>
    </row>
    <row r="19" spans="1:26" ht="13.5" customHeight="1">
      <c r="A19" s="717" t="s">
        <v>602</v>
      </c>
      <c r="B19" s="720" t="s">
        <v>497</v>
      </c>
      <c r="C19" s="729">
        <f aca="true" t="shared" si="8" ref="C19:Z19">C20+C24+C28+C29+C30</f>
        <v>1224421</v>
      </c>
      <c r="D19" s="729">
        <f t="shared" si="8"/>
        <v>4933285</v>
      </c>
      <c r="E19" s="729">
        <f t="shared" si="8"/>
        <v>966143.277</v>
      </c>
      <c r="F19" s="729">
        <f t="shared" si="8"/>
        <v>966143.277</v>
      </c>
      <c r="G19" s="729">
        <f t="shared" si="8"/>
        <v>966143.277</v>
      </c>
      <c r="H19" s="729">
        <f t="shared" si="8"/>
        <v>966143.277</v>
      </c>
      <c r="I19" s="729">
        <f t="shared" si="8"/>
        <v>966143.277</v>
      </c>
      <c r="J19" s="729">
        <f t="shared" si="8"/>
        <v>1534623.02</v>
      </c>
      <c r="K19" s="729">
        <f t="shared" si="8"/>
        <v>1864179.04</v>
      </c>
      <c r="L19" s="729">
        <f t="shared" si="8"/>
        <v>1805638.06</v>
      </c>
      <c r="M19" s="729">
        <f t="shared" si="8"/>
        <v>1458209.08</v>
      </c>
      <c r="N19" s="729">
        <f t="shared" si="8"/>
        <v>1399385.8</v>
      </c>
      <c r="O19" s="729">
        <f t="shared" si="8"/>
        <v>1184280.12</v>
      </c>
      <c r="P19" s="729">
        <f t="shared" si="8"/>
        <v>1135574.44</v>
      </c>
      <c r="Q19" s="729">
        <f t="shared" si="8"/>
        <v>1086868.76</v>
      </c>
      <c r="R19" s="729">
        <f t="shared" si="8"/>
        <v>1063163.08</v>
      </c>
      <c r="S19" s="729">
        <f t="shared" si="8"/>
        <v>1014457.4</v>
      </c>
      <c r="T19" s="729">
        <f t="shared" si="8"/>
        <v>564351.72</v>
      </c>
      <c r="U19" s="729">
        <f t="shared" si="8"/>
        <v>564246.04</v>
      </c>
      <c r="V19" s="729">
        <f t="shared" si="8"/>
        <v>539140.36</v>
      </c>
      <c r="W19" s="729">
        <f t="shared" si="8"/>
        <v>639034.6799999999</v>
      </c>
      <c r="X19" s="729">
        <f t="shared" si="8"/>
        <v>476929</v>
      </c>
      <c r="Y19" s="729">
        <f t="shared" si="8"/>
        <v>450823.32</v>
      </c>
      <c r="Z19" s="729">
        <f t="shared" si="8"/>
        <v>237647</v>
      </c>
    </row>
    <row r="20" spans="1:26" ht="26.25" customHeight="1">
      <c r="A20" s="717" t="s">
        <v>487</v>
      </c>
      <c r="B20" s="721" t="s">
        <v>498</v>
      </c>
      <c r="C20" s="724">
        <f aca="true" t="shared" si="9" ref="C20:Z20">SUM(C21:C23)</f>
        <v>1224421</v>
      </c>
      <c r="D20" s="724">
        <f t="shared" si="9"/>
        <v>4629397</v>
      </c>
      <c r="E20" s="724">
        <f t="shared" si="9"/>
        <v>677255.277</v>
      </c>
      <c r="F20" s="724">
        <f t="shared" si="9"/>
        <v>677255.277</v>
      </c>
      <c r="G20" s="724">
        <f t="shared" si="9"/>
        <v>677255.277</v>
      </c>
      <c r="H20" s="724">
        <f t="shared" si="9"/>
        <v>677255.277</v>
      </c>
      <c r="I20" s="724">
        <f t="shared" si="9"/>
        <v>677255.277</v>
      </c>
      <c r="J20" s="724">
        <f t="shared" si="9"/>
        <v>845735.02</v>
      </c>
      <c r="K20" s="724">
        <f t="shared" si="9"/>
        <v>1175291.04</v>
      </c>
      <c r="L20" s="724">
        <f t="shared" si="9"/>
        <v>1116750.06</v>
      </c>
      <c r="M20" s="724">
        <f t="shared" si="9"/>
        <v>1058209.08</v>
      </c>
      <c r="N20" s="724">
        <f t="shared" si="9"/>
        <v>999385.8</v>
      </c>
      <c r="O20" s="724">
        <f t="shared" si="9"/>
        <v>784280.12</v>
      </c>
      <c r="P20" s="724">
        <f t="shared" si="9"/>
        <v>735574.44</v>
      </c>
      <c r="Q20" s="724">
        <f t="shared" si="9"/>
        <v>686868.76</v>
      </c>
      <c r="R20" s="724">
        <f t="shared" si="9"/>
        <v>663163.0800000001</v>
      </c>
      <c r="S20" s="724">
        <f t="shared" si="9"/>
        <v>614457.4</v>
      </c>
      <c r="T20" s="724">
        <f t="shared" si="9"/>
        <v>564351.72</v>
      </c>
      <c r="U20" s="724">
        <f t="shared" si="9"/>
        <v>564246.04</v>
      </c>
      <c r="V20" s="724">
        <f t="shared" si="9"/>
        <v>539140.36</v>
      </c>
      <c r="W20" s="724">
        <f t="shared" si="9"/>
        <v>639034.6799999999</v>
      </c>
      <c r="X20" s="724">
        <f t="shared" si="9"/>
        <v>476929</v>
      </c>
      <c r="Y20" s="724">
        <f t="shared" si="9"/>
        <v>450823.32</v>
      </c>
      <c r="Z20" s="724">
        <f t="shared" si="9"/>
        <v>237647</v>
      </c>
    </row>
    <row r="21" spans="1:26" ht="13.5" customHeight="1">
      <c r="A21" s="717" t="s">
        <v>597</v>
      </c>
      <c r="B21" s="718" t="s">
        <v>499</v>
      </c>
      <c r="C21" s="724">
        <v>628734</v>
      </c>
      <c r="D21" s="724">
        <f>'Żródła finans.'!E27+'Żródła finans.'!E28</f>
        <v>4000000</v>
      </c>
      <c r="E21" s="724">
        <v>0</v>
      </c>
      <c r="F21" s="724">
        <v>0</v>
      </c>
      <c r="G21" s="724">
        <v>0</v>
      </c>
      <c r="H21" s="724">
        <v>0</v>
      </c>
      <c r="I21" s="724">
        <v>0</v>
      </c>
      <c r="J21" s="724">
        <v>204123</v>
      </c>
      <c r="K21" s="724">
        <v>592220</v>
      </c>
      <c r="L21" s="724">
        <v>592220</v>
      </c>
      <c r="M21" s="724">
        <v>592220</v>
      </c>
      <c r="N21" s="724">
        <v>591920</v>
      </c>
      <c r="O21" s="724">
        <v>425520</v>
      </c>
      <c r="P21" s="724">
        <v>425520</v>
      </c>
      <c r="Q21" s="724">
        <v>425520</v>
      </c>
      <c r="R21" s="724">
        <v>425520</v>
      </c>
      <c r="S21" s="724">
        <v>425520</v>
      </c>
      <c r="T21" s="724">
        <v>425520</v>
      </c>
      <c r="U21" s="724">
        <v>425520</v>
      </c>
      <c r="V21" s="724">
        <v>425520</v>
      </c>
      <c r="W21" s="724">
        <v>425520</v>
      </c>
      <c r="X21" s="724">
        <v>425520</v>
      </c>
      <c r="Y21" s="724">
        <v>425520</v>
      </c>
      <c r="Z21" s="724">
        <v>225480</v>
      </c>
    </row>
    <row r="22" spans="1:26" ht="24" customHeight="1">
      <c r="A22" s="717" t="s">
        <v>598</v>
      </c>
      <c r="B22" s="721" t="s">
        <v>500</v>
      </c>
      <c r="C22" s="718"/>
      <c r="D22" s="718"/>
      <c r="E22" s="718"/>
      <c r="F22" s="718"/>
      <c r="G22" s="718"/>
      <c r="H22" s="718"/>
      <c r="I22" s="718"/>
      <c r="J22" s="718"/>
      <c r="K22" s="718"/>
      <c r="L22" s="718"/>
      <c r="M22" s="718"/>
      <c r="N22" s="718"/>
      <c r="O22" s="718"/>
      <c r="P22" s="718"/>
      <c r="Q22" s="718"/>
      <c r="R22" s="718"/>
      <c r="S22" s="718"/>
      <c r="T22" s="718"/>
      <c r="U22" s="718"/>
      <c r="V22" s="718"/>
      <c r="W22" s="718"/>
      <c r="X22" s="718"/>
      <c r="Y22" s="718"/>
      <c r="Z22" s="718"/>
    </row>
    <row r="23" spans="1:26" ht="13.5" customHeight="1">
      <c r="A23" s="717" t="s">
        <v>599</v>
      </c>
      <c r="B23" s="718" t="s">
        <v>501</v>
      </c>
      <c r="C23" s="724">
        <v>595687</v>
      </c>
      <c r="D23" s="724">
        <f>'WYDATKI ukł.wyk.'!H206</f>
        <v>629397</v>
      </c>
      <c r="E23" s="724">
        <f>E32*5.9%</f>
        <v>677255.277</v>
      </c>
      <c r="F23" s="724">
        <f aca="true" t="shared" si="10" ref="F23:Q23">F32*5.9%</f>
        <v>677255.277</v>
      </c>
      <c r="G23" s="724">
        <f t="shared" si="10"/>
        <v>677255.277</v>
      </c>
      <c r="H23" s="724">
        <f>H32*5.9%</f>
        <v>677255.277</v>
      </c>
      <c r="I23" s="724">
        <f t="shared" si="10"/>
        <v>677255.277</v>
      </c>
      <c r="J23" s="724">
        <f t="shared" si="10"/>
        <v>641612.02</v>
      </c>
      <c r="K23" s="724">
        <f>K32*5.9%</f>
        <v>583071.04</v>
      </c>
      <c r="L23" s="724">
        <f t="shared" si="10"/>
        <v>524530.06</v>
      </c>
      <c r="M23" s="724">
        <f t="shared" si="10"/>
        <v>465989.08</v>
      </c>
      <c r="N23" s="724">
        <f>N32*5.9%</f>
        <v>407465.80000000005</v>
      </c>
      <c r="O23" s="724">
        <f t="shared" si="10"/>
        <v>358760.12</v>
      </c>
      <c r="P23" s="724">
        <f>P32*5.9%</f>
        <v>310054.44</v>
      </c>
      <c r="Q23" s="724">
        <f t="shared" si="10"/>
        <v>261348.76</v>
      </c>
      <c r="R23" s="724">
        <f>R32*5.9%+25000</f>
        <v>237643.08000000002</v>
      </c>
      <c r="S23" s="724">
        <f>S32*5.9%+25000</f>
        <v>188937.40000000002</v>
      </c>
      <c r="T23" s="724">
        <f>T32*5.9%</f>
        <v>138831.72</v>
      </c>
      <c r="U23" s="724">
        <f>U32*5.9%+25000</f>
        <v>138726.04</v>
      </c>
      <c r="V23" s="724">
        <f>V32*5.9%+25000</f>
        <v>113620.36</v>
      </c>
      <c r="W23" s="724">
        <f>W32*5.9%+150000</f>
        <v>213514.68</v>
      </c>
      <c r="X23" s="724">
        <f>X32*5.9%+13000</f>
        <v>51409</v>
      </c>
      <c r="Y23" s="724">
        <f>Y32*5.9%+12000</f>
        <v>25303.32</v>
      </c>
      <c r="Z23" s="724">
        <v>12167</v>
      </c>
    </row>
    <row r="24" spans="1:26" ht="22.5" customHeight="1">
      <c r="A24" s="717" t="s">
        <v>492</v>
      </c>
      <c r="B24" s="721" t="s">
        <v>502</v>
      </c>
      <c r="C24" s="718"/>
      <c r="D24" s="718"/>
      <c r="E24" s="718"/>
      <c r="F24" s="718"/>
      <c r="G24" s="718"/>
      <c r="H24" s="718"/>
      <c r="I24" s="718"/>
      <c r="J24" s="718"/>
      <c r="K24" s="718"/>
      <c r="L24" s="718"/>
      <c r="M24" s="718"/>
      <c r="N24" s="718"/>
      <c r="O24" s="718"/>
      <c r="P24" s="718"/>
      <c r="Q24" s="718"/>
      <c r="R24" s="718"/>
      <c r="S24" s="718"/>
      <c r="T24" s="718"/>
      <c r="U24" s="718"/>
      <c r="V24" s="718"/>
      <c r="W24" s="718"/>
      <c r="X24" s="718"/>
      <c r="Y24" s="718"/>
      <c r="Z24" s="718"/>
    </row>
    <row r="25" spans="1:26" ht="13.5" customHeight="1">
      <c r="A25" s="717" t="s">
        <v>597</v>
      </c>
      <c r="B25" s="718" t="s">
        <v>499</v>
      </c>
      <c r="C25" s="718"/>
      <c r="D25" s="718"/>
      <c r="E25" s="718"/>
      <c r="F25" s="718"/>
      <c r="G25" s="718"/>
      <c r="H25" s="718"/>
      <c r="I25" s="718"/>
      <c r="J25" s="718"/>
      <c r="K25" s="718"/>
      <c r="L25" s="718"/>
      <c r="M25" s="718"/>
      <c r="N25" s="718"/>
      <c r="O25" s="718"/>
      <c r="P25" s="718"/>
      <c r="Q25" s="718"/>
      <c r="R25" s="718"/>
      <c r="S25" s="718"/>
      <c r="T25" s="718"/>
      <c r="U25" s="718"/>
      <c r="V25" s="718"/>
      <c r="W25" s="718"/>
      <c r="X25" s="718"/>
      <c r="Y25" s="718"/>
      <c r="Z25" s="718"/>
    </row>
    <row r="26" spans="1:26" ht="49.5" customHeight="1">
      <c r="A26" s="717" t="s">
        <v>598</v>
      </c>
      <c r="B26" s="721" t="s">
        <v>500</v>
      </c>
      <c r="C26" s="718"/>
      <c r="D26" s="718"/>
      <c r="E26" s="718"/>
      <c r="F26" s="718"/>
      <c r="G26" s="718"/>
      <c r="H26" s="718"/>
      <c r="I26" s="718"/>
      <c r="J26" s="718"/>
      <c r="K26" s="718"/>
      <c r="L26" s="718"/>
      <c r="M26" s="718"/>
      <c r="N26" s="718"/>
      <c r="O26" s="718"/>
      <c r="P26" s="718"/>
      <c r="Q26" s="718"/>
      <c r="R26" s="718"/>
      <c r="S26" s="718"/>
      <c r="T26" s="718"/>
      <c r="U26" s="718"/>
      <c r="V26" s="718"/>
      <c r="W26" s="718"/>
      <c r="X26" s="718"/>
      <c r="Y26" s="718"/>
      <c r="Z26" s="718"/>
    </row>
    <row r="27" spans="1:26" ht="13.5" customHeight="1">
      <c r="A27" s="717" t="s">
        <v>599</v>
      </c>
      <c r="B27" s="718" t="s">
        <v>501</v>
      </c>
      <c r="C27" s="724"/>
      <c r="D27" s="718"/>
      <c r="E27" s="718"/>
      <c r="F27" s="718"/>
      <c r="G27" s="718"/>
      <c r="H27" s="718"/>
      <c r="I27" s="718"/>
      <c r="J27" s="718"/>
      <c r="K27" s="718"/>
      <c r="L27" s="718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</row>
    <row r="28" spans="1:26" ht="13.5" customHeight="1">
      <c r="A28" s="717" t="s">
        <v>494</v>
      </c>
      <c r="B28" s="718" t="s">
        <v>503</v>
      </c>
      <c r="C28" s="724"/>
      <c r="D28" s="724"/>
      <c r="E28" s="724">
        <v>288888</v>
      </c>
      <c r="F28" s="724">
        <v>288888</v>
      </c>
      <c r="G28" s="724">
        <v>288888</v>
      </c>
      <c r="H28" s="724">
        <v>288888</v>
      </c>
      <c r="I28" s="724">
        <v>288888</v>
      </c>
      <c r="J28" s="724">
        <v>288888</v>
      </c>
      <c r="K28" s="724">
        <v>288888</v>
      </c>
      <c r="L28" s="724">
        <v>288888</v>
      </c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</row>
    <row r="29" spans="1:26" ht="13.5" customHeight="1">
      <c r="A29" s="717" t="s">
        <v>504</v>
      </c>
      <c r="B29" s="718" t="s">
        <v>505</v>
      </c>
      <c r="C29" s="718"/>
      <c r="D29" s="718"/>
      <c r="E29" s="718"/>
      <c r="F29" s="718"/>
      <c r="G29" s="718"/>
      <c r="H29" s="718"/>
      <c r="I29" s="718"/>
      <c r="J29" s="724">
        <v>400000</v>
      </c>
      <c r="K29" s="724">
        <v>400000</v>
      </c>
      <c r="L29" s="724">
        <v>400000</v>
      </c>
      <c r="M29" s="724">
        <v>400000</v>
      </c>
      <c r="N29" s="724">
        <v>400000</v>
      </c>
      <c r="O29" s="724">
        <v>400000</v>
      </c>
      <c r="P29" s="724">
        <v>400000</v>
      </c>
      <c r="Q29" s="724">
        <v>400000</v>
      </c>
      <c r="R29" s="724">
        <v>400000</v>
      </c>
      <c r="S29" s="724">
        <v>400000</v>
      </c>
      <c r="T29" s="718"/>
      <c r="U29" s="718"/>
      <c r="V29" s="718"/>
      <c r="W29" s="718"/>
      <c r="X29" s="718"/>
      <c r="Y29" s="718"/>
      <c r="Z29" s="718"/>
    </row>
    <row r="30" spans="1:26" ht="13.5" customHeight="1">
      <c r="A30" s="717" t="s">
        <v>455</v>
      </c>
      <c r="B30" s="718" t="s">
        <v>456</v>
      </c>
      <c r="C30" s="724"/>
      <c r="D30" s="724">
        <f>'Żródła finans.'!E30</f>
        <v>303888</v>
      </c>
      <c r="E30" s="718"/>
      <c r="F30" s="718"/>
      <c r="G30" s="718"/>
      <c r="H30" s="718"/>
      <c r="I30" s="718"/>
      <c r="J30" s="718"/>
      <c r="K30" s="718"/>
      <c r="L30" s="718"/>
      <c r="M30" s="718"/>
      <c r="N30" s="718"/>
      <c r="O30" s="718"/>
      <c r="P30" s="718"/>
      <c r="Q30" s="718"/>
      <c r="R30" s="718"/>
      <c r="S30" s="718"/>
      <c r="T30" s="718"/>
      <c r="U30" s="718"/>
      <c r="V30" s="718"/>
      <c r="W30" s="718"/>
      <c r="X30" s="718"/>
      <c r="Y30" s="718"/>
      <c r="Z30" s="718"/>
    </row>
    <row r="31" spans="1:26" ht="13.5" customHeight="1">
      <c r="A31" s="717" t="s">
        <v>623</v>
      </c>
      <c r="B31" s="720" t="s">
        <v>506</v>
      </c>
      <c r="C31" s="729">
        <f>C11-C18</f>
        <v>-658935</v>
      </c>
      <c r="D31" s="729">
        <f>D11-D18</f>
        <v>1583372</v>
      </c>
      <c r="E31" s="729">
        <f aca="true" t="shared" si="11" ref="E31:Z31">E11-E18</f>
        <v>642253</v>
      </c>
      <c r="F31" s="729">
        <f t="shared" si="11"/>
        <v>850855</v>
      </c>
      <c r="G31" s="729">
        <f t="shared" si="11"/>
        <v>991463.5</v>
      </c>
      <c r="H31" s="729">
        <f t="shared" si="11"/>
        <v>937171.3730499968</v>
      </c>
      <c r="I31" s="729">
        <f t="shared" si="11"/>
        <v>1086128.2195962518</v>
      </c>
      <c r="J31" s="729">
        <f t="shared" si="11"/>
        <v>1240479.1986968145</v>
      </c>
      <c r="K31" s="729">
        <f t="shared" si="11"/>
        <v>1310127.3487119451</v>
      </c>
      <c r="L31" s="729">
        <f t="shared" si="11"/>
        <v>1496439.1988739446</v>
      </c>
      <c r="M31" s="729">
        <f>M11-M18</f>
        <v>1093849.3550279588</v>
      </c>
      <c r="N31" s="729">
        <f t="shared" si="11"/>
        <v>1160992.3341086507</v>
      </c>
      <c r="O31" s="729">
        <f t="shared" si="11"/>
        <v>1213237.0966317207</v>
      </c>
      <c r="P31" s="729">
        <f t="shared" si="11"/>
        <v>1240559.7230828553</v>
      </c>
      <c r="Q31" s="729">
        <f t="shared" si="11"/>
        <v>1170756.1514389962</v>
      </c>
      <c r="R31" s="729">
        <f t="shared" si="11"/>
        <v>1115565.9564798549</v>
      </c>
      <c r="S31" s="729">
        <f t="shared" si="11"/>
        <v>1142354.6517733783</v>
      </c>
      <c r="T31" s="729">
        <f>T11-T18</f>
        <v>1170975.855458513</v>
      </c>
      <c r="U31" s="729">
        <f t="shared" si="11"/>
        <v>1118134.059437953</v>
      </c>
      <c r="V31" s="729">
        <f t="shared" si="11"/>
        <v>1174908.8105919138</v>
      </c>
      <c r="W31" s="729">
        <f t="shared" si="11"/>
        <v>1236788.3937299699</v>
      </c>
      <c r="X31" s="729">
        <f>X11-X18</f>
        <v>1303967.8123628497</v>
      </c>
      <c r="Y31" s="729">
        <f t="shared" si="11"/>
        <v>1380067.219843641</v>
      </c>
      <c r="Z31" s="729">
        <f t="shared" si="11"/>
        <v>1376166.502505049</v>
      </c>
    </row>
    <row r="32" spans="1:26" ht="13.5" customHeight="1">
      <c r="A32" s="717" t="s">
        <v>507</v>
      </c>
      <c r="B32" s="720" t="s">
        <v>508</v>
      </c>
      <c r="C32" s="729">
        <f>'Prognoza dł. 8'!D32</f>
        <v>11488903</v>
      </c>
      <c r="D32" s="729">
        <f>'Prognoza dł. 8'!E32</f>
        <v>11488903</v>
      </c>
      <c r="E32" s="729">
        <f>'Prognoza dł. 8'!F32</f>
        <v>11478903</v>
      </c>
      <c r="F32" s="729">
        <f>'Prognoza dł. 8'!G32</f>
        <v>11478903</v>
      </c>
      <c r="G32" s="729">
        <f>'Prognoza dł. 8'!H32</f>
        <v>11478903</v>
      </c>
      <c r="H32" s="729">
        <f>'Prognoza dł. 8'!I32</f>
        <v>11478903</v>
      </c>
      <c r="I32" s="729">
        <f>'Prognoza dł. 8'!J32</f>
        <v>11478903</v>
      </c>
      <c r="J32" s="729">
        <f>'Prognoza dł. 8'!K32</f>
        <v>10874780</v>
      </c>
      <c r="K32" s="729">
        <f>'Prognoza dł. 8'!L32</f>
        <v>9882560</v>
      </c>
      <c r="L32" s="729">
        <f>'Prognoza dł. 8'!M32</f>
        <v>8890340</v>
      </c>
      <c r="M32" s="729">
        <f>'Prognoza dł. 8'!N32</f>
        <v>7898120</v>
      </c>
      <c r="N32" s="729">
        <f>'Prognoza dł. 8'!O32</f>
        <v>6906200</v>
      </c>
      <c r="O32" s="729">
        <f>'Prognoza dł. 8'!P32</f>
        <v>6080680</v>
      </c>
      <c r="P32" s="729">
        <f>'Prognoza dł. 8'!Q32</f>
        <v>5255160</v>
      </c>
      <c r="Q32" s="729">
        <f>'Prognoza dł. 8'!R32</f>
        <v>4429640</v>
      </c>
      <c r="R32" s="729">
        <f>'Prognoza dł. 8'!S32</f>
        <v>3604120</v>
      </c>
      <c r="S32" s="729">
        <f>'Prognoza dł. 8'!T32</f>
        <v>2778600</v>
      </c>
      <c r="T32" s="729">
        <f>'Prognoza dł. 8'!U32</f>
        <v>2353080</v>
      </c>
      <c r="U32" s="729">
        <f>'Prognoza dł. 8'!V32</f>
        <v>1927560</v>
      </c>
      <c r="V32" s="729">
        <f>'Prognoza dł. 8'!W32</f>
        <v>1502040</v>
      </c>
      <c r="W32" s="729">
        <f>'Prognoza dł. 8'!X32</f>
        <v>1076520</v>
      </c>
      <c r="X32" s="729">
        <f>'Prognoza dł. 8'!Y32</f>
        <v>651000</v>
      </c>
      <c r="Y32" s="729">
        <f>'Prognoza dł. 8'!Z32</f>
        <v>225480</v>
      </c>
      <c r="Z32" s="729">
        <f>'Prognoza dł. 8'!AA32</f>
        <v>0</v>
      </c>
    </row>
    <row r="33" spans="1:26" ht="50.25" customHeight="1">
      <c r="A33" s="717" t="s">
        <v>597</v>
      </c>
      <c r="B33" s="721" t="s">
        <v>745</v>
      </c>
      <c r="C33" s="718"/>
      <c r="D33" s="718"/>
      <c r="E33" s="718"/>
      <c r="F33" s="718"/>
      <c r="G33" s="718"/>
      <c r="H33" s="718"/>
      <c r="I33" s="718"/>
      <c r="J33" s="718"/>
      <c r="K33" s="718"/>
      <c r="L33" s="718"/>
      <c r="M33" s="718"/>
      <c r="N33" s="718"/>
      <c r="O33" s="718"/>
      <c r="P33" s="718"/>
      <c r="Q33" s="718"/>
      <c r="R33" s="718"/>
      <c r="S33" s="718"/>
      <c r="T33" s="718"/>
      <c r="U33" s="718"/>
      <c r="V33" s="718"/>
      <c r="W33" s="718"/>
      <c r="X33" s="718"/>
      <c r="Y33" s="718"/>
      <c r="Z33" s="718"/>
    </row>
    <row r="34" spans="1:26" ht="20.25" customHeight="1">
      <c r="A34" s="717" t="s">
        <v>509</v>
      </c>
      <c r="B34" s="720" t="s">
        <v>513</v>
      </c>
      <c r="C34" s="730">
        <f>C32/C11*100</f>
        <v>30.271672173440095</v>
      </c>
      <c r="D34" s="730">
        <f>D32/D11*100</f>
        <v>32.311347903627166</v>
      </c>
      <c r="E34" s="730">
        <f aca="true" t="shared" si="12" ref="E34:Z34">E32/E11*100</f>
        <v>34.839782991753474</v>
      </c>
      <c r="F34" s="730">
        <f t="shared" si="12"/>
        <v>34.28875473774437</v>
      </c>
      <c r="G34" s="730">
        <f t="shared" si="12"/>
        <v>33.81931391996781</v>
      </c>
      <c r="H34" s="730">
        <f t="shared" si="12"/>
        <v>33.54943869710701</v>
      </c>
      <c r="I34" s="730">
        <f t="shared" si="12"/>
        <v>33.08571132905097</v>
      </c>
      <c r="J34" s="730">
        <f t="shared" si="12"/>
        <v>30.909455996731733</v>
      </c>
      <c r="K34" s="730">
        <f t="shared" si="12"/>
        <v>27.78514215956509</v>
      </c>
      <c r="L34" s="730">
        <f t="shared" si="12"/>
        <v>24.645472770625915</v>
      </c>
      <c r="M34" s="730">
        <f t="shared" si="12"/>
        <v>21.720895345551845</v>
      </c>
      <c r="N34" s="730">
        <f t="shared" si="12"/>
        <v>18.776197224860578</v>
      </c>
      <c r="O34" s="730">
        <f t="shared" si="12"/>
        <v>16.350253192152543</v>
      </c>
      <c r="P34" s="730">
        <f t="shared" si="12"/>
        <v>13.984962546808541</v>
      </c>
      <c r="Q34" s="730">
        <f t="shared" si="12"/>
        <v>11.696721763764115</v>
      </c>
      <c r="R34" s="730">
        <f t="shared" si="12"/>
        <v>9.439170589177138</v>
      </c>
      <c r="S34" s="730">
        <f t="shared" si="12"/>
        <v>7.202167769962086</v>
      </c>
      <c r="T34" s="730">
        <f t="shared" si="12"/>
        <v>6.036161996608501</v>
      </c>
      <c r="U34" s="730">
        <f t="shared" si="12"/>
        <v>4.903693675355124</v>
      </c>
      <c r="V34" s="730">
        <f t="shared" si="12"/>
        <v>3.779001731180043</v>
      </c>
      <c r="W34" s="730">
        <f t="shared" si="12"/>
        <v>2.6782698584635143</v>
      </c>
      <c r="X34" s="730">
        <f t="shared" si="12"/>
        <v>1.6014223210166003</v>
      </c>
      <c r="Y34" s="730">
        <f t="shared" si="12"/>
        <v>0.5483338179210547</v>
      </c>
      <c r="Z34" s="730">
        <f t="shared" si="12"/>
        <v>0</v>
      </c>
    </row>
    <row r="35" spans="1:26" ht="26.25" customHeight="1">
      <c r="A35" s="717" t="s">
        <v>510</v>
      </c>
      <c r="B35" s="722" t="s">
        <v>514</v>
      </c>
      <c r="C35" s="730">
        <f>(C21+C23+C28+C29)/C11*100</f>
        <v>3.2261801770173966</v>
      </c>
      <c r="D35" s="730">
        <f aca="true" t="shared" si="13" ref="D35:Q35">(D21+D23+D28+D29)/D11*100</f>
        <v>13.019698839045635</v>
      </c>
      <c r="E35" s="730">
        <f t="shared" si="13"/>
        <v>2.9323553051734614</v>
      </c>
      <c r="F35" s="730">
        <f t="shared" si="13"/>
        <v>2.885976984610256</v>
      </c>
      <c r="G35" s="730">
        <f t="shared" si="13"/>
        <v>2.846465622762856</v>
      </c>
      <c r="H35" s="730">
        <f>(H21+H23+H28+H29)/H11*100</f>
        <v>2.823751071364012</v>
      </c>
      <c r="I35" s="730">
        <f t="shared" si="13"/>
        <v>2.784720592666854</v>
      </c>
      <c r="J35" s="730">
        <f t="shared" si="13"/>
        <v>4.361868719023425</v>
      </c>
      <c r="K35" s="730">
        <f t="shared" si="13"/>
        <v>5.2412006238547075</v>
      </c>
      <c r="L35" s="730">
        <f t="shared" si="13"/>
        <v>5.005523257978413</v>
      </c>
      <c r="M35" s="730">
        <f>(M21+M23+M28+M29)/M11*100</f>
        <v>4.010271661941505</v>
      </c>
      <c r="N35" s="730">
        <f t="shared" si="13"/>
        <v>3.804573249322247</v>
      </c>
      <c r="O35" s="730">
        <f t="shared" si="13"/>
        <v>3.184393819841333</v>
      </c>
      <c r="P35" s="730">
        <f t="shared" si="13"/>
        <v>3.0219757367069855</v>
      </c>
      <c r="Q35" s="730">
        <f t="shared" si="13"/>
        <v>2.869940103359938</v>
      </c>
      <c r="R35" s="730">
        <f aca="true" t="shared" si="14" ref="R35:Z35">(R21+R23+R28+R29)/R11*100</f>
        <v>2.784418298013102</v>
      </c>
      <c r="S35" s="730">
        <f t="shared" si="14"/>
        <v>2.6294869323686525</v>
      </c>
      <c r="T35" s="730">
        <f t="shared" si="14"/>
        <v>1.447684908708859</v>
      </c>
      <c r="U35" s="730">
        <f t="shared" si="14"/>
        <v>1.4354363743241065</v>
      </c>
      <c r="V35" s="730">
        <f t="shared" si="14"/>
        <v>1.356430157511805</v>
      </c>
      <c r="W35" s="730">
        <f t="shared" si="14"/>
        <v>1.5898518577981617</v>
      </c>
      <c r="X35" s="730">
        <f t="shared" si="14"/>
        <v>1.1732177360063383</v>
      </c>
      <c r="Y35" s="730">
        <f t="shared" si="14"/>
        <v>1.0963352504144288</v>
      </c>
      <c r="Z35" s="730">
        <f t="shared" si="14"/>
        <v>0.5724441315222526</v>
      </c>
    </row>
    <row r="36" spans="1:26" ht="25.5" customHeight="1">
      <c r="A36" s="717" t="s">
        <v>511</v>
      </c>
      <c r="B36" s="722" t="s">
        <v>515</v>
      </c>
      <c r="C36" s="730">
        <f>C32/C11*100</f>
        <v>30.271672173440095</v>
      </c>
      <c r="D36" s="730">
        <f>D32/D11*100</f>
        <v>32.311347903627166</v>
      </c>
      <c r="E36" s="730">
        <f aca="true" t="shared" si="15" ref="E36:Z36">E32/E11*100</f>
        <v>34.839782991753474</v>
      </c>
      <c r="F36" s="730">
        <f t="shared" si="15"/>
        <v>34.28875473774437</v>
      </c>
      <c r="G36" s="730">
        <f t="shared" si="15"/>
        <v>33.81931391996781</v>
      </c>
      <c r="H36" s="730">
        <f t="shared" si="15"/>
        <v>33.54943869710701</v>
      </c>
      <c r="I36" s="730">
        <f t="shared" si="15"/>
        <v>33.08571132905097</v>
      </c>
      <c r="J36" s="730">
        <f t="shared" si="15"/>
        <v>30.909455996731733</v>
      </c>
      <c r="K36" s="730">
        <f t="shared" si="15"/>
        <v>27.78514215956509</v>
      </c>
      <c r="L36" s="730">
        <f t="shared" si="15"/>
        <v>24.645472770625915</v>
      </c>
      <c r="M36" s="730">
        <f t="shared" si="15"/>
        <v>21.720895345551845</v>
      </c>
      <c r="N36" s="730">
        <f t="shared" si="15"/>
        <v>18.776197224860578</v>
      </c>
      <c r="O36" s="730">
        <f t="shared" si="15"/>
        <v>16.350253192152543</v>
      </c>
      <c r="P36" s="730">
        <f t="shared" si="15"/>
        <v>13.984962546808541</v>
      </c>
      <c r="Q36" s="730">
        <f t="shared" si="15"/>
        <v>11.696721763764115</v>
      </c>
      <c r="R36" s="730">
        <f t="shared" si="15"/>
        <v>9.439170589177138</v>
      </c>
      <c r="S36" s="730">
        <f t="shared" si="15"/>
        <v>7.202167769962086</v>
      </c>
      <c r="T36" s="730">
        <f t="shared" si="15"/>
        <v>6.036161996608501</v>
      </c>
      <c r="U36" s="730">
        <f t="shared" si="15"/>
        <v>4.903693675355124</v>
      </c>
      <c r="V36" s="730">
        <f t="shared" si="15"/>
        <v>3.779001731180043</v>
      </c>
      <c r="W36" s="730">
        <f t="shared" si="15"/>
        <v>2.6782698584635143</v>
      </c>
      <c r="X36" s="730">
        <f t="shared" si="15"/>
        <v>1.6014223210166003</v>
      </c>
      <c r="Y36" s="730">
        <f t="shared" si="15"/>
        <v>0.5483338179210547</v>
      </c>
      <c r="Z36" s="730">
        <f t="shared" si="15"/>
        <v>0</v>
      </c>
    </row>
    <row r="37" spans="1:26" ht="25.5" customHeight="1" thickBot="1">
      <c r="A37" s="732" t="s">
        <v>512</v>
      </c>
      <c r="B37" s="723" t="s">
        <v>516</v>
      </c>
      <c r="C37" s="730">
        <f>(C23+C21+C28+C29)/C11*100</f>
        <v>3.2261801770173966</v>
      </c>
      <c r="D37" s="730">
        <f aca="true" t="shared" si="16" ref="D37:Y37">(D23+D21+D28+D29)/D11*100</f>
        <v>13.019698839045635</v>
      </c>
      <c r="E37" s="730">
        <f t="shared" si="16"/>
        <v>2.9323553051734614</v>
      </c>
      <c r="F37" s="730">
        <f t="shared" si="16"/>
        <v>2.885976984610256</v>
      </c>
      <c r="G37" s="730">
        <f t="shared" si="16"/>
        <v>2.846465622762856</v>
      </c>
      <c r="H37" s="730">
        <f>(H23+H21+H28+H29)/H11*100</f>
        <v>2.823751071364012</v>
      </c>
      <c r="I37" s="730">
        <f t="shared" si="16"/>
        <v>2.784720592666854</v>
      </c>
      <c r="J37" s="730">
        <f t="shared" si="16"/>
        <v>4.361868719023425</v>
      </c>
      <c r="K37" s="730">
        <f>(K23+K21+K28+K29)/K11*100</f>
        <v>5.2412006238547075</v>
      </c>
      <c r="L37" s="730">
        <f t="shared" si="16"/>
        <v>5.005523257978413</v>
      </c>
      <c r="M37" s="730">
        <f t="shared" si="16"/>
        <v>4.010271661941505</v>
      </c>
      <c r="N37" s="730">
        <f>(N23+N21+N28+N29)/N11*100</f>
        <v>3.804573249322247</v>
      </c>
      <c r="O37" s="730">
        <f t="shared" si="16"/>
        <v>3.184393819841333</v>
      </c>
      <c r="P37" s="730">
        <f t="shared" si="16"/>
        <v>3.0219757367069855</v>
      </c>
      <c r="Q37" s="730">
        <f>(Q23+Q21+Q28+Q29)/Q11*100</f>
        <v>2.869940103359938</v>
      </c>
      <c r="R37" s="730">
        <f t="shared" si="16"/>
        <v>2.784418298013102</v>
      </c>
      <c r="S37" s="730">
        <f t="shared" si="16"/>
        <v>2.6294869323686525</v>
      </c>
      <c r="T37" s="730">
        <f>(T23+T21+T28+T29)/T11*100</f>
        <v>1.447684908708859</v>
      </c>
      <c r="U37" s="730">
        <f t="shared" si="16"/>
        <v>1.4354363743241065</v>
      </c>
      <c r="V37" s="730">
        <f t="shared" si="16"/>
        <v>1.356430157511805</v>
      </c>
      <c r="W37" s="730">
        <f>(W23+W21+W28+W29)/W11*100</f>
        <v>1.5898518577981617</v>
      </c>
      <c r="X37" s="730">
        <f t="shared" si="16"/>
        <v>1.1732177360063383</v>
      </c>
      <c r="Y37" s="730">
        <f t="shared" si="16"/>
        <v>1.0963352504144288</v>
      </c>
      <c r="Z37" s="730">
        <f>(Z23+Z21+Z28+Z29)/Z11*100</f>
        <v>0.5724441315222526</v>
      </c>
    </row>
  </sheetData>
  <mergeCells count="7">
    <mergeCell ref="A6:L6"/>
    <mergeCell ref="E8:L8"/>
    <mergeCell ref="M8:Z8"/>
    <mergeCell ref="C8:C9"/>
    <mergeCell ref="B8:B9"/>
    <mergeCell ref="A8:A9"/>
    <mergeCell ref="D8:D9"/>
  </mergeCells>
  <printOptions horizontalCentered="1" verticalCentered="1"/>
  <pageMargins left="0.1968503937007874" right="0.3937007874015748" top="0.25" bottom="0.59" header="0.17" footer="0.19"/>
  <pageSetup fitToHeight="2" fitToWidth="2" horizontalDpi="600" verticalDpi="600" orientation="landscape" paperSize="9" scale="80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F22"/>
  <sheetViews>
    <sheetView view="pageBreakPreview" zoomScale="60" workbookViewId="0" topLeftCell="A1">
      <selection activeCell="E22" sqref="E22"/>
    </sheetView>
  </sheetViews>
  <sheetFormatPr defaultColWidth="9.00390625" defaultRowHeight="12.75"/>
  <cols>
    <col min="2" max="2" width="4.75390625" style="0" customWidth="1"/>
    <col min="3" max="3" width="6.75390625" style="0" customWidth="1"/>
    <col min="4" max="4" width="6.125" style="0" customWidth="1"/>
    <col min="5" max="5" width="61.00390625" style="0" customWidth="1"/>
    <col min="6" max="6" width="19.375" style="0" customWidth="1"/>
  </cols>
  <sheetData>
    <row r="1" spans="2:6" ht="12.75">
      <c r="B1" s="172"/>
      <c r="C1" s="172"/>
      <c r="D1" s="172"/>
      <c r="E1" s="172"/>
      <c r="F1" s="173" t="s">
        <v>774</v>
      </c>
    </row>
    <row r="2" spans="2:6" ht="12.75">
      <c r="B2" s="172"/>
      <c r="C2" s="172"/>
      <c r="D2" s="172"/>
      <c r="E2" s="172"/>
      <c r="F2" s="173" t="s">
        <v>404</v>
      </c>
    </row>
    <row r="3" spans="2:6" ht="12.75">
      <c r="B3" s="172"/>
      <c r="C3" s="172"/>
      <c r="D3" s="172"/>
      <c r="E3" s="174"/>
      <c r="F3" s="173" t="s">
        <v>218</v>
      </c>
    </row>
    <row r="4" spans="2:6" ht="12.75">
      <c r="B4" s="172"/>
      <c r="C4" s="172"/>
      <c r="D4" s="172"/>
      <c r="E4" s="174"/>
      <c r="F4" s="173" t="s">
        <v>724</v>
      </c>
    </row>
    <row r="5" spans="2:6" ht="12.75">
      <c r="B5" s="172"/>
      <c r="C5" s="172"/>
      <c r="D5" s="172"/>
      <c r="E5" s="174"/>
      <c r="F5" s="173"/>
    </row>
    <row r="6" spans="2:6" ht="12.75">
      <c r="B6" s="172"/>
      <c r="C6" s="172"/>
      <c r="D6" s="172"/>
      <c r="E6" s="174"/>
      <c r="F6" s="173"/>
    </row>
    <row r="7" spans="2:6" ht="12.75">
      <c r="B7" s="172"/>
      <c r="C7" s="172"/>
      <c r="D7" s="172"/>
      <c r="E7" s="174"/>
      <c r="F7" s="173"/>
    </row>
    <row r="8" spans="2:6" ht="12.75">
      <c r="B8" s="1075"/>
      <c r="C8" s="1075"/>
      <c r="D8" s="1075"/>
      <c r="E8" s="1075"/>
      <c r="F8" s="1075"/>
    </row>
    <row r="9" spans="2:6" ht="15.75">
      <c r="B9" s="1076" t="s">
        <v>773</v>
      </c>
      <c r="C9" s="1076"/>
      <c r="D9" s="1076"/>
      <c r="E9" s="1076"/>
      <c r="F9" s="1076"/>
    </row>
    <row r="10" spans="2:6" ht="12.75">
      <c r="B10" s="868"/>
      <c r="C10" s="868"/>
      <c r="D10" s="868"/>
      <c r="E10" s="868"/>
      <c r="F10" s="868"/>
    </row>
    <row r="11" spans="2:6" ht="12.75">
      <c r="B11" s="868"/>
      <c r="C11" s="868"/>
      <c r="D11" s="868"/>
      <c r="E11" s="868"/>
      <c r="F11" s="868"/>
    </row>
    <row r="12" spans="2:6" ht="12.75">
      <c r="B12" s="1075"/>
      <c r="C12" s="1075"/>
      <c r="D12" s="1075"/>
      <c r="E12" s="1075"/>
      <c r="F12" s="1075"/>
    </row>
    <row r="13" spans="2:6" ht="13.5" thickBot="1">
      <c r="B13" s="174"/>
      <c r="C13" s="174"/>
      <c r="D13" s="174"/>
      <c r="E13" s="174"/>
      <c r="F13" s="175" t="s">
        <v>408</v>
      </c>
    </row>
    <row r="14" spans="2:6" ht="12.75">
      <c r="B14" s="1077" t="s">
        <v>220</v>
      </c>
      <c r="C14" s="1078"/>
      <c r="D14" s="1079"/>
      <c r="E14" s="1080" t="s">
        <v>409</v>
      </c>
      <c r="F14" s="1083" t="s">
        <v>594</v>
      </c>
    </row>
    <row r="15" spans="2:6" ht="12.75">
      <c r="B15" s="1086" t="s">
        <v>72</v>
      </c>
      <c r="C15" s="1088" t="s">
        <v>625</v>
      </c>
      <c r="D15" s="1088" t="s">
        <v>590</v>
      </c>
      <c r="E15" s="1081"/>
      <c r="F15" s="1084"/>
    </row>
    <row r="16" spans="2:6" ht="13.5" thickBot="1">
      <c r="B16" s="1087"/>
      <c r="C16" s="1082"/>
      <c r="D16" s="1082"/>
      <c r="E16" s="1082"/>
      <c r="F16" s="1085"/>
    </row>
    <row r="17" spans="2:6" ht="13.5" thickBot="1">
      <c r="B17" s="380">
        <v>1</v>
      </c>
      <c r="C17" s="381">
        <v>2</v>
      </c>
      <c r="D17" s="382">
        <v>3</v>
      </c>
      <c r="E17" s="381">
        <v>4</v>
      </c>
      <c r="F17" s="383">
        <v>5</v>
      </c>
    </row>
    <row r="18" spans="2:6" ht="13.5" thickBot="1">
      <c r="B18" s="434">
        <v>853</v>
      </c>
      <c r="C18" s="435"/>
      <c r="D18" s="869"/>
      <c r="E18" s="442" t="s">
        <v>176</v>
      </c>
      <c r="F18" s="870">
        <f>F19</f>
        <v>60010</v>
      </c>
    </row>
    <row r="19" spans="2:6" ht="12.75">
      <c r="B19" s="436"/>
      <c r="C19" s="437">
        <v>85311</v>
      </c>
      <c r="D19" s="803"/>
      <c r="E19" s="443" t="s">
        <v>765</v>
      </c>
      <c r="F19" s="810">
        <f>F20</f>
        <v>60010</v>
      </c>
    </row>
    <row r="20" spans="2:6" ht="12.75">
      <c r="B20" s="436"/>
      <c r="C20" s="438"/>
      <c r="D20" s="762">
        <v>2580</v>
      </c>
      <c r="E20" s="242" t="s">
        <v>771</v>
      </c>
      <c r="F20" s="808">
        <f>'WYDATKI ukł.wyk.'!H490</f>
        <v>60010</v>
      </c>
    </row>
    <row r="21" spans="2:6" ht="12.75">
      <c r="B21" s="871"/>
      <c r="C21" s="438"/>
      <c r="D21" s="762"/>
      <c r="E21" s="242" t="s">
        <v>772</v>
      </c>
      <c r="F21" s="808"/>
    </row>
    <row r="22" spans="2:6" ht="13.5" thickBot="1">
      <c r="B22" s="872"/>
      <c r="C22" s="619"/>
      <c r="D22" s="873"/>
      <c r="E22" s="619"/>
      <c r="F22" s="874"/>
    </row>
  </sheetData>
  <mergeCells count="9">
    <mergeCell ref="B8:F8"/>
    <mergeCell ref="B9:F9"/>
    <mergeCell ref="B12:F12"/>
    <mergeCell ref="B14:D14"/>
    <mergeCell ref="E14:E16"/>
    <mergeCell ref="F14:F16"/>
    <mergeCell ref="B15:B16"/>
    <mergeCell ref="C15:C16"/>
    <mergeCell ref="D15:D16"/>
  </mergeCells>
  <printOptions/>
  <pageMargins left="0.24" right="0.24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6"/>
  <sheetViews>
    <sheetView view="pageBreakPreview" zoomScaleNormal="75" zoomScaleSheetLayoutView="100" workbookViewId="0" topLeftCell="F1">
      <pane ySplit="11" topLeftCell="BM102" activePane="bottomLeft" state="frozen"/>
      <selection pane="topLeft" activeCell="A1" sqref="A1"/>
      <selection pane="bottomLeft" activeCell="H61" sqref="H61"/>
    </sheetView>
  </sheetViews>
  <sheetFormatPr defaultColWidth="9.00390625" defaultRowHeight="12.75"/>
  <cols>
    <col min="1" max="1" width="5.875" style="1" customWidth="1"/>
    <col min="2" max="2" width="8.25390625" style="1" customWidth="1"/>
    <col min="3" max="3" width="33.875" style="1" customWidth="1"/>
    <col min="4" max="4" width="11.125" style="1" hidden="1" customWidth="1"/>
    <col min="5" max="5" width="11.625" style="1" customWidth="1"/>
    <col min="6" max="6" width="10.75390625" style="209" customWidth="1"/>
    <col min="7" max="7" width="11.75390625" style="209" customWidth="1"/>
    <col min="8" max="10" width="11.625" style="1" customWidth="1"/>
    <col min="11" max="11" width="10.75390625" style="1" customWidth="1"/>
    <col min="12" max="12" width="11.75390625" style="1" bestFit="1" customWidth="1"/>
    <col min="13" max="13" width="10.75390625" style="1" customWidth="1"/>
    <col min="14" max="14" width="11.75390625" style="1" customWidth="1"/>
  </cols>
  <sheetData>
    <row r="1" ht="12.75">
      <c r="L1" s="6" t="s">
        <v>362</v>
      </c>
    </row>
    <row r="2" ht="12.75">
      <c r="L2" s="6" t="s">
        <v>363</v>
      </c>
    </row>
    <row r="3" ht="12.75">
      <c r="L3" s="6" t="s">
        <v>218</v>
      </c>
    </row>
    <row r="4" ht="12.75">
      <c r="L4" s="6" t="s">
        <v>727</v>
      </c>
    </row>
    <row r="5" spans="1:14" ht="18">
      <c r="A5" s="883" t="s">
        <v>52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  <c r="L5" s="883"/>
      <c r="M5" s="883"/>
      <c r="N5" s="883"/>
    </row>
    <row r="6" spans="1:9" ht="18">
      <c r="A6" s="2"/>
      <c r="B6" s="2"/>
      <c r="C6" s="2"/>
      <c r="D6" s="2"/>
      <c r="E6" s="2"/>
      <c r="F6" s="207"/>
      <c r="G6" s="207"/>
      <c r="H6" s="2"/>
      <c r="I6" s="2"/>
    </row>
    <row r="7" spans="1:14" ht="13.5" thickBot="1">
      <c r="A7" s="40"/>
      <c r="B7" s="40"/>
      <c r="C7" s="40"/>
      <c r="D7" s="40"/>
      <c r="E7" s="40"/>
      <c r="F7" s="208"/>
      <c r="G7" s="208"/>
      <c r="H7" s="40"/>
      <c r="J7" s="14"/>
      <c r="K7" s="14"/>
      <c r="L7" s="14"/>
      <c r="M7" s="14"/>
      <c r="N7" s="41" t="s">
        <v>640</v>
      </c>
    </row>
    <row r="8" spans="1:14" s="42" customFormat="1" ht="18.75" customHeight="1">
      <c r="A8" s="878" t="s">
        <v>588</v>
      </c>
      <c r="B8" s="876" t="s">
        <v>589</v>
      </c>
      <c r="C8" s="876" t="s">
        <v>603</v>
      </c>
      <c r="D8" s="920" t="s">
        <v>67</v>
      </c>
      <c r="E8" s="876" t="s">
        <v>48</v>
      </c>
      <c r="F8" s="907" t="s">
        <v>695</v>
      </c>
      <c r="G8" s="907" t="s">
        <v>696</v>
      </c>
      <c r="H8" s="876" t="s">
        <v>666</v>
      </c>
      <c r="I8" s="876"/>
      <c r="J8" s="876"/>
      <c r="K8" s="876"/>
      <c r="L8" s="876"/>
      <c r="M8" s="876"/>
      <c r="N8" s="906"/>
    </row>
    <row r="9" spans="1:14" s="42" customFormat="1" ht="20.25" customHeight="1">
      <c r="A9" s="875"/>
      <c r="B9" s="877"/>
      <c r="C9" s="877"/>
      <c r="D9" s="921"/>
      <c r="E9" s="877"/>
      <c r="F9" s="908"/>
      <c r="G9" s="908"/>
      <c r="H9" s="877" t="s">
        <v>622</v>
      </c>
      <c r="I9" s="877" t="s">
        <v>592</v>
      </c>
      <c r="J9" s="877"/>
      <c r="K9" s="877"/>
      <c r="L9" s="877"/>
      <c r="M9" s="877"/>
      <c r="N9" s="910" t="s">
        <v>624</v>
      </c>
    </row>
    <row r="10" spans="1:14" s="42" customFormat="1" ht="63.75">
      <c r="A10" s="875"/>
      <c r="B10" s="877"/>
      <c r="C10" s="877"/>
      <c r="D10" s="922"/>
      <c r="E10" s="877"/>
      <c r="F10" s="909"/>
      <c r="G10" s="909"/>
      <c r="H10" s="877"/>
      <c r="I10" s="48" t="s">
        <v>0</v>
      </c>
      <c r="J10" s="48" t="s">
        <v>49</v>
      </c>
      <c r="K10" s="48" t="s">
        <v>686</v>
      </c>
      <c r="L10" s="48" t="s">
        <v>21</v>
      </c>
      <c r="M10" s="48" t="s">
        <v>688</v>
      </c>
      <c r="N10" s="910"/>
    </row>
    <row r="11" spans="1:14" s="42" customFormat="1" ht="8.25" customHeight="1">
      <c r="A11" s="196">
        <v>1</v>
      </c>
      <c r="B11" s="43">
        <v>2</v>
      </c>
      <c r="C11" s="196">
        <v>3</v>
      </c>
      <c r="D11" s="43">
        <v>4</v>
      </c>
      <c r="E11" s="196">
        <v>4</v>
      </c>
      <c r="F11" s="43">
        <v>5</v>
      </c>
      <c r="G11" s="196">
        <v>6</v>
      </c>
      <c r="H11" s="43">
        <v>7</v>
      </c>
      <c r="I11" s="196">
        <v>8</v>
      </c>
      <c r="J11" s="196">
        <v>9</v>
      </c>
      <c r="K11" s="43">
        <v>10</v>
      </c>
      <c r="L11" s="196">
        <v>11</v>
      </c>
      <c r="M11" s="43">
        <v>12</v>
      </c>
      <c r="N11" s="196">
        <v>13</v>
      </c>
    </row>
    <row r="12" spans="1:14" s="42" customFormat="1" ht="13.5" thickBot="1">
      <c r="A12" s="62" t="s">
        <v>55</v>
      </c>
      <c r="B12" s="63"/>
      <c r="C12" s="83" t="s">
        <v>56</v>
      </c>
      <c r="D12" s="78">
        <f>SUM(D13:D14)</f>
        <v>60646</v>
      </c>
      <c r="E12" s="78">
        <f>SUM(E13:E14)</f>
        <v>74387</v>
      </c>
      <c r="F12" s="78">
        <f>SUM(F13:F14)</f>
        <v>0</v>
      </c>
      <c r="G12" s="78">
        <f>SUM(G13:G14)</f>
        <v>74387</v>
      </c>
      <c r="H12" s="78">
        <f aca="true" t="shared" si="0" ref="H12:N12">SUM(H13:H14)</f>
        <v>74387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197">
        <f t="shared" si="0"/>
        <v>0</v>
      </c>
    </row>
    <row r="13" spans="1:14" s="42" customFormat="1" ht="25.5">
      <c r="A13" s="301"/>
      <c r="B13" s="65" t="s">
        <v>58</v>
      </c>
      <c r="C13" s="84" t="s">
        <v>57</v>
      </c>
      <c r="D13" s="189">
        <f>'WYDATKI ukł.wyk.'!E16</f>
        <v>44000</v>
      </c>
      <c r="E13" s="67">
        <f>'WYDATKI ukł.wyk.'!F16</f>
        <v>25000</v>
      </c>
      <c r="F13" s="67">
        <f>'WYDATKI ukł.wyk.'!G16</f>
        <v>0</v>
      </c>
      <c r="G13" s="67">
        <f>'WYDATKI ukł.wyk.'!H16</f>
        <v>25000</v>
      </c>
      <c r="H13" s="67">
        <f>'WYDATKI ukł.wyk.'!H17</f>
        <v>25000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198">
        <v>0</v>
      </c>
    </row>
    <row r="14" spans="1:14" s="42" customFormat="1" ht="12.75">
      <c r="A14" s="150"/>
      <c r="B14" s="68" t="s">
        <v>59</v>
      </c>
      <c r="C14" s="85" t="s">
        <v>60</v>
      </c>
      <c r="D14" s="188">
        <f>'WYDATKI ukł.wyk.'!E19</f>
        <v>16646</v>
      </c>
      <c r="E14" s="71">
        <f>'WYDATKI ukł.wyk.'!F19</f>
        <v>49387</v>
      </c>
      <c r="F14" s="71">
        <f>'WYDATKI ukł.wyk.'!G19</f>
        <v>0</v>
      </c>
      <c r="G14" s="71">
        <f>'WYDATKI ukł.wyk.'!H19</f>
        <v>49387</v>
      </c>
      <c r="H14" s="71">
        <f>SUM('WYDATKI ukł.wyk.'!H20:H21)</f>
        <v>49387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199">
        <v>0</v>
      </c>
    </row>
    <row r="15" spans="1:14" s="42" customFormat="1" ht="12.75">
      <c r="A15" s="150"/>
      <c r="B15" s="141"/>
      <c r="C15" s="126"/>
      <c r="D15" s="109"/>
      <c r="E15" s="142"/>
      <c r="F15" s="210"/>
      <c r="G15" s="782"/>
      <c r="H15" s="142"/>
      <c r="I15" s="81"/>
      <c r="J15" s="81"/>
      <c r="K15" s="81"/>
      <c r="L15" s="81"/>
      <c r="M15" s="81"/>
      <c r="N15" s="200"/>
    </row>
    <row r="16" spans="1:14" s="42" customFormat="1" ht="13.5" thickBot="1">
      <c r="A16" s="58" t="s">
        <v>61</v>
      </c>
      <c r="B16" s="73"/>
      <c r="C16" s="86" t="s">
        <v>62</v>
      </c>
      <c r="D16" s="77">
        <f>SUM(D17:D18)</f>
        <v>193335</v>
      </c>
      <c r="E16" s="77">
        <f>SUM(E17:E18)</f>
        <v>193335</v>
      </c>
      <c r="F16" s="77">
        <f>SUM(F17:F18)</f>
        <v>0</v>
      </c>
      <c r="G16" s="77">
        <f>SUM(G17:G18)</f>
        <v>193335</v>
      </c>
      <c r="H16" s="77">
        <f aca="true" t="shared" si="1" ref="H16:N16">SUM(H17:H18)</f>
        <v>193335</v>
      </c>
      <c r="I16" s="77">
        <f t="shared" si="1"/>
        <v>0</v>
      </c>
      <c r="J16" s="77">
        <f t="shared" si="1"/>
        <v>0</v>
      </c>
      <c r="K16" s="77">
        <f t="shared" si="1"/>
        <v>0</v>
      </c>
      <c r="L16" s="77">
        <f t="shared" si="1"/>
        <v>0</v>
      </c>
      <c r="M16" s="77">
        <f t="shared" si="1"/>
        <v>0</v>
      </c>
      <c r="N16" s="201">
        <f t="shared" si="1"/>
        <v>0</v>
      </c>
    </row>
    <row r="17" spans="1:14" s="42" customFormat="1" ht="12.75">
      <c r="A17" s="301"/>
      <c r="B17" s="74" t="s">
        <v>63</v>
      </c>
      <c r="C17" s="87" t="s">
        <v>265</v>
      </c>
      <c r="D17" s="190">
        <f>'WYDATKI ukł.wyk.'!E24</f>
        <v>188635</v>
      </c>
      <c r="E17" s="67">
        <f>'WYDATKI ukł.wyk.'!F24</f>
        <v>188635</v>
      </c>
      <c r="F17" s="67">
        <f>'WYDATKI ukł.wyk.'!G24</f>
        <v>0</v>
      </c>
      <c r="G17" s="67">
        <f>'WYDATKI ukł.wyk.'!H24</f>
        <v>188635</v>
      </c>
      <c r="H17" s="67">
        <f>'WYDATKI ukł.wyk.'!H25</f>
        <v>188635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198">
        <v>0</v>
      </c>
    </row>
    <row r="18" spans="1:14" s="42" customFormat="1" ht="12.75">
      <c r="A18" s="150"/>
      <c r="B18" s="68" t="s">
        <v>65</v>
      </c>
      <c r="C18" s="85" t="s">
        <v>64</v>
      </c>
      <c r="D18" s="188">
        <f>'WYDATKI ukł.wyk.'!E27</f>
        <v>4700</v>
      </c>
      <c r="E18" s="71">
        <f>'WYDATKI ukł.wyk.'!F27</f>
        <v>4700</v>
      </c>
      <c r="F18" s="71">
        <f>'WYDATKI ukł.wyk.'!G27</f>
        <v>0</v>
      </c>
      <c r="G18" s="71">
        <f>'WYDATKI ukł.wyk.'!H27</f>
        <v>4700</v>
      </c>
      <c r="H18" s="76">
        <f>'WYDATKI ukł.wyk.'!H28</f>
        <v>4700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199">
        <v>0</v>
      </c>
    </row>
    <row r="19" spans="1:14" s="42" customFormat="1" ht="12.75">
      <c r="A19" s="150"/>
      <c r="B19" s="138"/>
      <c r="C19" s="143"/>
      <c r="D19" s="143"/>
      <c r="E19" s="139"/>
      <c r="F19" s="210"/>
      <c r="G19" s="210"/>
      <c r="H19" s="140"/>
      <c r="I19" s="144"/>
      <c r="J19" s="144"/>
      <c r="K19" s="144"/>
      <c r="L19" s="144"/>
      <c r="M19" s="144"/>
      <c r="N19" s="145"/>
    </row>
    <row r="20" spans="1:14" s="42" customFormat="1" ht="13.5" thickBot="1">
      <c r="A20" s="79">
        <v>600</v>
      </c>
      <c r="B20" s="73"/>
      <c r="C20" s="86" t="s">
        <v>66</v>
      </c>
      <c r="D20" s="104">
        <f>SUM(D21:D21)</f>
        <v>3585970</v>
      </c>
      <c r="E20" s="104">
        <f>E21</f>
        <v>3015729</v>
      </c>
      <c r="F20" s="104">
        <f>SUM(F21:F21)</f>
        <v>0</v>
      </c>
      <c r="G20" s="104">
        <f>SUM(G21:G21)</f>
        <v>3015729</v>
      </c>
      <c r="H20" s="104">
        <f aca="true" t="shared" si="2" ref="H20:N20">SUM(H21:H21)</f>
        <v>2675729</v>
      </c>
      <c r="I20" s="104">
        <f t="shared" si="2"/>
        <v>933050</v>
      </c>
      <c r="J20" s="104">
        <f t="shared" si="2"/>
        <v>175953</v>
      </c>
      <c r="K20" s="104">
        <f t="shared" si="2"/>
        <v>8423</v>
      </c>
      <c r="L20" s="104">
        <f t="shared" si="2"/>
        <v>0</v>
      </c>
      <c r="M20" s="104">
        <f t="shared" si="2"/>
        <v>0</v>
      </c>
      <c r="N20" s="146">
        <f t="shared" si="2"/>
        <v>340000</v>
      </c>
    </row>
    <row r="21" spans="1:14" s="42" customFormat="1" ht="12.75">
      <c r="A21" s="301"/>
      <c r="B21" s="80">
        <v>60014</v>
      </c>
      <c r="C21" s="88" t="s">
        <v>68</v>
      </c>
      <c r="D21" s="67">
        <f>SUM('WYDATKI ukł.wyk.'!E32:E57)</f>
        <v>3585970</v>
      </c>
      <c r="E21" s="67">
        <f>SUM('WYDATKI ukł.wyk.'!F32:F57)</f>
        <v>3015729</v>
      </c>
      <c r="F21" s="67">
        <f>SUM('WYDATKI ukł.wyk.'!G32:G57)</f>
        <v>0</v>
      </c>
      <c r="G21" s="67">
        <f>SUM('WYDATKI ukł.wyk.'!H32:H57)</f>
        <v>3015729</v>
      </c>
      <c r="H21" s="67">
        <f>SUM('WYDATKI ukł.wyk.'!H32:H55)</f>
        <v>2675729</v>
      </c>
      <c r="I21" s="67">
        <f>'WYDATKI ukł.wyk.'!H34+'WYDATKI ukł.wyk.'!H35+'WYDATKI ukł.wyk.'!H38</f>
        <v>933050</v>
      </c>
      <c r="J21" s="148">
        <f>'WYDATKI ukł.wyk.'!H36+'WYDATKI ukł.wyk.'!H37</f>
        <v>175953</v>
      </c>
      <c r="K21" s="67">
        <f>'WYDATKI ukł.wyk.'!F32</f>
        <v>8423</v>
      </c>
      <c r="L21" s="66">
        <v>0</v>
      </c>
      <c r="M21" s="66">
        <v>0</v>
      </c>
      <c r="N21" s="202">
        <f>'WYDATKI ukł.wyk.'!H56+'WYDATKI ukł.wyk.'!H57</f>
        <v>340000</v>
      </c>
    </row>
    <row r="22" spans="1:14" s="42" customFormat="1" ht="12.75">
      <c r="A22" s="150"/>
      <c r="B22" s="300"/>
      <c r="C22" s="144"/>
      <c r="D22" s="144"/>
      <c r="E22" s="144"/>
      <c r="F22" s="210"/>
      <c r="G22" s="210"/>
      <c r="H22" s="144"/>
      <c r="I22" s="144"/>
      <c r="J22" s="144"/>
      <c r="K22" s="144"/>
      <c r="L22" s="144"/>
      <c r="M22" s="144"/>
      <c r="N22" s="145"/>
    </row>
    <row r="23" spans="1:14" s="42" customFormat="1" ht="13.5" thickBot="1">
      <c r="A23" s="79">
        <v>630</v>
      </c>
      <c r="B23" s="73"/>
      <c r="C23" s="72" t="s">
        <v>105</v>
      </c>
      <c r="D23" s="77">
        <f>D24</f>
        <v>2000</v>
      </c>
      <c r="E23" s="77">
        <f aca="true" t="shared" si="3" ref="E23:N23">E24</f>
        <v>2000</v>
      </c>
      <c r="F23" s="77">
        <f t="shared" si="3"/>
        <v>0</v>
      </c>
      <c r="G23" s="77">
        <f t="shared" si="3"/>
        <v>2000</v>
      </c>
      <c r="H23" s="77">
        <f t="shared" si="3"/>
        <v>2000</v>
      </c>
      <c r="I23" s="77">
        <f t="shared" si="3"/>
        <v>0</v>
      </c>
      <c r="J23" s="77">
        <f t="shared" si="3"/>
        <v>0</v>
      </c>
      <c r="K23" s="77">
        <f t="shared" si="3"/>
        <v>1000</v>
      </c>
      <c r="L23" s="77">
        <f t="shared" si="3"/>
        <v>0</v>
      </c>
      <c r="M23" s="77">
        <f t="shared" si="3"/>
        <v>0</v>
      </c>
      <c r="N23" s="201">
        <f t="shared" si="3"/>
        <v>0</v>
      </c>
    </row>
    <row r="24" spans="1:14" s="42" customFormat="1" ht="25.5">
      <c r="A24" s="150"/>
      <c r="B24" s="80">
        <v>63003</v>
      </c>
      <c r="C24" s="147" t="s">
        <v>106</v>
      </c>
      <c r="D24" s="67">
        <f>'WYDATKI ukł.wyk.'!E60</f>
        <v>2000</v>
      </c>
      <c r="E24" s="67">
        <f>SUM('WYDATKI ukł.wyk.'!F61:F64)</f>
        <v>2000</v>
      </c>
      <c r="F24" s="67">
        <f>SUM('WYDATKI ukł.wyk.'!G61:G64)</f>
        <v>0</v>
      </c>
      <c r="G24" s="67">
        <f>SUM('WYDATKI ukł.wyk.'!H61:H64)</f>
        <v>2000</v>
      </c>
      <c r="H24" s="67">
        <f>SUM('WYDATKI ukł.wyk.'!H61:H64)</f>
        <v>2000</v>
      </c>
      <c r="I24" s="66">
        <v>0</v>
      </c>
      <c r="J24" s="66">
        <v>0</v>
      </c>
      <c r="K24" s="67">
        <f>'WYDATKI ukł.wyk.'!F61</f>
        <v>1000</v>
      </c>
      <c r="L24" s="66">
        <v>0</v>
      </c>
      <c r="M24" s="66">
        <v>0</v>
      </c>
      <c r="N24" s="198">
        <v>0</v>
      </c>
    </row>
    <row r="25" spans="1:14" s="42" customFormat="1" ht="12.75">
      <c r="A25" s="150"/>
      <c r="B25" s="300"/>
      <c r="C25" s="144"/>
      <c r="D25" s="144"/>
      <c r="E25" s="144"/>
      <c r="F25" s="210"/>
      <c r="G25" s="210"/>
      <c r="H25" s="144"/>
      <c r="I25" s="144"/>
      <c r="J25" s="144"/>
      <c r="K25" s="144"/>
      <c r="L25" s="144"/>
      <c r="M25" s="144"/>
      <c r="N25" s="145"/>
    </row>
    <row r="26" spans="1:14" s="42" customFormat="1" ht="13.5" thickBot="1">
      <c r="A26" s="79">
        <v>700</v>
      </c>
      <c r="B26" s="73"/>
      <c r="C26" s="72" t="s">
        <v>111</v>
      </c>
      <c r="D26" s="77">
        <f>D27</f>
        <v>92988</v>
      </c>
      <c r="E26" s="77">
        <f aca="true" t="shared" si="4" ref="E26:N26">E27</f>
        <v>85050</v>
      </c>
      <c r="F26" s="77">
        <f t="shared" si="4"/>
        <v>0</v>
      </c>
      <c r="G26" s="77">
        <f t="shared" si="4"/>
        <v>85050</v>
      </c>
      <c r="H26" s="77">
        <f t="shared" si="4"/>
        <v>85050</v>
      </c>
      <c r="I26" s="77">
        <f t="shared" si="4"/>
        <v>13902</v>
      </c>
      <c r="J26" s="77">
        <f t="shared" si="4"/>
        <v>6098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201">
        <f t="shared" si="4"/>
        <v>0</v>
      </c>
    </row>
    <row r="27" spans="1:14" s="42" customFormat="1" ht="25.5">
      <c r="A27" s="150"/>
      <c r="B27" s="121">
        <v>70005</v>
      </c>
      <c r="C27" s="151" t="s">
        <v>112</v>
      </c>
      <c r="D27" s="67">
        <f>'WYDATKI ukł.wyk.'!E67</f>
        <v>92988</v>
      </c>
      <c r="E27" s="67">
        <f>SUM('WYDATKI ukł.wyk.'!F68:F76)</f>
        <v>85050</v>
      </c>
      <c r="F27" s="67">
        <f>SUM('WYDATKI ukł.wyk.'!G68:G76)</f>
        <v>0</v>
      </c>
      <c r="G27" s="67">
        <f>SUM('WYDATKI ukł.wyk.'!H68:H76)</f>
        <v>85050</v>
      </c>
      <c r="H27" s="67">
        <f>SUM('WYDATKI ukł.wyk.'!H68:H76)</f>
        <v>85050</v>
      </c>
      <c r="I27" s="67">
        <f>'WYDATKI ukł.wyk.'!H70</f>
        <v>13902</v>
      </c>
      <c r="J27" s="67">
        <f>'WYDATKI ukł.wyk.'!H68+'WYDATKI ukł.wyk.'!H69</f>
        <v>6098</v>
      </c>
      <c r="K27" s="66">
        <v>0</v>
      </c>
      <c r="L27" s="66">
        <v>0</v>
      </c>
      <c r="M27" s="66">
        <v>0</v>
      </c>
      <c r="N27" s="198">
        <v>0</v>
      </c>
    </row>
    <row r="28" spans="1:14" s="42" customFormat="1" ht="12.75">
      <c r="A28" s="150"/>
      <c r="B28" s="300"/>
      <c r="C28" s="144"/>
      <c r="D28" s="144"/>
      <c r="E28" s="144"/>
      <c r="F28" s="210"/>
      <c r="G28" s="210"/>
      <c r="H28" s="144"/>
      <c r="I28" s="144"/>
      <c r="J28" s="144"/>
      <c r="K28" s="144"/>
      <c r="L28" s="144"/>
      <c r="M28" s="144"/>
      <c r="N28" s="145"/>
    </row>
    <row r="29" spans="1:14" s="42" customFormat="1" ht="13.5" thickBot="1">
      <c r="A29" s="79">
        <v>710</v>
      </c>
      <c r="B29" s="73"/>
      <c r="C29" s="72" t="s">
        <v>116</v>
      </c>
      <c r="D29" s="77">
        <f>SUM(D30:D32)</f>
        <v>269553</v>
      </c>
      <c r="E29" s="77">
        <f aca="true" t="shared" si="5" ref="E29:N29">SUM(E30:E32)</f>
        <v>288145</v>
      </c>
      <c r="F29" s="77">
        <f t="shared" si="5"/>
        <v>0</v>
      </c>
      <c r="G29" s="77">
        <f t="shared" si="5"/>
        <v>288145</v>
      </c>
      <c r="H29" s="77">
        <f t="shared" si="5"/>
        <v>288145</v>
      </c>
      <c r="I29" s="77">
        <f t="shared" si="5"/>
        <v>151919</v>
      </c>
      <c r="J29" s="77">
        <f t="shared" si="5"/>
        <v>30193</v>
      </c>
      <c r="K29" s="77">
        <f t="shared" si="5"/>
        <v>0</v>
      </c>
      <c r="L29" s="77">
        <f t="shared" si="5"/>
        <v>0</v>
      </c>
      <c r="M29" s="77">
        <f t="shared" si="5"/>
        <v>0</v>
      </c>
      <c r="N29" s="201">
        <f t="shared" si="5"/>
        <v>0</v>
      </c>
    </row>
    <row r="30" spans="1:14" s="42" customFormat="1" ht="25.5">
      <c r="A30" s="301"/>
      <c r="B30" s="121">
        <v>71013</v>
      </c>
      <c r="C30" s="151" t="s">
        <v>117</v>
      </c>
      <c r="D30" s="67">
        <f>'WYDATKI ukł.wyk.'!E79</f>
        <v>40000</v>
      </c>
      <c r="E30" s="67">
        <f>SUM('WYDATKI ukł.wyk.'!F80:F81)</f>
        <v>40000</v>
      </c>
      <c r="F30" s="67">
        <f>SUM('WYDATKI ukł.wyk.'!G80:G81)</f>
        <v>0</v>
      </c>
      <c r="G30" s="67">
        <f>SUM('WYDATKI ukł.wyk.'!H80:H81)</f>
        <v>40000</v>
      </c>
      <c r="H30" s="67">
        <f>SUM('WYDATKI ukł.wyk.'!H80:H81)</f>
        <v>40000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198">
        <v>0</v>
      </c>
    </row>
    <row r="31" spans="1:14" s="42" customFormat="1" ht="25.5">
      <c r="A31" s="150"/>
      <c r="B31" s="80">
        <v>71014</v>
      </c>
      <c r="C31" s="147" t="s">
        <v>118</v>
      </c>
      <c r="D31" s="142">
        <f>'WYDATKI ukł.wyk.'!E83</f>
        <v>22000</v>
      </c>
      <c r="E31" s="142">
        <f>SUM('WYDATKI ukł.wyk.'!F84)</f>
        <v>15000</v>
      </c>
      <c r="F31" s="142">
        <f>SUM('WYDATKI ukł.wyk.'!G84)</f>
        <v>0</v>
      </c>
      <c r="G31" s="142">
        <f>SUM('WYDATKI ukł.wyk.'!H84)</f>
        <v>15000</v>
      </c>
      <c r="H31" s="142">
        <f>SUM('WYDATKI ukł.wyk.'!H84)</f>
        <v>15000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200">
        <v>0</v>
      </c>
    </row>
    <row r="32" spans="1:14" s="42" customFormat="1" ht="12.75">
      <c r="A32" s="150"/>
      <c r="B32" s="80">
        <v>71015</v>
      </c>
      <c r="C32" s="64" t="s">
        <v>119</v>
      </c>
      <c r="D32" s="71">
        <f>'WYDATKI ukł.wyk.'!E86</f>
        <v>207553</v>
      </c>
      <c r="E32" s="71">
        <f>SUM('WYDATKI ukł.wyk.'!F87:F104)</f>
        <v>233145</v>
      </c>
      <c r="F32" s="71">
        <f>SUM('WYDATKI ukł.wyk.'!G87:G104)</f>
        <v>0</v>
      </c>
      <c r="G32" s="71">
        <f>SUM('WYDATKI ukł.wyk.'!H87:H104)</f>
        <v>233145</v>
      </c>
      <c r="H32" s="71">
        <f>SUM('WYDATKI ukł.wyk.'!H87:H104)</f>
        <v>233145</v>
      </c>
      <c r="I32" s="71">
        <f>'WYDATKI ukł.wyk.'!H87+'WYDATKI ukł.wyk.'!H88+'WYDATKI ukł.wyk.'!H91</f>
        <v>151919</v>
      </c>
      <c r="J32" s="71">
        <f>'WYDATKI ukł.wyk.'!H89+'WYDATKI ukł.wyk.'!H90</f>
        <v>30193</v>
      </c>
      <c r="K32" s="69">
        <v>0</v>
      </c>
      <c r="L32" s="69">
        <v>0</v>
      </c>
      <c r="M32" s="69">
        <v>0</v>
      </c>
      <c r="N32" s="203">
        <v>0</v>
      </c>
    </row>
    <row r="33" spans="1:14" s="42" customFormat="1" ht="12.75">
      <c r="A33" s="150"/>
      <c r="B33" s="302"/>
      <c r="C33" s="81"/>
      <c r="D33" s="81"/>
      <c r="E33" s="81"/>
      <c r="F33" s="210"/>
      <c r="G33" s="782"/>
      <c r="H33" s="81"/>
      <c r="I33" s="81"/>
      <c r="J33" s="81"/>
      <c r="K33" s="81"/>
      <c r="L33" s="81"/>
      <c r="M33" s="81"/>
      <c r="N33" s="200"/>
    </row>
    <row r="34" spans="1:21" s="42" customFormat="1" ht="13.5" thickBot="1">
      <c r="A34" s="79">
        <v>750</v>
      </c>
      <c r="B34" s="303"/>
      <c r="C34" s="72" t="s">
        <v>122</v>
      </c>
      <c r="D34" s="304">
        <f>SUM(D35:D39)</f>
        <v>4072894</v>
      </c>
      <c r="E34" s="304">
        <f aca="true" t="shared" si="6" ref="E34:K34">SUM(E35:E39)</f>
        <v>4915431</v>
      </c>
      <c r="F34" s="304">
        <f t="shared" si="6"/>
        <v>18650</v>
      </c>
      <c r="G34" s="304">
        <f t="shared" si="6"/>
        <v>4934081</v>
      </c>
      <c r="H34" s="304">
        <f t="shared" si="6"/>
        <v>4199831</v>
      </c>
      <c r="I34" s="304">
        <f t="shared" si="6"/>
        <v>2363603</v>
      </c>
      <c r="J34" s="304">
        <f t="shared" si="6"/>
        <v>434575</v>
      </c>
      <c r="K34" s="304">
        <f t="shared" si="6"/>
        <v>0</v>
      </c>
      <c r="L34" s="304">
        <f>SUM(L35:L39)</f>
        <v>0</v>
      </c>
      <c r="M34" s="304">
        <f>SUM(M35:M39)</f>
        <v>0</v>
      </c>
      <c r="N34" s="305">
        <f>SUM(N35:N39)</f>
        <v>734250</v>
      </c>
      <c r="O34"/>
      <c r="P34"/>
      <c r="Q34"/>
      <c r="R34"/>
      <c r="S34"/>
      <c r="T34"/>
      <c r="U34"/>
    </row>
    <row r="35" spans="1:14" s="42" customFormat="1" ht="12.75">
      <c r="A35" s="301"/>
      <c r="B35" s="121">
        <v>75011</v>
      </c>
      <c r="C35" s="75" t="s">
        <v>123</v>
      </c>
      <c r="D35" s="67">
        <f>'WYDATKI ukł.wyk.'!E107</f>
        <v>256034</v>
      </c>
      <c r="E35" s="61">
        <f>SUM('WYDATKI ukł.wyk.'!F108:F125)</f>
        <v>257210</v>
      </c>
      <c r="F35" s="61">
        <f>SUM('WYDATKI ukł.wyk.'!G108:G125)</f>
        <v>0</v>
      </c>
      <c r="G35" s="61">
        <f>SUM('WYDATKI ukł.wyk.'!H108:H125)</f>
        <v>257210</v>
      </c>
      <c r="H35" s="67">
        <f>SUM('WYDATKI ukł.wyk.'!H108:H125)</f>
        <v>257210</v>
      </c>
      <c r="I35" s="67">
        <f>'WYDATKI ukł.wyk.'!H109+'WYDATKI ukł.wyk.'!H110+'WYDATKI ukł.wyk.'!H113</f>
        <v>181975</v>
      </c>
      <c r="J35" s="67">
        <f>'WYDATKI ukł.wyk.'!H111+'WYDATKI ukł.wyk.'!H112</f>
        <v>34071</v>
      </c>
      <c r="K35" s="66">
        <v>0</v>
      </c>
      <c r="L35" s="66">
        <v>0</v>
      </c>
      <c r="M35" s="66">
        <v>0</v>
      </c>
      <c r="N35" s="198">
        <v>0</v>
      </c>
    </row>
    <row r="36" spans="1:14" s="42" customFormat="1" ht="12.75">
      <c r="A36" s="150"/>
      <c r="B36" s="80">
        <v>75019</v>
      </c>
      <c r="C36" s="64" t="s">
        <v>126</v>
      </c>
      <c r="D36" s="76">
        <f>'WYDATKI ukł.wyk.'!E127</f>
        <v>238300</v>
      </c>
      <c r="E36" s="76">
        <f>SUM('WYDATKI ukł.wyk.'!F128:F136)</f>
        <v>238600</v>
      </c>
      <c r="F36" s="76">
        <f>SUM('WYDATKI ukł.wyk.'!G128:G136)</f>
        <v>27250</v>
      </c>
      <c r="G36" s="76">
        <f>SUM('WYDATKI ukł.wyk.'!H128:H136)</f>
        <v>265850</v>
      </c>
      <c r="H36" s="76">
        <f>SUM('WYDATKI ukł.wyk.'!H128:H136)</f>
        <v>265850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204"/>
    </row>
    <row r="37" spans="1:14" s="42" customFormat="1" ht="12.75">
      <c r="A37" s="150"/>
      <c r="B37" s="80">
        <v>75020</v>
      </c>
      <c r="C37" s="64" t="s">
        <v>129</v>
      </c>
      <c r="D37" s="76">
        <f>'WYDATKI ukł.wyk.'!E138</f>
        <v>3552571</v>
      </c>
      <c r="E37" s="76">
        <f>SUM('WYDATKI ukł.wyk.'!F139:F163)</f>
        <v>4365643</v>
      </c>
      <c r="F37" s="76">
        <f>SUM('WYDATKI ukł.wyk.'!G139:G163)</f>
        <v>-8600</v>
      </c>
      <c r="G37" s="76">
        <f>SUM('WYDATKI ukł.wyk.'!H139:H163)</f>
        <v>4357043</v>
      </c>
      <c r="H37" s="76">
        <f>SUM('WYDATKI ukł.wyk.'!H139:H160)</f>
        <v>3622793</v>
      </c>
      <c r="I37" s="76">
        <f>'WYDATKI ukł.wyk.'!H140+'WYDATKI ukł.wyk.'!H141+'WYDATKI ukł.wyk.'!H144</f>
        <v>2156828</v>
      </c>
      <c r="J37" s="76">
        <f>'WYDATKI ukł.wyk.'!H142+'WYDATKI ukł.wyk.'!H143</f>
        <v>399222</v>
      </c>
      <c r="K37" s="82">
        <v>0</v>
      </c>
      <c r="L37" s="82">
        <v>0</v>
      </c>
      <c r="M37" s="82">
        <v>0</v>
      </c>
      <c r="N37" s="205">
        <f>'WYDATKI ukł.wyk.'!H161+'WYDATKI ukł.wyk.'!H162+'WYDATKI ukł.wyk.'!H163</f>
        <v>734250</v>
      </c>
    </row>
    <row r="38" spans="1:14" s="42" customFormat="1" ht="12.75">
      <c r="A38" s="150"/>
      <c r="B38" s="152">
        <v>75045</v>
      </c>
      <c r="C38" s="70" t="s">
        <v>133</v>
      </c>
      <c r="D38" s="71">
        <f>'WYDATKI ukł.wyk.'!E166</f>
        <v>15999</v>
      </c>
      <c r="E38" s="71">
        <f>SUM('WYDATKI ukł.wyk.'!F167:F177)</f>
        <v>16978</v>
      </c>
      <c r="F38" s="71">
        <f>SUM('WYDATKI ukł.wyk.'!G167:G177)</f>
        <v>0</v>
      </c>
      <c r="G38" s="71">
        <f>SUM('WYDATKI ukł.wyk.'!H167:H177)</f>
        <v>16978</v>
      </c>
      <c r="H38" s="71">
        <f>SUM('WYDATKI ukł.wyk.'!H167:H177)</f>
        <v>16978</v>
      </c>
      <c r="I38" s="71">
        <f>'WYDATKI ukł.wyk.'!H170</f>
        <v>6800</v>
      </c>
      <c r="J38" s="71">
        <f>'WYDATKI ukł.wyk.'!H168+'WYDATKI ukł.wyk.'!H169</f>
        <v>1282</v>
      </c>
      <c r="K38" s="69">
        <v>0</v>
      </c>
      <c r="L38" s="69">
        <v>0</v>
      </c>
      <c r="M38" s="69">
        <v>0</v>
      </c>
      <c r="N38" s="199">
        <v>0</v>
      </c>
    </row>
    <row r="39" spans="1:14" s="42" customFormat="1" ht="12.75">
      <c r="A39" s="150"/>
      <c r="B39" s="152">
        <v>75095</v>
      </c>
      <c r="C39" s="70" t="s">
        <v>60</v>
      </c>
      <c r="D39" s="71">
        <f>'WYDATKI ukł.wyk.'!E179</f>
        <v>9990</v>
      </c>
      <c r="E39" s="71">
        <f>SUM('WYDATKI ukł.wyk.'!F180:F183)</f>
        <v>37000</v>
      </c>
      <c r="F39" s="71">
        <f>SUM('WYDATKI ukł.wyk.'!G180:G183)</f>
        <v>0</v>
      </c>
      <c r="G39" s="71">
        <f>SUM('WYDATKI ukł.wyk.'!H180:H183)</f>
        <v>37000</v>
      </c>
      <c r="H39" s="71">
        <f>SUM('WYDATKI ukł.wyk.'!H180:H183)</f>
        <v>37000</v>
      </c>
      <c r="I39" s="71">
        <f>'WYDATKI ukł.wyk.'!H180</f>
        <v>18000</v>
      </c>
      <c r="J39" s="69">
        <v>0</v>
      </c>
      <c r="K39" s="69">
        <v>0</v>
      </c>
      <c r="L39" s="69">
        <v>0</v>
      </c>
      <c r="M39" s="69">
        <v>0</v>
      </c>
      <c r="N39" s="203">
        <v>0</v>
      </c>
    </row>
    <row r="40" spans="1:14" s="42" customFormat="1" ht="12.75">
      <c r="A40" s="150"/>
      <c r="B40" s="300"/>
      <c r="C40" s="144"/>
      <c r="D40" s="144"/>
      <c r="E40" s="144"/>
      <c r="F40" s="210"/>
      <c r="G40" s="210"/>
      <c r="H40" s="144"/>
      <c r="I40" s="144"/>
      <c r="J40" s="144"/>
      <c r="K40" s="144"/>
      <c r="L40" s="144"/>
      <c r="M40" s="144"/>
      <c r="N40" s="145"/>
    </row>
    <row r="41" spans="1:14" s="42" customFormat="1" ht="13.5" thickBot="1">
      <c r="A41" s="306">
        <v>752</v>
      </c>
      <c r="B41" s="308"/>
      <c r="C41" s="825" t="s">
        <v>728</v>
      </c>
      <c r="D41" s="307"/>
      <c r="E41" s="77">
        <f>E42</f>
        <v>1000</v>
      </c>
      <c r="F41" s="77">
        <f aca="true" t="shared" si="7" ref="F41:K41">F42</f>
        <v>0</v>
      </c>
      <c r="G41" s="77">
        <f t="shared" si="7"/>
        <v>1000</v>
      </c>
      <c r="H41" s="77">
        <f t="shared" si="7"/>
        <v>1000</v>
      </c>
      <c r="I41" s="77">
        <f t="shared" si="7"/>
        <v>200</v>
      </c>
      <c r="J41" s="77">
        <f t="shared" si="7"/>
        <v>0</v>
      </c>
      <c r="K41" s="77">
        <f t="shared" si="7"/>
        <v>0</v>
      </c>
      <c r="L41" s="77">
        <f>L42</f>
        <v>0</v>
      </c>
      <c r="M41" s="77">
        <f>M42</f>
        <v>0</v>
      </c>
      <c r="N41" s="77">
        <f>N42</f>
        <v>0</v>
      </c>
    </row>
    <row r="42" spans="1:14" s="42" customFormat="1" ht="12.75">
      <c r="A42" s="150"/>
      <c r="B42" s="65" t="s">
        <v>731</v>
      </c>
      <c r="C42" s="826" t="s">
        <v>729</v>
      </c>
      <c r="D42" s="66"/>
      <c r="E42" s="67">
        <f>SUM('WYDATKI ukł.wyk.'!F187:F189)</f>
        <v>1000</v>
      </c>
      <c r="F42" s="67">
        <f>SUM('WYDATKI ukł.wyk.'!G187:G189)</f>
        <v>0</v>
      </c>
      <c r="G42" s="67">
        <f>SUM('WYDATKI ukł.wyk.'!H187:H189)</f>
        <v>1000</v>
      </c>
      <c r="H42" s="67">
        <f>SUM('WYDATKI ukł.wyk.'!H187:H189)</f>
        <v>1000</v>
      </c>
      <c r="I42" s="67">
        <f>'WYDATKI ukł.wyk.'!H187</f>
        <v>200</v>
      </c>
      <c r="J42" s="66">
        <v>0</v>
      </c>
      <c r="K42" s="66">
        <v>0</v>
      </c>
      <c r="L42" s="66">
        <v>0</v>
      </c>
      <c r="M42" s="66">
        <v>0</v>
      </c>
      <c r="N42" s="198">
        <v>0</v>
      </c>
    </row>
    <row r="43" spans="1:14" s="42" customFormat="1" ht="12.75">
      <c r="A43" s="150"/>
      <c r="B43" s="302"/>
      <c r="C43" s="824"/>
      <c r="D43" s="81"/>
      <c r="E43" s="81"/>
      <c r="F43" s="782"/>
      <c r="G43" s="782"/>
      <c r="H43" s="81"/>
      <c r="I43" s="81"/>
      <c r="J43" s="81"/>
      <c r="K43" s="81"/>
      <c r="L43" s="81"/>
      <c r="M43" s="81"/>
      <c r="N43" s="200"/>
    </row>
    <row r="44" spans="1:14" s="42" customFormat="1" ht="26.25" thickBot="1">
      <c r="A44" s="79">
        <v>754</v>
      </c>
      <c r="B44" s="303"/>
      <c r="C44" s="186" t="s">
        <v>134</v>
      </c>
      <c r="D44" s="304">
        <f>SUM(D45:D46)</f>
        <v>7300</v>
      </c>
      <c r="E44" s="304">
        <f aca="true" t="shared" si="8" ref="E44:N44">SUM(E45:E46)</f>
        <v>8300</v>
      </c>
      <c r="F44" s="304">
        <f t="shared" si="8"/>
        <v>0</v>
      </c>
      <c r="G44" s="304">
        <f t="shared" si="8"/>
        <v>8300</v>
      </c>
      <c r="H44" s="304">
        <f t="shared" si="8"/>
        <v>8300</v>
      </c>
      <c r="I44" s="304">
        <f t="shared" si="8"/>
        <v>152</v>
      </c>
      <c r="J44" s="304">
        <f t="shared" si="8"/>
        <v>0</v>
      </c>
      <c r="K44" s="304">
        <f t="shared" si="8"/>
        <v>0</v>
      </c>
      <c r="L44" s="304">
        <f t="shared" si="8"/>
        <v>0</v>
      </c>
      <c r="M44" s="304">
        <f t="shared" si="8"/>
        <v>0</v>
      </c>
      <c r="N44" s="305">
        <f t="shared" si="8"/>
        <v>0</v>
      </c>
    </row>
    <row r="45" spans="1:14" s="42" customFormat="1" ht="12.75">
      <c r="A45" s="301"/>
      <c r="B45" s="121">
        <v>75414</v>
      </c>
      <c r="C45" s="75" t="s">
        <v>135</v>
      </c>
      <c r="D45" s="67">
        <f>'WYDATKI ukł.wyk.'!E193</f>
        <v>0</v>
      </c>
      <c r="E45" s="67">
        <f>SUM('WYDATKI ukł.wyk.'!F194)</f>
        <v>1000</v>
      </c>
      <c r="F45" s="67">
        <f>SUM('WYDATKI ukł.wyk.'!G194)</f>
        <v>0</v>
      </c>
      <c r="G45" s="67">
        <f>SUM('WYDATKI ukł.wyk.'!H194)</f>
        <v>1000</v>
      </c>
      <c r="H45" s="67">
        <f>SUM('WYDATKI ukł.wyk.'!H194)</f>
        <v>1000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202">
        <v>0</v>
      </c>
    </row>
    <row r="46" spans="1:14" s="42" customFormat="1" ht="12.75">
      <c r="A46" s="150"/>
      <c r="B46" s="80">
        <v>75495</v>
      </c>
      <c r="C46" s="64" t="s">
        <v>60</v>
      </c>
      <c r="D46" s="76">
        <f>'WYDATKI ukł.wyk.'!E196</f>
        <v>7300</v>
      </c>
      <c r="E46" s="71">
        <f>SUM('WYDATKI ukł.wyk.'!F197:F200)</f>
        <v>7300</v>
      </c>
      <c r="F46" s="71">
        <f>SUM('WYDATKI ukł.wyk.'!G197:G200)</f>
        <v>0</v>
      </c>
      <c r="G46" s="71">
        <f>SUM('WYDATKI ukł.wyk.'!H197:H200)</f>
        <v>7300</v>
      </c>
      <c r="H46" s="76">
        <f>SUM('WYDATKI ukł.wyk.'!H197:H200)</f>
        <v>7300</v>
      </c>
      <c r="I46" s="76">
        <f>'WYDATKI ukł.wyk.'!H197</f>
        <v>152</v>
      </c>
      <c r="J46" s="82">
        <v>0</v>
      </c>
      <c r="K46" s="76">
        <v>0</v>
      </c>
      <c r="L46" s="82">
        <v>0</v>
      </c>
      <c r="M46" s="82">
        <v>0</v>
      </c>
      <c r="N46" s="204">
        <v>0</v>
      </c>
    </row>
    <row r="47" spans="1:14" s="42" customFormat="1" ht="12.75">
      <c r="A47" s="150"/>
      <c r="B47" s="302"/>
      <c r="C47" s="81"/>
      <c r="D47" s="81"/>
      <c r="E47" s="81"/>
      <c r="F47" s="210"/>
      <c r="G47" s="782"/>
      <c r="H47" s="81"/>
      <c r="I47" s="81"/>
      <c r="J47" s="81"/>
      <c r="K47" s="81"/>
      <c r="L47" s="81"/>
      <c r="M47" s="81"/>
      <c r="N47" s="200"/>
    </row>
    <row r="48" spans="1:14" s="42" customFormat="1" ht="13.5" thickBot="1">
      <c r="A48" s="79">
        <v>757</v>
      </c>
      <c r="B48" s="73"/>
      <c r="C48" s="72" t="s">
        <v>136</v>
      </c>
      <c r="D48" s="77">
        <f aca="true" t="shared" si="9" ref="D48:N48">SUM(D49:D49)</f>
        <v>630000</v>
      </c>
      <c r="E48" s="77">
        <f t="shared" si="9"/>
        <v>629397</v>
      </c>
      <c r="F48" s="77">
        <f t="shared" si="9"/>
        <v>5200</v>
      </c>
      <c r="G48" s="77">
        <f t="shared" si="9"/>
        <v>634597</v>
      </c>
      <c r="H48" s="77">
        <f t="shared" si="9"/>
        <v>634597</v>
      </c>
      <c r="I48" s="77">
        <f t="shared" si="9"/>
        <v>0</v>
      </c>
      <c r="J48" s="77">
        <f t="shared" si="9"/>
        <v>0</v>
      </c>
      <c r="K48" s="77">
        <f t="shared" si="9"/>
        <v>0</v>
      </c>
      <c r="L48" s="77">
        <f t="shared" si="9"/>
        <v>634597</v>
      </c>
      <c r="M48" s="77">
        <f t="shared" si="9"/>
        <v>0</v>
      </c>
      <c r="N48" s="201">
        <f t="shared" si="9"/>
        <v>0</v>
      </c>
    </row>
    <row r="49" spans="1:14" s="42" customFormat="1" ht="25.5">
      <c r="A49" s="301"/>
      <c r="B49" s="80">
        <v>75702</v>
      </c>
      <c r="C49" s="187" t="s">
        <v>137</v>
      </c>
      <c r="D49" s="67">
        <f>'WYDATKI ukł.wyk.'!E203</f>
        <v>630000</v>
      </c>
      <c r="E49" s="67">
        <f>SUM('WYDATKI ukł.wyk.'!F203)</f>
        <v>629397</v>
      </c>
      <c r="F49" s="67">
        <f>SUM('WYDATKI ukł.wyk.'!G203)</f>
        <v>5200</v>
      </c>
      <c r="G49" s="67">
        <f>SUM('WYDATKI ukł.wyk.'!H203)</f>
        <v>634597</v>
      </c>
      <c r="H49" s="67">
        <f>'WYDATKI ukł.wyk.'!H204+'WYDATKI ukł.wyk.'!H206</f>
        <v>634597</v>
      </c>
      <c r="I49" s="66">
        <v>0</v>
      </c>
      <c r="J49" s="66">
        <v>0</v>
      </c>
      <c r="K49" s="66">
        <v>0</v>
      </c>
      <c r="L49" s="67">
        <f>'WYDATKI ukł.wyk.'!H206+'WYDATKI ukł.wyk.'!H204</f>
        <v>634597</v>
      </c>
      <c r="M49" s="66">
        <v>0</v>
      </c>
      <c r="N49" s="198">
        <v>0</v>
      </c>
    </row>
    <row r="50" spans="1:14" s="42" customFormat="1" ht="12.75">
      <c r="A50" s="150"/>
      <c r="B50" s="300"/>
      <c r="C50" s="144"/>
      <c r="D50" s="144"/>
      <c r="E50" s="144"/>
      <c r="F50" s="210"/>
      <c r="G50" s="210"/>
      <c r="H50" s="144"/>
      <c r="I50" s="144"/>
      <c r="J50" s="144"/>
      <c r="K50" s="144"/>
      <c r="L50" s="144"/>
      <c r="M50" s="144"/>
      <c r="N50" s="145"/>
    </row>
    <row r="51" spans="1:14" s="42" customFormat="1" ht="13.5" thickBot="1">
      <c r="A51" s="79">
        <v>758</v>
      </c>
      <c r="B51" s="73"/>
      <c r="C51" s="72" t="s">
        <v>139</v>
      </c>
      <c r="D51" s="77">
        <f>D52</f>
        <v>0</v>
      </c>
      <c r="E51" s="77">
        <f aca="true" t="shared" si="10" ref="E51:N51">E52</f>
        <v>951593</v>
      </c>
      <c r="F51" s="77">
        <f t="shared" si="10"/>
        <v>0</v>
      </c>
      <c r="G51" s="77">
        <f t="shared" si="10"/>
        <v>951593</v>
      </c>
      <c r="H51" s="77">
        <f t="shared" si="10"/>
        <v>951593</v>
      </c>
      <c r="I51" s="77">
        <f t="shared" si="10"/>
        <v>0</v>
      </c>
      <c r="J51" s="77">
        <f t="shared" si="10"/>
        <v>0</v>
      </c>
      <c r="K51" s="77">
        <f t="shared" si="10"/>
        <v>0</v>
      </c>
      <c r="L51" s="77">
        <f t="shared" si="10"/>
        <v>0</v>
      </c>
      <c r="M51" s="77">
        <f t="shared" si="10"/>
        <v>0</v>
      </c>
      <c r="N51" s="201">
        <f t="shared" si="10"/>
        <v>0</v>
      </c>
    </row>
    <row r="52" spans="1:14" s="42" customFormat="1" ht="12.75">
      <c r="A52" s="301"/>
      <c r="B52" s="110">
        <v>75818</v>
      </c>
      <c r="C52" s="109" t="s">
        <v>140</v>
      </c>
      <c r="D52" s="142">
        <f>'WYDATKI ukł.wyk.'!E209</f>
        <v>0</v>
      </c>
      <c r="E52" s="142">
        <f>SUM('WYDATKI ukł.wyk.'!F210)</f>
        <v>951593</v>
      </c>
      <c r="F52" s="142">
        <f>SUM('WYDATKI ukł.wyk.'!G210)</f>
        <v>0</v>
      </c>
      <c r="G52" s="142">
        <f>SUM('WYDATKI ukł.wyk.'!H210)</f>
        <v>951593</v>
      </c>
      <c r="H52" s="142">
        <f>SUM('WYDATKI ukł.wyk.'!H210)</f>
        <v>951593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200">
        <v>0</v>
      </c>
    </row>
    <row r="53" spans="1:14" s="42" customFormat="1" ht="12.75">
      <c r="A53" s="150"/>
      <c r="B53" s="300"/>
      <c r="C53" s="144"/>
      <c r="D53" s="144"/>
      <c r="E53" s="144"/>
      <c r="F53" s="210"/>
      <c r="G53" s="210"/>
      <c r="H53" s="144"/>
      <c r="I53" s="144"/>
      <c r="J53" s="144"/>
      <c r="K53" s="144"/>
      <c r="L53" s="144"/>
      <c r="M53" s="144"/>
      <c r="N53" s="145"/>
    </row>
    <row r="54" spans="1:14" s="42" customFormat="1" ht="13.5" thickBot="1">
      <c r="A54" s="79">
        <v>801</v>
      </c>
      <c r="B54" s="73"/>
      <c r="C54" s="72" t="s">
        <v>142</v>
      </c>
      <c r="D54" s="77">
        <f>SUM(D55:D61)</f>
        <v>6876770</v>
      </c>
      <c r="E54" s="77">
        <f aca="true" t="shared" si="11" ref="E54:N54">SUM(E55:E61)</f>
        <v>7616601</v>
      </c>
      <c r="F54" s="77">
        <f t="shared" si="11"/>
        <v>65573</v>
      </c>
      <c r="G54" s="77">
        <f t="shared" si="11"/>
        <v>7682174</v>
      </c>
      <c r="H54" s="77">
        <f t="shared" si="11"/>
        <v>7638674</v>
      </c>
      <c r="I54" s="77">
        <f t="shared" si="11"/>
        <v>4601921</v>
      </c>
      <c r="J54" s="77">
        <f t="shared" si="11"/>
        <v>933065</v>
      </c>
      <c r="K54" s="77">
        <f t="shared" si="11"/>
        <v>10000</v>
      </c>
      <c r="L54" s="77">
        <f t="shared" si="11"/>
        <v>0</v>
      </c>
      <c r="M54" s="77">
        <f t="shared" si="11"/>
        <v>0</v>
      </c>
      <c r="N54" s="201">
        <f t="shared" si="11"/>
        <v>43500</v>
      </c>
    </row>
    <row r="55" spans="1:14" s="42" customFormat="1" ht="12.75">
      <c r="A55" s="301"/>
      <c r="B55" s="80">
        <v>80101</v>
      </c>
      <c r="C55" s="64" t="s">
        <v>143</v>
      </c>
      <c r="D55" s="67">
        <f>'WYDATKI ukł.wyk.'!E213</f>
        <v>88232</v>
      </c>
      <c r="E55" s="67">
        <f>SUM('WYDATKI ukł.wyk.'!F214:F225)</f>
        <v>119964</v>
      </c>
      <c r="F55" s="67">
        <f>SUM('WYDATKI ukł.wyk.'!G214:G225)</f>
        <v>0</v>
      </c>
      <c r="G55" s="67">
        <f>SUM('WYDATKI ukł.wyk.'!H214:H225)</f>
        <v>119964</v>
      </c>
      <c r="H55" s="67">
        <f>SUM('WYDATKI ukł.wyk.'!H214:H225)</f>
        <v>119964</v>
      </c>
      <c r="I55" s="67">
        <f>'WYDATKI ukł.wyk.'!H215+'WYDATKI ukł.wyk.'!H216</f>
        <v>54054</v>
      </c>
      <c r="J55" s="67">
        <f>'WYDATKI ukł.wyk.'!H217+'WYDATKI ukł.wyk.'!H218</f>
        <v>11323</v>
      </c>
      <c r="K55" s="66">
        <v>0</v>
      </c>
      <c r="L55" s="66">
        <v>0</v>
      </c>
      <c r="M55" s="66">
        <v>0</v>
      </c>
      <c r="N55" s="198">
        <v>0</v>
      </c>
    </row>
    <row r="56" spans="1:14" s="42" customFormat="1" ht="12.75">
      <c r="A56" s="150"/>
      <c r="B56" s="152">
        <v>80110</v>
      </c>
      <c r="C56" s="70" t="s">
        <v>145</v>
      </c>
      <c r="D56" s="71">
        <f>'WYDATKI ukł.wyk.'!E227</f>
        <v>373330</v>
      </c>
      <c r="E56" s="71">
        <f>SUM('WYDATKI ukł.wyk.'!F228:F241)</f>
        <v>610724</v>
      </c>
      <c r="F56" s="71">
        <f>SUM('WYDATKI ukł.wyk.'!G228:G241)</f>
        <v>8000</v>
      </c>
      <c r="G56" s="71">
        <f>SUM('WYDATKI ukł.wyk.'!H228:H241)</f>
        <v>618724</v>
      </c>
      <c r="H56" s="71">
        <f>SUM('WYDATKI ukł.wyk.'!H228:H241)</f>
        <v>618724</v>
      </c>
      <c r="I56" s="71">
        <f>'WYDATKI ukł.wyk.'!H229+'WYDATKI ukł.wyk.'!H230</f>
        <v>267920</v>
      </c>
      <c r="J56" s="71">
        <f>'WYDATKI ukł.wyk.'!H231+'WYDATKI ukł.wyk.'!H232</f>
        <v>57085</v>
      </c>
      <c r="K56" s="69">
        <v>0</v>
      </c>
      <c r="L56" s="69">
        <v>0</v>
      </c>
      <c r="M56" s="69">
        <v>0</v>
      </c>
      <c r="N56" s="199">
        <v>0</v>
      </c>
    </row>
    <row r="57" spans="1:14" s="42" customFormat="1" ht="12.75">
      <c r="A57" s="150"/>
      <c r="B57" s="191" t="s">
        <v>232</v>
      </c>
      <c r="C57" s="64" t="s">
        <v>147</v>
      </c>
      <c r="D57" s="76">
        <f>'WYDATKI ukł.wyk.'!E243</f>
        <v>2150137</v>
      </c>
      <c r="E57" s="76">
        <f>SUM('WYDATKI ukł.wyk.'!F244:F265)</f>
        <v>2291509</v>
      </c>
      <c r="F57" s="76">
        <f>SUM('WYDATKI ukł.wyk.'!G244:G265)</f>
        <v>-14370</v>
      </c>
      <c r="G57" s="76">
        <f>SUM('WYDATKI ukł.wyk.'!H244:H265)</f>
        <v>2277139</v>
      </c>
      <c r="H57" s="76">
        <f>SUM('WYDATKI ukł.wyk.'!H244:H264)</f>
        <v>2257139</v>
      </c>
      <c r="I57" s="76">
        <f>'WYDATKI ukł.wyk.'!H245+'WYDATKI ukł.wyk.'!H246+'WYDATKI ukł.wyk.'!H249</f>
        <v>1559617</v>
      </c>
      <c r="J57" s="76">
        <f>'WYDATKI ukł.wyk.'!H247+'WYDATKI ukł.wyk.'!H248</f>
        <v>303392</v>
      </c>
      <c r="K57" s="82">
        <v>0</v>
      </c>
      <c r="L57" s="82">
        <v>0</v>
      </c>
      <c r="M57" s="82">
        <v>0</v>
      </c>
      <c r="N57" s="205">
        <f>'WYDATKI ukł.wyk.'!H265</f>
        <v>20000</v>
      </c>
    </row>
    <row r="58" spans="1:14" s="42" customFormat="1" ht="12.75">
      <c r="A58" s="150"/>
      <c r="B58" s="192" t="s">
        <v>233</v>
      </c>
      <c r="C58" s="69" t="s">
        <v>149</v>
      </c>
      <c r="D58" s="71">
        <f>'WYDATKI ukł.wyk.'!E267</f>
        <v>4130896</v>
      </c>
      <c r="E58" s="71">
        <f>SUM('WYDATKI ukł.wyk.'!F268:F293)</f>
        <v>4413436</v>
      </c>
      <c r="F58" s="71">
        <f>SUM('WYDATKI ukł.wyk.'!G268:G293)</f>
        <v>48932</v>
      </c>
      <c r="G58" s="71">
        <f>SUM('WYDATKI ukł.wyk.'!H268:H293)</f>
        <v>4462368</v>
      </c>
      <c r="H58" s="71">
        <f>SUM('WYDATKI ukł.wyk.'!H268:H291)</f>
        <v>4438868</v>
      </c>
      <c r="I58" s="71">
        <f>'WYDATKI ukł.wyk.'!H269+'WYDATKI ukł.wyk.'!H270+'WYDATKI ukł.wyk.'!H273</f>
        <v>2680376</v>
      </c>
      <c r="J58" s="71">
        <f>'WYDATKI ukł.wyk.'!H271+'WYDATKI ukł.wyk.'!H272</f>
        <v>529005</v>
      </c>
      <c r="K58" s="69">
        <v>0</v>
      </c>
      <c r="L58" s="69">
        <v>0</v>
      </c>
      <c r="M58" s="69">
        <v>0</v>
      </c>
      <c r="N58" s="203">
        <f>'WYDATKI ukł.wyk.'!H292+'WYDATKI ukł.wyk.'!H293</f>
        <v>23500</v>
      </c>
    </row>
    <row r="59" spans="1:14" s="42" customFormat="1" ht="25.5">
      <c r="A59" s="150"/>
      <c r="B59" s="192" t="s">
        <v>234</v>
      </c>
      <c r="C59" s="194" t="s">
        <v>150</v>
      </c>
      <c r="D59" s="71">
        <f>'WYDATKI ukł.wyk.'!E295</f>
        <v>28271</v>
      </c>
      <c r="E59" s="71">
        <f>SUM('WYDATKI ukł.wyk.'!F296:F300)</f>
        <v>44780</v>
      </c>
      <c r="F59" s="71">
        <f>SUM('WYDATKI ukł.wyk.'!G296:G300)</f>
        <v>0</v>
      </c>
      <c r="G59" s="71">
        <f>SUM('WYDATKI ukł.wyk.'!H296:H300)</f>
        <v>44780</v>
      </c>
      <c r="H59" s="71">
        <f>SUM('WYDATKI ukł.wyk.'!H296:H300)</f>
        <v>44780</v>
      </c>
      <c r="I59" s="71">
        <f>0</f>
        <v>0</v>
      </c>
      <c r="J59" s="69">
        <v>0</v>
      </c>
      <c r="K59" s="69">
        <v>0</v>
      </c>
      <c r="L59" s="69">
        <v>0</v>
      </c>
      <c r="M59" s="69">
        <v>0</v>
      </c>
      <c r="N59" s="199">
        <v>0</v>
      </c>
    </row>
    <row r="60" spans="1:14" s="42" customFormat="1" ht="12.75">
      <c r="A60" s="150"/>
      <c r="B60" s="192" t="s">
        <v>235</v>
      </c>
      <c r="C60" s="70" t="s">
        <v>60</v>
      </c>
      <c r="D60" s="71">
        <f>'WYDATKI ukł.wyk.'!E302</f>
        <v>75864</v>
      </c>
      <c r="E60" s="71">
        <f>SUM('WYDATKI ukł.wyk.'!F303:F312)</f>
        <v>113190</v>
      </c>
      <c r="F60" s="71">
        <f>SUM('WYDATKI ukł.wyk.'!G303:G312)</f>
        <v>23011</v>
      </c>
      <c r="G60" s="71">
        <f>SUM('WYDATKI ukł.wyk.'!H303:H312)</f>
        <v>136201</v>
      </c>
      <c r="H60" s="71">
        <f>SUM('WYDATKI ukł.wyk.'!H303:H312)</f>
        <v>136201</v>
      </c>
      <c r="I60" s="71">
        <f>'WYDATKI ukł.wyk.'!H306+'WYDATKI ukł.wyk.'!H309</f>
        <v>39954</v>
      </c>
      <c r="J60" s="71">
        <f>'WYDATKI ukł.wyk.'!H307+'WYDATKI ukł.wyk.'!H308</f>
        <v>9262</v>
      </c>
      <c r="K60" s="71">
        <f>'WYDATKI ukł.wyk.'!F303</f>
        <v>10000</v>
      </c>
      <c r="L60" s="69">
        <v>0</v>
      </c>
      <c r="M60" s="69">
        <v>0</v>
      </c>
      <c r="N60" s="199">
        <v>0</v>
      </c>
    </row>
    <row r="61" spans="1:14" s="42" customFormat="1" ht="12.75">
      <c r="A61" s="150"/>
      <c r="B61" s="192" t="s">
        <v>236</v>
      </c>
      <c r="C61" s="70" t="s">
        <v>600</v>
      </c>
      <c r="D61" s="71">
        <f>'WYDATKI ukł.wyk.'!E314</f>
        <v>30040</v>
      </c>
      <c r="E61" s="71">
        <f>SUM('WYDATKI ukł.wyk.'!F315)</f>
        <v>22998</v>
      </c>
      <c r="F61" s="71">
        <f>SUM('WYDATKI ukł.wyk.'!G315)</f>
        <v>0</v>
      </c>
      <c r="G61" s="71">
        <f>SUM('WYDATKI ukł.wyk.'!H315)</f>
        <v>22998</v>
      </c>
      <c r="H61" s="71">
        <f>SUM('WYDATKI ukł.wyk.'!H315)</f>
        <v>22998</v>
      </c>
      <c r="I61" s="69">
        <v>0</v>
      </c>
      <c r="J61" s="71">
        <f>'WYDATKI ukł.wyk.'!H315</f>
        <v>22998</v>
      </c>
      <c r="K61" s="69">
        <v>0</v>
      </c>
      <c r="L61" s="69">
        <v>0</v>
      </c>
      <c r="M61" s="69">
        <v>0</v>
      </c>
      <c r="N61" s="199">
        <v>0</v>
      </c>
    </row>
    <row r="62" spans="1:14" s="42" customFormat="1" ht="12.75">
      <c r="A62" s="150"/>
      <c r="B62" s="302"/>
      <c r="C62" s="81"/>
      <c r="D62" s="81"/>
      <c r="E62" s="81"/>
      <c r="F62" s="210"/>
      <c r="G62" s="782"/>
      <c r="H62" s="81"/>
      <c r="I62" s="81"/>
      <c r="J62" s="81"/>
      <c r="K62" s="81"/>
      <c r="L62" s="81"/>
      <c r="M62" s="81"/>
      <c r="N62" s="200"/>
    </row>
    <row r="63" spans="1:14" s="42" customFormat="1" ht="13.5" thickBot="1">
      <c r="A63" s="306">
        <v>803</v>
      </c>
      <c r="B63" s="73"/>
      <c r="C63" s="307" t="s">
        <v>153</v>
      </c>
      <c r="D63" s="77">
        <f>D64</f>
        <v>388183</v>
      </c>
      <c r="E63" s="77">
        <f aca="true" t="shared" si="12" ref="E63:N63">E64</f>
        <v>614084</v>
      </c>
      <c r="F63" s="77">
        <f t="shared" si="12"/>
        <v>0</v>
      </c>
      <c r="G63" s="77">
        <f t="shared" si="12"/>
        <v>614084</v>
      </c>
      <c r="H63" s="77">
        <f t="shared" si="12"/>
        <v>614084</v>
      </c>
      <c r="I63" s="77">
        <f t="shared" si="12"/>
        <v>25100</v>
      </c>
      <c r="J63" s="77">
        <f t="shared" si="12"/>
        <v>0</v>
      </c>
      <c r="K63" s="77">
        <f t="shared" si="12"/>
        <v>0</v>
      </c>
      <c r="L63" s="77">
        <f t="shared" si="12"/>
        <v>0</v>
      </c>
      <c r="M63" s="77">
        <f t="shared" si="12"/>
        <v>0</v>
      </c>
      <c r="N63" s="201">
        <f t="shared" si="12"/>
        <v>0</v>
      </c>
    </row>
    <row r="64" spans="1:14" s="42" customFormat="1" ht="25.5">
      <c r="A64" s="301"/>
      <c r="B64" s="191" t="s">
        <v>237</v>
      </c>
      <c r="C64" s="147" t="s">
        <v>154</v>
      </c>
      <c r="D64" s="76">
        <f>'WYDATKI ukł.wyk.'!E318</f>
        <v>388183</v>
      </c>
      <c r="E64" s="76">
        <f>SUM('WYDATKI ukł.wyk.'!F319:F333)</f>
        <v>614084</v>
      </c>
      <c r="F64" s="76">
        <f>SUM('WYDATKI ukł.wyk.'!G319:G333)</f>
        <v>0</v>
      </c>
      <c r="G64" s="76">
        <f>SUM('WYDATKI ukł.wyk.'!H319:H333)</f>
        <v>614084</v>
      </c>
      <c r="H64" s="76">
        <f>SUM('WYDATKI ukł.wyk.'!H319:H333)</f>
        <v>614084</v>
      </c>
      <c r="I64" s="76">
        <f>'WYDATKI ukł.wyk.'!H322+'WYDATKI ukł.wyk.'!H323+'WYDATKI ukł.wyk.'!H324</f>
        <v>25100</v>
      </c>
      <c r="J64" s="82">
        <v>0</v>
      </c>
      <c r="K64" s="82">
        <v>0</v>
      </c>
      <c r="L64" s="82">
        <v>0</v>
      </c>
      <c r="M64" s="82">
        <v>0</v>
      </c>
      <c r="N64" s="204">
        <v>0</v>
      </c>
    </row>
    <row r="65" spans="1:14" s="42" customFormat="1" ht="12.75">
      <c r="A65" s="150"/>
      <c r="B65" s="302"/>
      <c r="C65" s="81"/>
      <c r="D65" s="81"/>
      <c r="E65" s="81"/>
      <c r="F65" s="210"/>
      <c r="G65" s="782"/>
      <c r="H65" s="81"/>
      <c r="I65" s="81"/>
      <c r="J65" s="81"/>
      <c r="K65" s="81"/>
      <c r="L65" s="81"/>
      <c r="M65" s="81"/>
      <c r="N65" s="200"/>
    </row>
    <row r="66" spans="1:14" s="42" customFormat="1" ht="13.5" thickBot="1">
      <c r="A66" s="306">
        <v>851</v>
      </c>
      <c r="B66" s="73"/>
      <c r="C66" s="307" t="s">
        <v>156</v>
      </c>
      <c r="D66" s="77">
        <f>SUM(D68:D70)</f>
        <v>2546833</v>
      </c>
      <c r="E66" s="77">
        <f aca="true" t="shared" si="13" ref="E66:N66">SUM(E67:E70)</f>
        <v>86342</v>
      </c>
      <c r="F66" s="77">
        <f t="shared" si="13"/>
        <v>0</v>
      </c>
      <c r="G66" s="77">
        <f t="shared" si="13"/>
        <v>86342</v>
      </c>
      <c r="H66" s="77">
        <f t="shared" si="13"/>
        <v>73342</v>
      </c>
      <c r="I66" s="77">
        <f t="shared" si="13"/>
        <v>2704</v>
      </c>
      <c r="J66" s="77">
        <f t="shared" si="13"/>
        <v>846</v>
      </c>
      <c r="K66" s="77">
        <f t="shared" si="13"/>
        <v>0</v>
      </c>
      <c r="L66" s="77">
        <f t="shared" si="13"/>
        <v>0</v>
      </c>
      <c r="M66" s="77">
        <f t="shared" si="13"/>
        <v>0</v>
      </c>
      <c r="N66" s="201">
        <f t="shared" si="13"/>
        <v>13000</v>
      </c>
    </row>
    <row r="67" spans="1:14" s="42" customFormat="1" ht="12.75">
      <c r="A67" s="797"/>
      <c r="B67" s="65" t="s">
        <v>707</v>
      </c>
      <c r="C67" s="843" t="s">
        <v>703</v>
      </c>
      <c r="D67" s="844"/>
      <c r="E67" s="845">
        <f>SUM('WYDATKI ukł.wyk.'!F337)</f>
        <v>13000</v>
      </c>
      <c r="F67" s="845">
        <f>SUM('WYDATKI ukł.wyk.'!G337)</f>
        <v>0</v>
      </c>
      <c r="G67" s="845">
        <f>SUM('WYDATKI ukł.wyk.'!H337)</f>
        <v>13000</v>
      </c>
      <c r="H67" s="845">
        <v>0</v>
      </c>
      <c r="I67" s="845">
        <v>0</v>
      </c>
      <c r="J67" s="845">
        <v>0</v>
      </c>
      <c r="K67" s="845">
        <v>0</v>
      </c>
      <c r="L67" s="845"/>
      <c r="M67" s="845"/>
      <c r="N67" s="846">
        <f>SUM('WYDATKI ukł.wyk.'!H337)</f>
        <v>13000</v>
      </c>
    </row>
    <row r="68" spans="1:14" s="42" customFormat="1" ht="12.75">
      <c r="A68" s="150"/>
      <c r="B68" s="80">
        <v>85149</v>
      </c>
      <c r="C68" s="131" t="s">
        <v>158</v>
      </c>
      <c r="D68" s="76">
        <f>'WYDATKI ukł.wyk.'!E341</f>
        <v>3000</v>
      </c>
      <c r="E68" s="76">
        <f>SUM('WYDATKI ukł.wyk.'!F342)</f>
        <v>3000</v>
      </c>
      <c r="F68" s="76">
        <f>SUM('WYDATKI ukł.wyk.'!G342)</f>
        <v>0</v>
      </c>
      <c r="G68" s="76">
        <f>SUM('WYDATKI ukł.wyk.'!H342)</f>
        <v>3000</v>
      </c>
      <c r="H68" s="76">
        <f>SUM('WYDATKI ukł.wyk.'!H342)</f>
        <v>3000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204">
        <v>0</v>
      </c>
    </row>
    <row r="69" spans="1:14" s="42" customFormat="1" ht="12.75">
      <c r="A69" s="150"/>
      <c r="B69" s="80">
        <v>85154</v>
      </c>
      <c r="C69" s="131" t="s">
        <v>316</v>
      </c>
      <c r="D69" s="76">
        <f>'WYDATKI ukł.wyk.'!E344</f>
        <v>14833</v>
      </c>
      <c r="E69" s="76">
        <f>SUM('WYDATKI ukł.wyk.'!F345:F347)</f>
        <v>13925</v>
      </c>
      <c r="F69" s="76">
        <f>SUM('WYDATKI ukł.wyk.'!G345:G347)</f>
        <v>0</v>
      </c>
      <c r="G69" s="76">
        <f>SUM('WYDATKI ukł.wyk.'!H345:H347)</f>
        <v>13925</v>
      </c>
      <c r="H69" s="76">
        <f>SUM('WYDATKI ukł.wyk.'!H345:H347)</f>
        <v>13925</v>
      </c>
      <c r="I69" s="76">
        <f>SUM('WYDATKI ukł.wyk.'!H346)</f>
        <v>2704</v>
      </c>
      <c r="J69" s="76">
        <f>SUM('WYDATKI ukł.wyk.'!H345)</f>
        <v>846</v>
      </c>
      <c r="K69" s="82">
        <v>0</v>
      </c>
      <c r="L69" s="82">
        <v>0</v>
      </c>
      <c r="M69" s="82">
        <v>0</v>
      </c>
      <c r="N69" s="204"/>
    </row>
    <row r="70" spans="1:14" s="42" customFormat="1" ht="12.75">
      <c r="A70" s="150"/>
      <c r="B70" s="80">
        <v>85156</v>
      </c>
      <c r="C70" s="64" t="s">
        <v>159</v>
      </c>
      <c r="D70" s="76">
        <f>'WYDATKI ukł.wyk.'!E349</f>
        <v>2529000</v>
      </c>
      <c r="E70" s="76">
        <f>SUM('WYDATKI ukł.wyk.'!F351)</f>
        <v>56417</v>
      </c>
      <c r="F70" s="76">
        <f>SUM('WYDATKI ukł.wyk.'!G351)</f>
        <v>0</v>
      </c>
      <c r="G70" s="76">
        <f>SUM('WYDATKI ukł.wyk.'!H351)</f>
        <v>56417</v>
      </c>
      <c r="H70" s="76">
        <f>SUM('WYDATKI ukł.wyk.'!H351)</f>
        <v>56417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204">
        <v>0</v>
      </c>
    </row>
    <row r="71" spans="1:14" s="42" customFormat="1" ht="12.75">
      <c r="A71" s="150"/>
      <c r="B71" s="300"/>
      <c r="C71" s="144"/>
      <c r="D71" s="144"/>
      <c r="E71" s="144"/>
      <c r="F71" s="210"/>
      <c r="G71" s="210"/>
      <c r="H71" s="144"/>
      <c r="I71" s="144"/>
      <c r="J71" s="144"/>
      <c r="K71" s="144"/>
      <c r="L71" s="144"/>
      <c r="M71" s="144"/>
      <c r="N71" s="145"/>
    </row>
    <row r="72" spans="1:14" s="42" customFormat="1" ht="13.5" thickBot="1">
      <c r="A72" s="306">
        <v>852</v>
      </c>
      <c r="B72" s="73"/>
      <c r="C72" s="307" t="s">
        <v>238</v>
      </c>
      <c r="D72" s="77">
        <f>SUM(D73:D78)</f>
        <v>8676425</v>
      </c>
      <c r="E72" s="77">
        <f aca="true" t="shared" si="14" ref="E72:N72">SUM(E73:E80)</f>
        <v>9338767</v>
      </c>
      <c r="F72" s="77">
        <f t="shared" si="14"/>
        <v>712494</v>
      </c>
      <c r="G72" s="77">
        <f t="shared" si="14"/>
        <v>10051261</v>
      </c>
      <c r="H72" s="77">
        <f t="shared" si="14"/>
        <v>9895216</v>
      </c>
      <c r="I72" s="77">
        <f t="shared" si="14"/>
        <v>3500283</v>
      </c>
      <c r="J72" s="77">
        <f t="shared" si="14"/>
        <v>681012</v>
      </c>
      <c r="K72" s="77">
        <f t="shared" si="14"/>
        <v>652112</v>
      </c>
      <c r="L72" s="77">
        <f t="shared" si="14"/>
        <v>0</v>
      </c>
      <c r="M72" s="77">
        <f t="shared" si="14"/>
        <v>0</v>
      </c>
      <c r="N72" s="201">
        <f t="shared" si="14"/>
        <v>156045</v>
      </c>
    </row>
    <row r="73" spans="1:14" s="42" customFormat="1" ht="12.75">
      <c r="A73" s="301"/>
      <c r="B73" s="80">
        <v>85201</v>
      </c>
      <c r="C73" s="64" t="s">
        <v>163</v>
      </c>
      <c r="D73" s="67">
        <f>'WYDATKI ukł.wyk.'!E354</f>
        <v>2019498</v>
      </c>
      <c r="E73" s="67">
        <f>SUM('WYDATKI ukł.wyk.'!F355:F380)</f>
        <v>2025223</v>
      </c>
      <c r="F73" s="67">
        <f>SUM('WYDATKI ukł.wyk.'!G355:G380)</f>
        <v>128957</v>
      </c>
      <c r="G73" s="67">
        <f>SUM('WYDATKI ukł.wyk.'!H355:H380)</f>
        <v>2154180</v>
      </c>
      <c r="H73" s="67">
        <f>SUM('WYDATKI ukł.wyk.'!H355:H380)</f>
        <v>2154180</v>
      </c>
      <c r="I73" s="67">
        <f>'WYDATKI ukł.wyk.'!H358+'WYDATKI ukł.wyk.'!H359+'WYDATKI ukł.wyk.'!H362</f>
        <v>718907</v>
      </c>
      <c r="J73" s="67">
        <f>'WYDATKI ukł.wyk.'!H360+'WYDATKI ukł.wyk.'!H361</f>
        <v>139586</v>
      </c>
      <c r="K73" s="67">
        <f>'WYDATKI ukł.wyk.'!F355</f>
        <v>535125</v>
      </c>
      <c r="L73" s="66">
        <v>0</v>
      </c>
      <c r="M73" s="66">
        <v>0</v>
      </c>
      <c r="N73" s="202">
        <v>0</v>
      </c>
    </row>
    <row r="74" spans="1:14" s="42" customFormat="1" ht="12.75">
      <c r="A74" s="150"/>
      <c r="B74" s="59" t="s">
        <v>239</v>
      </c>
      <c r="C74" s="44" t="s">
        <v>240</v>
      </c>
      <c r="D74" s="76">
        <f>'WYDATKI ukł.wyk.'!E382</f>
        <v>4256602</v>
      </c>
      <c r="E74" s="76">
        <f>SUM('WYDATKI ukł.wyk.'!F383:F411)</f>
        <v>4855721</v>
      </c>
      <c r="F74" s="76">
        <f>SUM('WYDATKI ukł.wyk.'!G383:G411)</f>
        <v>239702</v>
      </c>
      <c r="G74" s="76">
        <f>SUM('WYDATKI ukł.wyk.'!H383:H411)</f>
        <v>5095423</v>
      </c>
      <c r="H74" s="76">
        <f>SUM('WYDATKI ukł.wyk.'!H383:H409)</f>
        <v>4939378</v>
      </c>
      <c r="I74" s="76">
        <f>'WYDATKI ukł.wyk.'!H384+'WYDATKI ukł.wyk.'!H385+'WYDATKI ukł.wyk.'!H388</f>
        <v>2223690</v>
      </c>
      <c r="J74" s="76">
        <f>'WYDATKI ukł.wyk.'!H386+'WYDATKI ukł.wyk.'!H387</f>
        <v>433253</v>
      </c>
      <c r="K74" s="82">
        <v>0</v>
      </c>
      <c r="L74" s="82">
        <v>0</v>
      </c>
      <c r="M74" s="82">
        <v>0</v>
      </c>
      <c r="N74" s="205">
        <f>'WYDATKI ukł.wyk.'!H410+'WYDATKI ukł.wyk.'!H411</f>
        <v>156045</v>
      </c>
    </row>
    <row r="75" spans="1:14" s="42" customFormat="1" ht="12.75">
      <c r="A75" s="150"/>
      <c r="B75" s="192" t="s">
        <v>241</v>
      </c>
      <c r="C75" s="69" t="s">
        <v>169</v>
      </c>
      <c r="D75" s="71">
        <f>'WYDATKI ukł.wyk.'!E413</f>
        <v>220593</v>
      </c>
      <c r="E75" s="71">
        <f>SUM('WYDATKI ukł.wyk.'!F414:F436)</f>
        <v>288735</v>
      </c>
      <c r="F75" s="71">
        <f>SUM('WYDATKI ukł.wyk.'!G414:G436)</f>
        <v>43200</v>
      </c>
      <c r="G75" s="71">
        <f>SUM('WYDATKI ukł.wyk.'!H414:H436)</f>
        <v>331935</v>
      </c>
      <c r="H75" s="71">
        <f>SUM('WYDATKI ukł.wyk.'!H414:H436)</f>
        <v>331935</v>
      </c>
      <c r="I75" s="71">
        <f>'WYDATKI ukł.wyk.'!H415+'WYDATKI ukł.wyk.'!H416+'WYDATKI ukł.wyk.'!H419</f>
        <v>127401</v>
      </c>
      <c r="J75" s="71">
        <f>'WYDATKI ukł.wyk.'!H417+'WYDATKI ukł.wyk.'!H418</f>
        <v>25117</v>
      </c>
      <c r="K75" s="69">
        <v>0</v>
      </c>
      <c r="L75" s="69">
        <v>0</v>
      </c>
      <c r="M75" s="69">
        <v>0</v>
      </c>
      <c r="N75" s="203">
        <v>0</v>
      </c>
    </row>
    <row r="76" spans="1:14" s="42" customFormat="1" ht="12.75">
      <c r="A76" s="150"/>
      <c r="B76" s="192" t="s">
        <v>242</v>
      </c>
      <c r="C76" s="69" t="s">
        <v>171</v>
      </c>
      <c r="D76" s="71">
        <f>'WYDATKI ukł.wyk.'!E438</f>
        <v>1496800</v>
      </c>
      <c r="E76" s="71">
        <f>SUM('WYDATKI ukł.wyk.'!F439:F445)</f>
        <v>1235208</v>
      </c>
      <c r="F76" s="71">
        <f>SUM('WYDATKI ukł.wyk.'!G439:G445)</f>
        <v>172787</v>
      </c>
      <c r="G76" s="71">
        <f>SUM('WYDATKI ukł.wyk.'!H439:H445)</f>
        <v>1407995</v>
      </c>
      <c r="H76" s="71">
        <f>SUM('WYDATKI ukł.wyk.'!H439:H445)</f>
        <v>1407995</v>
      </c>
      <c r="I76" s="71">
        <f>'WYDATKI ukł.wyk.'!H443</f>
        <v>19764</v>
      </c>
      <c r="J76" s="71">
        <f>'WYDATKI ukł.wyk.'!H441+'WYDATKI ukł.wyk.'!H442</f>
        <v>3698</v>
      </c>
      <c r="K76" s="71">
        <f>'WYDATKI ukł.wyk.'!F439</f>
        <v>116987</v>
      </c>
      <c r="L76" s="69">
        <v>0</v>
      </c>
      <c r="M76" s="69">
        <v>0</v>
      </c>
      <c r="N76" s="199">
        <v>0</v>
      </c>
    </row>
    <row r="77" spans="1:14" s="42" customFormat="1" ht="12.75">
      <c r="A77" s="150"/>
      <c r="B77" s="192" t="s">
        <v>243</v>
      </c>
      <c r="C77" s="69" t="s">
        <v>172</v>
      </c>
      <c r="D77" s="71">
        <f>'WYDATKI ukł.wyk.'!E447</f>
        <v>548716</v>
      </c>
      <c r="E77" s="71">
        <f>SUM('WYDATKI ukł.wyk.'!F448:F468)</f>
        <v>614668</v>
      </c>
      <c r="F77" s="71">
        <f>SUM('WYDATKI ukł.wyk.'!G448:G468)</f>
        <v>38322</v>
      </c>
      <c r="G77" s="71">
        <f>SUM('WYDATKI ukł.wyk.'!H448:H468)</f>
        <v>652990</v>
      </c>
      <c r="H77" s="71">
        <f>SUM('WYDATKI ukł.wyk.'!H448:H468)</f>
        <v>652990</v>
      </c>
      <c r="I77" s="71">
        <f>'WYDATKI ukł.wyk.'!H448+'WYDATKI ukł.wyk.'!H449+'WYDATKI ukł.wyk.'!H452</f>
        <v>410521</v>
      </c>
      <c r="J77" s="71">
        <f>'WYDATKI ukł.wyk.'!H450+'WYDATKI ukł.wyk.'!H451</f>
        <v>79358</v>
      </c>
      <c r="K77" s="69">
        <v>0</v>
      </c>
      <c r="L77" s="69">
        <v>0</v>
      </c>
      <c r="M77" s="69">
        <v>0</v>
      </c>
      <c r="N77" s="203">
        <v>0</v>
      </c>
    </row>
    <row r="78" spans="1:14" s="42" customFormat="1" ht="25.5">
      <c r="A78" s="150"/>
      <c r="B78" s="192" t="s">
        <v>244</v>
      </c>
      <c r="C78" s="187" t="s">
        <v>173</v>
      </c>
      <c r="D78" s="71">
        <f>'WYDATKI ukł.wyk.'!E470</f>
        <v>134216</v>
      </c>
      <c r="E78" s="71">
        <f>SUM('WYDATKI ukł.wyk.'!F471:F477)</f>
        <v>21112</v>
      </c>
      <c r="F78" s="71">
        <f>SUM('WYDATKI ukł.wyk.'!G471:G477)</f>
        <v>0</v>
      </c>
      <c r="G78" s="71">
        <f>SUM('WYDATKI ukł.wyk.'!H471:H477)</f>
        <v>21112</v>
      </c>
      <c r="H78" s="71">
        <f>SUM('WYDATKI ukł.wyk.'!H471:H477)</f>
        <v>21112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199">
        <v>0</v>
      </c>
    </row>
    <row r="79" spans="1:14" s="42" customFormat="1" ht="25.5">
      <c r="A79" s="150"/>
      <c r="B79" s="300" t="s">
        <v>735</v>
      </c>
      <c r="C79" s="837" t="s">
        <v>150</v>
      </c>
      <c r="D79" s="140"/>
      <c r="E79" s="140">
        <f>SUM('WYDATKI ukł.wyk.'!F480)</f>
        <v>3100</v>
      </c>
      <c r="F79" s="140">
        <f>SUM('WYDATKI ukł.wyk.'!G480)</f>
        <v>0</v>
      </c>
      <c r="G79" s="140">
        <f>SUM('WYDATKI ukł.wyk.'!H480)</f>
        <v>3100</v>
      </c>
      <c r="H79" s="140">
        <f>SUM('WYDATKI ukł.wyk.'!H480)</f>
        <v>3100</v>
      </c>
      <c r="I79" s="144">
        <v>0</v>
      </c>
      <c r="J79" s="144">
        <v>0</v>
      </c>
      <c r="K79" s="144">
        <v>0</v>
      </c>
      <c r="L79" s="144">
        <v>0</v>
      </c>
      <c r="M79" s="144">
        <v>0</v>
      </c>
      <c r="N79" s="145">
        <v>0</v>
      </c>
    </row>
    <row r="80" spans="1:14" s="42" customFormat="1" ht="12.75">
      <c r="A80" s="150"/>
      <c r="B80" s="300" t="s">
        <v>701</v>
      </c>
      <c r="C80" s="791" t="s">
        <v>60</v>
      </c>
      <c r="D80" s="140"/>
      <c r="E80" s="140">
        <f>SUM('WYDATKI ukł.wyk.'!F483:F486)</f>
        <v>295000</v>
      </c>
      <c r="F80" s="140">
        <f>SUM('WYDATKI ukł.wyk.'!G483:G486)</f>
        <v>89526</v>
      </c>
      <c r="G80" s="140">
        <f>SUM('WYDATKI ukł.wyk.'!H483:H486)</f>
        <v>384526</v>
      </c>
      <c r="H80" s="140">
        <f>SUM('WYDATKI ukł.wyk.'!H483:H486)</f>
        <v>384526</v>
      </c>
      <c r="I80" s="144"/>
      <c r="J80" s="144"/>
      <c r="K80" s="144"/>
      <c r="L80" s="144"/>
      <c r="M80" s="144"/>
      <c r="N80" s="145"/>
    </row>
    <row r="81" spans="1:14" s="42" customFormat="1" ht="12.75">
      <c r="A81" s="150"/>
      <c r="B81" s="300"/>
      <c r="C81" s="144"/>
      <c r="D81" s="144"/>
      <c r="E81" s="144"/>
      <c r="F81" s="210"/>
      <c r="G81" s="210"/>
      <c r="H81" s="144"/>
      <c r="I81" s="144"/>
      <c r="J81" s="144"/>
      <c r="K81" s="144"/>
      <c r="L81" s="144"/>
      <c r="M81" s="144"/>
      <c r="N81" s="145"/>
    </row>
    <row r="82" spans="1:14" s="42" customFormat="1" ht="26.25" thickBot="1">
      <c r="A82" s="306">
        <v>853</v>
      </c>
      <c r="B82" s="308"/>
      <c r="C82" s="186" t="s">
        <v>176</v>
      </c>
      <c r="D82" s="77">
        <f>SUM(D84:D86)</f>
        <v>1077503</v>
      </c>
      <c r="E82" s="77">
        <f aca="true" t="shared" si="15" ref="E82:N82">SUM(E83:E86)</f>
        <v>1605228</v>
      </c>
      <c r="F82" s="77">
        <f t="shared" si="15"/>
        <v>0</v>
      </c>
      <c r="G82" s="77">
        <f t="shared" si="15"/>
        <v>1605228</v>
      </c>
      <c r="H82" s="77">
        <f t="shared" si="15"/>
        <v>1605228</v>
      </c>
      <c r="I82" s="77">
        <f t="shared" si="15"/>
        <v>123485</v>
      </c>
      <c r="J82" s="77">
        <f t="shared" si="15"/>
        <v>129209</v>
      </c>
      <c r="K82" s="77">
        <f t="shared" si="15"/>
        <v>676113</v>
      </c>
      <c r="L82" s="77">
        <f t="shared" si="15"/>
        <v>0</v>
      </c>
      <c r="M82" s="77">
        <f t="shared" si="15"/>
        <v>0</v>
      </c>
      <c r="N82" s="77">
        <f t="shared" si="15"/>
        <v>0</v>
      </c>
    </row>
    <row r="83" spans="1:14" s="42" customFormat="1" ht="25.5">
      <c r="A83" s="866"/>
      <c r="B83" s="867" t="s">
        <v>769</v>
      </c>
      <c r="C83" s="845" t="s">
        <v>770</v>
      </c>
      <c r="D83" s="845"/>
      <c r="E83" s="845">
        <f>SUM('WYDATKI ukł.wyk.'!F490)</f>
        <v>60010</v>
      </c>
      <c r="F83" s="845">
        <f>SUM('WYDATKI ukł.wyk.'!G490)</f>
        <v>0</v>
      </c>
      <c r="G83" s="845">
        <f>SUM('WYDATKI ukł.wyk.'!H490)</f>
        <v>60010</v>
      </c>
      <c r="H83" s="845">
        <f>SUM('WYDATKI ukł.wyk.'!H490)</f>
        <v>60010</v>
      </c>
      <c r="I83" s="845"/>
      <c r="J83" s="845"/>
      <c r="K83" s="845">
        <f>'WYDATKI ukł.wyk.'!H490</f>
        <v>60010</v>
      </c>
      <c r="L83" s="845"/>
      <c r="M83" s="845"/>
      <c r="N83" s="846"/>
    </row>
    <row r="84" spans="1:14" s="42" customFormat="1" ht="25.5">
      <c r="A84" s="150"/>
      <c r="B84" s="80">
        <v>85321</v>
      </c>
      <c r="C84" s="147" t="s">
        <v>177</v>
      </c>
      <c r="D84" s="76">
        <f>'WYDATKI ukł.wyk.'!E493</f>
        <v>274325</v>
      </c>
      <c r="E84" s="142">
        <f>SUM('WYDATKI ukł.wyk.'!F494:F512)</f>
        <v>332175</v>
      </c>
      <c r="F84" s="142">
        <f>SUM('WYDATKI ukł.wyk.'!G494:G512)</f>
        <v>0</v>
      </c>
      <c r="G84" s="142">
        <f>SUM('WYDATKI ukł.wyk.'!H494:H512)</f>
        <v>332175</v>
      </c>
      <c r="H84" s="76">
        <f>SUM('WYDATKI ukł.wyk.'!H494:H512)</f>
        <v>332175</v>
      </c>
      <c r="I84" s="76">
        <f>'WYDATKI ukł.wyk.'!H494+'WYDATKI ukł.wyk.'!H495+'WYDATKI ukł.wyk.'!H498</f>
        <v>123485</v>
      </c>
      <c r="J84" s="76">
        <f>'WYDATKI ukł.wyk.'!H496+'WYDATKI ukł.wyk.'!H497</f>
        <v>19641</v>
      </c>
      <c r="K84" s="82">
        <v>0</v>
      </c>
      <c r="L84" s="82">
        <v>0</v>
      </c>
      <c r="M84" s="82">
        <v>0</v>
      </c>
      <c r="N84" s="204">
        <v>0</v>
      </c>
    </row>
    <row r="85" spans="1:14" s="42" customFormat="1" ht="12.75">
      <c r="A85" s="150"/>
      <c r="B85" s="80">
        <v>85333</v>
      </c>
      <c r="C85" s="64" t="s">
        <v>178</v>
      </c>
      <c r="D85" s="76">
        <f>'WYDATKI ukł.wyk.'!E514</f>
        <v>87217</v>
      </c>
      <c r="E85" s="71">
        <f>SUM('WYDATKI ukł.wyk.'!F515:F516)</f>
        <v>656809</v>
      </c>
      <c r="F85" s="71">
        <f>SUM('WYDATKI ukł.wyk.'!G515:G516)</f>
        <v>0</v>
      </c>
      <c r="G85" s="71">
        <f>SUM('WYDATKI ukł.wyk.'!H515:H516)</f>
        <v>656809</v>
      </c>
      <c r="H85" s="76">
        <f>SUM('WYDATKI ukł.wyk.'!H515:H516)</f>
        <v>656809</v>
      </c>
      <c r="I85" s="82">
        <v>0</v>
      </c>
      <c r="J85" s="82">
        <v>0</v>
      </c>
      <c r="K85" s="76">
        <f>'WYDATKI ukł.wyk.'!F515</f>
        <v>616103</v>
      </c>
      <c r="L85" s="82">
        <v>0</v>
      </c>
      <c r="M85" s="82">
        <v>0</v>
      </c>
      <c r="N85" s="204">
        <v>0</v>
      </c>
    </row>
    <row r="86" spans="1:14" s="42" customFormat="1" ht="12.75">
      <c r="A86" s="150"/>
      <c r="B86" s="80">
        <v>85395</v>
      </c>
      <c r="C86" s="64" t="s">
        <v>60</v>
      </c>
      <c r="D86" s="76">
        <f>'WYDATKI ukł.wyk.'!E518</f>
        <v>715961</v>
      </c>
      <c r="E86" s="76">
        <f>SUM('WYDATKI ukł.wyk.'!F519:F525)</f>
        <v>556234</v>
      </c>
      <c r="F86" s="76">
        <f>SUM('WYDATKI ukł.wyk.'!G519:G525)</f>
        <v>0</v>
      </c>
      <c r="G86" s="76">
        <f>SUM('WYDATKI ukł.wyk.'!H519:H525)</f>
        <v>556234</v>
      </c>
      <c r="H86" s="76">
        <f>SUM('WYDATKI ukł.wyk.'!H519:H525)</f>
        <v>556234</v>
      </c>
      <c r="I86" s="76">
        <v>0</v>
      </c>
      <c r="J86" s="76">
        <f>'WYDATKI ukł.wyk.'!H522</f>
        <v>109568</v>
      </c>
      <c r="K86" s="82">
        <v>0</v>
      </c>
      <c r="L86" s="82">
        <v>0</v>
      </c>
      <c r="M86" s="82">
        <v>0</v>
      </c>
      <c r="N86" s="204">
        <v>0</v>
      </c>
    </row>
    <row r="87" spans="1:14" s="42" customFormat="1" ht="12.75">
      <c r="A87" s="150"/>
      <c r="B87" s="300"/>
      <c r="C87" s="144"/>
      <c r="D87" s="144"/>
      <c r="E87" s="144"/>
      <c r="F87" s="210"/>
      <c r="G87" s="210"/>
      <c r="H87" s="144"/>
      <c r="I87" s="144"/>
      <c r="J87" s="144"/>
      <c r="K87" s="144"/>
      <c r="L87" s="144"/>
      <c r="M87" s="144"/>
      <c r="N87" s="145"/>
    </row>
    <row r="88" spans="1:14" s="42" customFormat="1" ht="13.5" thickBot="1">
      <c r="A88" s="79">
        <v>854</v>
      </c>
      <c r="B88" s="73"/>
      <c r="C88" s="72" t="s">
        <v>180</v>
      </c>
      <c r="D88" s="77">
        <f>SUM(D89:D95)</f>
        <v>3643010</v>
      </c>
      <c r="E88" s="77">
        <f>SUM(E89:E95)</f>
        <v>3561734</v>
      </c>
      <c r="F88" s="77">
        <f>SUM(F89:F95)</f>
        <v>29455</v>
      </c>
      <c r="G88" s="77">
        <f>SUM(G89:G95)</f>
        <v>3591189</v>
      </c>
      <c r="H88" s="77">
        <f aca="true" t="shared" si="16" ref="H88:N88">SUM(H89:H95)</f>
        <v>3591189</v>
      </c>
      <c r="I88" s="77">
        <f t="shared" si="16"/>
        <v>1621514</v>
      </c>
      <c r="J88" s="77">
        <f t="shared" si="16"/>
        <v>327952</v>
      </c>
      <c r="K88" s="77">
        <f t="shared" si="16"/>
        <v>124800</v>
      </c>
      <c r="L88" s="77">
        <f t="shared" si="16"/>
        <v>0</v>
      </c>
      <c r="M88" s="77">
        <f t="shared" si="16"/>
        <v>0</v>
      </c>
      <c r="N88" s="201">
        <f t="shared" si="16"/>
        <v>0</v>
      </c>
    </row>
    <row r="89" spans="1:14" s="42" customFormat="1" ht="12.75">
      <c r="A89" s="301"/>
      <c r="B89" s="80">
        <v>85401</v>
      </c>
      <c r="C89" s="64" t="s">
        <v>181</v>
      </c>
      <c r="D89" s="67">
        <f>'WYDATKI ukł.wyk.'!E528</f>
        <v>43170</v>
      </c>
      <c r="E89" s="193">
        <f>SUM('WYDATKI ukł.wyk.'!F529:F537)</f>
        <v>53472</v>
      </c>
      <c r="F89" s="193">
        <f>SUM('WYDATKI ukł.wyk.'!G529:G537)</f>
        <v>3120</v>
      </c>
      <c r="G89" s="193">
        <f>SUM('WYDATKI ukł.wyk.'!H529:H537)</f>
        <v>56592</v>
      </c>
      <c r="H89" s="67">
        <f>SUM('WYDATKI ukł.wyk.'!H529:H537)</f>
        <v>56592</v>
      </c>
      <c r="I89" s="67">
        <f>'WYDATKI ukł.wyk.'!H530+'WYDATKI ukł.wyk.'!H531</f>
        <v>42366</v>
      </c>
      <c r="J89" s="67">
        <f>'WYDATKI ukł.wyk.'!H532+'WYDATKI ukł.wyk.'!H533</f>
        <v>7413</v>
      </c>
      <c r="K89" s="66">
        <v>0</v>
      </c>
      <c r="L89" s="66">
        <v>0</v>
      </c>
      <c r="M89" s="66">
        <v>0</v>
      </c>
      <c r="N89" s="198">
        <v>0</v>
      </c>
    </row>
    <row r="90" spans="1:14" s="42" customFormat="1" ht="25.5">
      <c r="A90" s="150"/>
      <c r="B90" s="80">
        <v>85406</v>
      </c>
      <c r="C90" s="147" t="s">
        <v>182</v>
      </c>
      <c r="D90" s="76">
        <f>'WYDATKI ukł.wyk.'!E539</f>
        <v>603699</v>
      </c>
      <c r="E90" s="71">
        <f>SUM('WYDATKI ukł.wyk.'!F540:F561)</f>
        <v>627287</v>
      </c>
      <c r="F90" s="71">
        <f>SUM('WYDATKI ukł.wyk.'!G540:G561)</f>
        <v>5535</v>
      </c>
      <c r="G90" s="71">
        <f>SUM('WYDATKI ukł.wyk.'!H540:H561)</f>
        <v>632822</v>
      </c>
      <c r="H90" s="76">
        <f>SUM('WYDATKI ukł.wyk.'!H540:H561)</f>
        <v>632822</v>
      </c>
      <c r="I90" s="76">
        <f>'WYDATKI ukł.wyk.'!H542+'WYDATKI ukł.wyk.'!H543+'WYDATKI ukł.wyk.'!H546</f>
        <v>364071</v>
      </c>
      <c r="J90" s="76">
        <f>'WYDATKI ukł.wyk.'!H544+'WYDATKI ukł.wyk.'!H545</f>
        <v>76685</v>
      </c>
      <c r="K90" s="76">
        <f>'WYDATKI ukł.wyk.'!H540</f>
        <v>124800</v>
      </c>
      <c r="L90" s="82">
        <v>0</v>
      </c>
      <c r="M90" s="82">
        <v>0</v>
      </c>
      <c r="N90" s="205">
        <v>0</v>
      </c>
    </row>
    <row r="91" spans="1:14" s="42" customFormat="1" ht="12.75">
      <c r="A91" s="150"/>
      <c r="B91" s="80">
        <v>85410</v>
      </c>
      <c r="C91" s="88" t="s">
        <v>183</v>
      </c>
      <c r="D91" s="61">
        <f>'WYDATKI ukł.wyk.'!E563</f>
        <v>235468</v>
      </c>
      <c r="E91" s="76">
        <f>SUM('WYDATKI ukł.wyk.'!F564:F579)</f>
        <v>293877</v>
      </c>
      <c r="F91" s="76">
        <f>SUM('WYDATKI ukł.wyk.'!G564:G579)</f>
        <v>0</v>
      </c>
      <c r="G91" s="76">
        <f>SUM('WYDATKI ukł.wyk.'!H564:H579)</f>
        <v>293877</v>
      </c>
      <c r="H91" s="71">
        <f>SUM('WYDATKI ukł.wyk.'!H564:H579)</f>
        <v>293877</v>
      </c>
      <c r="I91" s="71">
        <f>'WYDATKI ukł.wyk.'!H565+'WYDATKI ukł.wyk.'!H566</f>
        <v>111405</v>
      </c>
      <c r="J91" s="71">
        <f>'WYDATKI ukł.wyk.'!H567+'WYDATKI ukł.wyk.'!H568</f>
        <v>20523</v>
      </c>
      <c r="K91" s="69">
        <v>0</v>
      </c>
      <c r="L91" s="69">
        <v>0</v>
      </c>
      <c r="M91" s="69">
        <v>0</v>
      </c>
      <c r="N91" s="203">
        <v>0</v>
      </c>
    </row>
    <row r="92" spans="1:14" s="42" customFormat="1" ht="12.75">
      <c r="A92" s="150"/>
      <c r="B92" s="80">
        <v>85415</v>
      </c>
      <c r="C92" s="64" t="s">
        <v>185</v>
      </c>
      <c r="D92" s="76">
        <f>'WYDATKI ukł.wyk.'!E581</f>
        <v>765283</v>
      </c>
      <c r="E92" s="76">
        <f>SUM('WYDATKI ukł.wyk.'!F582:F597)</f>
        <v>400400</v>
      </c>
      <c r="F92" s="76">
        <f>SUM('WYDATKI ukł.wyk.'!G582:G597)</f>
        <v>20800</v>
      </c>
      <c r="G92" s="76">
        <f>SUM('WYDATKI ukł.wyk.'!H582:H597)</f>
        <v>421200</v>
      </c>
      <c r="H92" s="76">
        <f>SUM('WYDATKI ukł.wyk.'!H582:H597)</f>
        <v>421200</v>
      </c>
      <c r="I92" s="76">
        <f>'WYDATKI ukł.wyk.'!H589+'WYDATKI ukł.wyk.'!H590</f>
        <v>3400</v>
      </c>
      <c r="J92" s="76">
        <f>'WYDATKI ukł.wyk.'!H585+'WYDATKI ukł.wyk.'!H586+'WYDATKI ukł.wyk.'!H587+'WYDATKI ukł.wyk.'!H588</f>
        <v>200</v>
      </c>
      <c r="K92" s="82">
        <v>0</v>
      </c>
      <c r="L92" s="82">
        <v>0</v>
      </c>
      <c r="M92" s="82">
        <v>0</v>
      </c>
      <c r="N92" s="199">
        <v>0</v>
      </c>
    </row>
    <row r="93" spans="1:14" s="42" customFormat="1" ht="12.75">
      <c r="A93" s="150"/>
      <c r="B93" s="152">
        <v>85420</v>
      </c>
      <c r="C93" s="70" t="s">
        <v>188</v>
      </c>
      <c r="D93" s="71">
        <f>'WYDATKI ukł.wyk.'!E599</f>
        <v>1988771</v>
      </c>
      <c r="E93" s="71">
        <f>SUM('WYDATKI ukł.wyk.'!F600:F623)</f>
        <v>2175389</v>
      </c>
      <c r="F93" s="71">
        <f>SUM('WYDATKI ukł.wyk.'!G600:G623)</f>
        <v>0</v>
      </c>
      <c r="G93" s="71">
        <f>SUM('WYDATKI ukł.wyk.'!H600:H623)</f>
        <v>2175389</v>
      </c>
      <c r="H93" s="71">
        <f>SUM('WYDATKI ukł.wyk.'!H600:H623)</f>
        <v>2175389</v>
      </c>
      <c r="I93" s="71">
        <f>'WYDATKI ukł.wyk.'!H602+'WYDATKI ukł.wyk.'!H603+'WYDATKI ukł.wyk.'!H606</f>
        <v>1100272</v>
      </c>
      <c r="J93" s="71">
        <f>'WYDATKI ukł.wyk.'!H604+'WYDATKI ukł.wyk.'!H605</f>
        <v>223131</v>
      </c>
      <c r="K93" s="69">
        <v>0</v>
      </c>
      <c r="L93" s="69">
        <v>0</v>
      </c>
      <c r="M93" s="71">
        <v>0</v>
      </c>
      <c r="N93" s="199">
        <v>0</v>
      </c>
    </row>
    <row r="94" spans="1:14" s="42" customFormat="1" ht="12.75">
      <c r="A94" s="150"/>
      <c r="B94" s="152">
        <v>85446</v>
      </c>
      <c r="C94" s="70" t="s">
        <v>715</v>
      </c>
      <c r="D94" s="71"/>
      <c r="E94" s="71">
        <f>SUM('WYDATKI ukł.wyk.'!F626:F628)</f>
        <v>4615</v>
      </c>
      <c r="F94" s="71">
        <f>SUM('WYDATKI ukł.wyk.'!G626:G628)</f>
        <v>0</v>
      </c>
      <c r="G94" s="71">
        <f>SUM('WYDATKI ukł.wyk.'!H626:H628)</f>
        <v>4615</v>
      </c>
      <c r="H94" s="71">
        <f>SUM('WYDATKI ukł.wyk.'!H626:H628)</f>
        <v>4615</v>
      </c>
      <c r="I94" s="71">
        <v>0</v>
      </c>
      <c r="J94" s="71">
        <v>0</v>
      </c>
      <c r="K94" s="69">
        <v>0</v>
      </c>
      <c r="L94" s="69">
        <v>0</v>
      </c>
      <c r="M94" s="71">
        <v>0</v>
      </c>
      <c r="N94" s="199">
        <v>0</v>
      </c>
    </row>
    <row r="95" spans="1:14" s="42" customFormat="1" ht="12.75">
      <c r="A95" s="150"/>
      <c r="B95" s="152">
        <v>85495</v>
      </c>
      <c r="C95" s="70" t="s">
        <v>60</v>
      </c>
      <c r="D95" s="71">
        <f>'WYDATKI ukł.wyk.'!E630</f>
        <v>6619</v>
      </c>
      <c r="E95" s="71">
        <f>SUM('WYDATKI ukł.wyk.'!F631)</f>
        <v>6694</v>
      </c>
      <c r="F95" s="71">
        <f>SUM('WYDATKI ukł.wyk.'!G631)</f>
        <v>0</v>
      </c>
      <c r="G95" s="71">
        <f>SUM('WYDATKI ukł.wyk.'!H631)</f>
        <v>6694</v>
      </c>
      <c r="H95" s="71">
        <f>'WYDATKI ukł.wyk.'!H631</f>
        <v>6694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199">
        <v>0</v>
      </c>
    </row>
    <row r="96" spans="1:14" s="42" customFormat="1" ht="12.75">
      <c r="A96" s="150"/>
      <c r="B96" s="300"/>
      <c r="C96" s="144"/>
      <c r="D96" s="144"/>
      <c r="E96" s="144"/>
      <c r="F96" s="210"/>
      <c r="G96" s="210"/>
      <c r="H96" s="144"/>
      <c r="I96" s="144"/>
      <c r="J96" s="144"/>
      <c r="K96" s="144"/>
      <c r="L96" s="144"/>
      <c r="M96" s="144"/>
      <c r="N96" s="145"/>
    </row>
    <row r="97" spans="1:14" s="42" customFormat="1" ht="13.5" thickBot="1">
      <c r="A97" s="79">
        <v>921</v>
      </c>
      <c r="B97" s="73"/>
      <c r="C97" s="72" t="s">
        <v>189</v>
      </c>
      <c r="D97" s="77">
        <f>SUM(D98:D99)</f>
        <v>55000</v>
      </c>
      <c r="E97" s="77">
        <f>SUM(E98:E99)</f>
        <v>55000</v>
      </c>
      <c r="F97" s="77">
        <f>SUM(F98:F99)</f>
        <v>0</v>
      </c>
      <c r="G97" s="77">
        <f>SUM(G98:G99)</f>
        <v>55000</v>
      </c>
      <c r="H97" s="77">
        <f aca="true" t="shared" si="17" ref="H97:N97">SUM(H98:H99)</f>
        <v>55000</v>
      </c>
      <c r="I97" s="77">
        <f t="shared" si="17"/>
        <v>3123</v>
      </c>
      <c r="J97" s="77">
        <f t="shared" si="17"/>
        <v>0</v>
      </c>
      <c r="K97" s="77">
        <f t="shared" si="17"/>
        <v>38000</v>
      </c>
      <c r="L97" s="77">
        <f t="shared" si="17"/>
        <v>0</v>
      </c>
      <c r="M97" s="77">
        <f t="shared" si="17"/>
        <v>0</v>
      </c>
      <c r="N97" s="201">
        <f t="shared" si="17"/>
        <v>0</v>
      </c>
    </row>
    <row r="98" spans="1:14" s="42" customFormat="1" ht="12.75">
      <c r="A98" s="301"/>
      <c r="B98" s="121">
        <v>92105</v>
      </c>
      <c r="C98" s="75" t="s">
        <v>190</v>
      </c>
      <c r="D98" s="67">
        <f>'WYDATKI ukł.wyk.'!E634</f>
        <v>20000</v>
      </c>
      <c r="E98" s="193">
        <f>SUM('WYDATKI ukł.wyk.'!F635:F640)</f>
        <v>20000</v>
      </c>
      <c r="F98" s="193">
        <f>SUM('WYDATKI ukł.wyk.'!G635:G640)</f>
        <v>0</v>
      </c>
      <c r="G98" s="193">
        <f>SUM('WYDATKI ukł.wyk.'!H635:H640)</f>
        <v>20000</v>
      </c>
      <c r="H98" s="67">
        <f>SUM('WYDATKI ukł.wyk.'!H635:H640)</f>
        <v>20000</v>
      </c>
      <c r="I98" s="67">
        <f>'WYDATKI ukł.wyk.'!H638</f>
        <v>3123</v>
      </c>
      <c r="J98" s="66">
        <v>0</v>
      </c>
      <c r="K98" s="67">
        <f>'WYDATKI ukł.wyk.'!H635</f>
        <v>3000</v>
      </c>
      <c r="L98" s="66">
        <v>0</v>
      </c>
      <c r="M98" s="66">
        <v>0</v>
      </c>
      <c r="N98" s="198">
        <v>0</v>
      </c>
    </row>
    <row r="99" spans="1:14" s="42" customFormat="1" ht="12.75">
      <c r="A99" s="150"/>
      <c r="B99" s="152">
        <v>92116</v>
      </c>
      <c r="C99" s="195" t="s">
        <v>191</v>
      </c>
      <c r="D99" s="71">
        <f>'WYDATKI ukł.wyk.'!E642</f>
        <v>35000</v>
      </c>
      <c r="E99" s="71">
        <f>SUM('WYDATKI ukł.wyk.'!F643)</f>
        <v>35000</v>
      </c>
      <c r="F99" s="71">
        <f>SUM('WYDATKI ukł.wyk.'!G643)</f>
        <v>0</v>
      </c>
      <c r="G99" s="71">
        <f>SUM('WYDATKI ukł.wyk.'!H643)</f>
        <v>35000</v>
      </c>
      <c r="H99" s="71">
        <f>'WYDATKI ukł.wyk.'!H643</f>
        <v>35000</v>
      </c>
      <c r="I99" s="69">
        <v>0</v>
      </c>
      <c r="J99" s="69">
        <v>0</v>
      </c>
      <c r="K99" s="71">
        <f>'WYDATKI ukł.wyk.'!F643</f>
        <v>35000</v>
      </c>
      <c r="L99" s="69">
        <v>0</v>
      </c>
      <c r="M99" s="69">
        <v>0</v>
      </c>
      <c r="N99" s="199"/>
    </row>
    <row r="100" spans="1:14" s="42" customFormat="1" ht="12.75">
      <c r="A100" s="150"/>
      <c r="B100" s="300"/>
      <c r="C100" s="144"/>
      <c r="D100" s="144"/>
      <c r="E100" s="144"/>
      <c r="F100" s="210"/>
      <c r="G100" s="210"/>
      <c r="H100" s="144"/>
      <c r="I100" s="144"/>
      <c r="J100" s="144"/>
      <c r="K100" s="144"/>
      <c r="L100" s="144"/>
      <c r="M100" s="144"/>
      <c r="N100" s="145"/>
    </row>
    <row r="101" spans="1:14" s="42" customFormat="1" ht="13.5" thickBot="1">
      <c r="A101" s="79">
        <v>926</v>
      </c>
      <c r="B101" s="303"/>
      <c r="C101" s="72" t="s">
        <v>192</v>
      </c>
      <c r="D101" s="304">
        <f>D102</f>
        <v>94700</v>
      </c>
      <c r="E101" s="304">
        <f>E102</f>
        <v>100000</v>
      </c>
      <c r="F101" s="304">
        <f>F102</f>
        <v>0</v>
      </c>
      <c r="G101" s="304">
        <f>G102</f>
        <v>100000</v>
      </c>
      <c r="H101" s="304">
        <f aca="true" t="shared" si="18" ref="H101:N101">H102</f>
        <v>100000</v>
      </c>
      <c r="I101" s="304">
        <f t="shared" si="18"/>
        <v>0</v>
      </c>
      <c r="J101" s="304">
        <f t="shared" si="18"/>
        <v>0</v>
      </c>
      <c r="K101" s="304">
        <f t="shared" si="18"/>
        <v>70000</v>
      </c>
      <c r="L101" s="304">
        <f t="shared" si="18"/>
        <v>0</v>
      </c>
      <c r="M101" s="304">
        <f t="shared" si="18"/>
        <v>0</v>
      </c>
      <c r="N101" s="305">
        <f t="shared" si="18"/>
        <v>0</v>
      </c>
    </row>
    <row r="102" spans="1:14" s="42" customFormat="1" ht="25.5">
      <c r="A102" s="149"/>
      <c r="B102" s="121">
        <v>92605</v>
      </c>
      <c r="C102" s="151" t="s">
        <v>193</v>
      </c>
      <c r="D102" s="67">
        <f>'WYDATKI ukł.wyk.'!E646</f>
        <v>94700</v>
      </c>
      <c r="E102" s="67">
        <f>SUM('WYDATKI ukł.wyk.'!F647:F651)</f>
        <v>100000</v>
      </c>
      <c r="F102" s="67">
        <f>SUM('WYDATKI ukł.wyk.'!G647:G651)</f>
        <v>0</v>
      </c>
      <c r="G102" s="67">
        <f>SUM('WYDATKI ukł.wyk.'!H647:H651)</f>
        <v>100000</v>
      </c>
      <c r="H102" s="67">
        <f>SUM('WYDATKI ukł.wyk.'!H647:H651)</f>
        <v>100000</v>
      </c>
      <c r="I102" s="66">
        <v>0</v>
      </c>
      <c r="J102" s="66">
        <v>0</v>
      </c>
      <c r="K102" s="67">
        <f>'WYDATKI ukł.wyk.'!F647</f>
        <v>70000</v>
      </c>
      <c r="L102" s="66">
        <v>0</v>
      </c>
      <c r="M102" s="66">
        <v>0</v>
      </c>
      <c r="N102" s="198"/>
    </row>
    <row r="103" spans="1:14" s="45" customFormat="1" ht="24.75" customHeight="1" thickBot="1">
      <c r="A103" s="923" t="s">
        <v>687</v>
      </c>
      <c r="B103" s="924"/>
      <c r="C103" s="925"/>
      <c r="D103" s="206" t="e">
        <f>D101+D97+D88+D82+D72+D66+D63+D54+D51+D48+D44+#REF!+D34+D29+D26+D23+D20+D16+D12</f>
        <v>#REF!</v>
      </c>
      <c r="E103" s="815">
        <f aca="true" t="shared" si="19" ref="E103:N103">E101+E97+E88+E82+E72+E66+E63+E54+E51+E48+E44+E34+E29+E26+E23+E20+E16+E12+E41</f>
        <v>33142123</v>
      </c>
      <c r="F103" s="815">
        <f t="shared" si="19"/>
        <v>831372</v>
      </c>
      <c r="G103" s="815">
        <f t="shared" si="19"/>
        <v>33973495</v>
      </c>
      <c r="H103" s="815">
        <f t="shared" si="19"/>
        <v>32686700</v>
      </c>
      <c r="I103" s="815">
        <f t="shared" si="19"/>
        <v>13340956</v>
      </c>
      <c r="J103" s="815">
        <f t="shared" si="19"/>
        <v>2718903</v>
      </c>
      <c r="K103" s="815">
        <f t="shared" si="19"/>
        <v>1580448</v>
      </c>
      <c r="L103" s="815">
        <f t="shared" si="19"/>
        <v>634597</v>
      </c>
      <c r="M103" s="815">
        <f t="shared" si="19"/>
        <v>0</v>
      </c>
      <c r="N103" s="816">
        <f t="shared" si="19"/>
        <v>1286795</v>
      </c>
    </row>
    <row r="104" spans="1:14" ht="12.75">
      <c r="A104" s="911" t="s">
        <v>726</v>
      </c>
      <c r="B104" s="912"/>
      <c r="C104" s="912"/>
      <c r="D104" s="912"/>
      <c r="E104" s="912"/>
      <c r="F104" s="912"/>
      <c r="G104" s="913"/>
      <c r="H104" s="819">
        <v>31890318</v>
      </c>
      <c r="I104" s="819">
        <v>13308134</v>
      </c>
      <c r="J104" s="819">
        <v>2686456</v>
      </c>
      <c r="K104" s="819">
        <v>1580448</v>
      </c>
      <c r="L104" s="819">
        <v>629397</v>
      </c>
      <c r="M104" s="819">
        <v>0</v>
      </c>
      <c r="N104" s="820">
        <v>1251805</v>
      </c>
    </row>
    <row r="105" spans="1:14" ht="12.75">
      <c r="A105" s="914" t="s">
        <v>695</v>
      </c>
      <c r="B105" s="915"/>
      <c r="C105" s="915"/>
      <c r="D105" s="915"/>
      <c r="E105" s="915"/>
      <c r="F105" s="915"/>
      <c r="G105" s="916"/>
      <c r="H105" s="160">
        <f>H103-H104</f>
        <v>796382</v>
      </c>
      <c r="I105" s="160">
        <f aca="true" t="shared" si="20" ref="I105:N105">I103-I104</f>
        <v>32822</v>
      </c>
      <c r="J105" s="160">
        <f t="shared" si="20"/>
        <v>32447</v>
      </c>
      <c r="K105" s="160">
        <f t="shared" si="20"/>
        <v>0</v>
      </c>
      <c r="L105" s="160">
        <f t="shared" si="20"/>
        <v>5200</v>
      </c>
      <c r="M105" s="160">
        <f t="shared" si="20"/>
        <v>0</v>
      </c>
      <c r="N105" s="814">
        <f t="shared" si="20"/>
        <v>34990</v>
      </c>
    </row>
    <row r="106" spans="1:14" ht="13.5" thickBot="1">
      <c r="A106" s="917" t="s">
        <v>725</v>
      </c>
      <c r="B106" s="918"/>
      <c r="C106" s="918"/>
      <c r="D106" s="918"/>
      <c r="E106" s="918"/>
      <c r="F106" s="918"/>
      <c r="G106" s="919"/>
      <c r="H106" s="817">
        <f>H104+H105</f>
        <v>32686700</v>
      </c>
      <c r="I106" s="817">
        <f aca="true" t="shared" si="21" ref="I106:N106">I104+I105</f>
        <v>13340956</v>
      </c>
      <c r="J106" s="817">
        <f t="shared" si="21"/>
        <v>2718903</v>
      </c>
      <c r="K106" s="817">
        <f t="shared" si="21"/>
        <v>1580448</v>
      </c>
      <c r="L106" s="817">
        <f t="shared" si="21"/>
        <v>634597</v>
      </c>
      <c r="M106" s="817">
        <f t="shared" si="21"/>
        <v>0</v>
      </c>
      <c r="N106" s="818">
        <f t="shared" si="21"/>
        <v>1286795</v>
      </c>
    </row>
  </sheetData>
  <mergeCells count="16">
    <mergeCell ref="A104:G104"/>
    <mergeCell ref="A105:G105"/>
    <mergeCell ref="A106:G106"/>
    <mergeCell ref="D8:D10"/>
    <mergeCell ref="F8:F10"/>
    <mergeCell ref="A103:C103"/>
    <mergeCell ref="A5:N5"/>
    <mergeCell ref="E8:E10"/>
    <mergeCell ref="A8:A10"/>
    <mergeCell ref="C8:C10"/>
    <mergeCell ref="B8:B10"/>
    <mergeCell ref="H8:N8"/>
    <mergeCell ref="I9:M9"/>
    <mergeCell ref="H9:H10"/>
    <mergeCell ref="G8:G10"/>
    <mergeCell ref="N9:N10"/>
  </mergeCells>
  <printOptions horizontalCentered="1"/>
  <pageMargins left="0.2" right="0.22" top="1.02" bottom="0.7874015748031497" header="0.5118110236220472" footer="0.5118110236220472"/>
  <pageSetup fitToHeight="0" fitToWidth="3" horizontalDpi="600" verticalDpi="600" orientation="landscape" paperSize="9" scale="79" r:id="rId1"/>
  <rowBreaks count="2" manualBreakCount="2">
    <brk id="32" max="255" man="1"/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8"/>
  <sheetViews>
    <sheetView view="pageBreakPreview" zoomScaleSheetLayoutView="100" workbookViewId="0" topLeftCell="A389">
      <selection activeCell="G231" sqref="G231"/>
    </sheetView>
  </sheetViews>
  <sheetFormatPr defaultColWidth="9.00390625" defaultRowHeight="12.75"/>
  <cols>
    <col min="1" max="1" width="4.125" style="89" customWidth="1"/>
    <col min="2" max="2" width="6.00390625" style="89" customWidth="1"/>
    <col min="3" max="3" width="5.00390625" style="89" customWidth="1"/>
    <col min="4" max="4" width="49.125" style="89" customWidth="1"/>
    <col min="5" max="5" width="13.25390625" style="89" hidden="1" customWidth="1"/>
    <col min="6" max="6" width="10.25390625" style="89" customWidth="1"/>
    <col min="7" max="7" width="10.00390625" style="116" customWidth="1"/>
    <col min="8" max="8" width="10.125" style="91" customWidth="1"/>
    <col min="9" max="9" width="11.625" style="92" customWidth="1"/>
    <col min="10" max="10" width="12.00390625" style="92" customWidth="1"/>
    <col min="11" max="11" width="6.00390625" style="89" customWidth="1"/>
    <col min="12" max="16384" width="9.125" style="89" customWidth="1"/>
  </cols>
  <sheetData>
    <row r="1" spans="6:7" ht="12.75">
      <c r="F1" s="90" t="s">
        <v>362</v>
      </c>
      <c r="G1" s="248"/>
    </row>
    <row r="2" spans="6:7" ht="12.75">
      <c r="F2" s="90" t="s">
        <v>70</v>
      </c>
      <c r="G2" s="248"/>
    </row>
    <row r="3" spans="2:7" ht="12.75">
      <c r="B3" s="93"/>
      <c r="C3" s="93"/>
      <c r="D3" s="93"/>
      <c r="F3" s="90" t="s">
        <v>71</v>
      </c>
      <c r="G3" s="248"/>
    </row>
    <row r="4" spans="6:7" ht="12.75">
      <c r="F4" s="90" t="s">
        <v>692</v>
      </c>
      <c r="G4" s="248"/>
    </row>
    <row r="7" spans="1:8" ht="36" customHeight="1">
      <c r="A7" s="935" t="s">
        <v>39</v>
      </c>
      <c r="B7" s="935"/>
      <c r="C7" s="935"/>
      <c r="D7" s="935"/>
      <c r="E7" s="935"/>
      <c r="F7" s="935"/>
      <c r="G7" s="935"/>
      <c r="H7" s="935"/>
    </row>
    <row r="8" spans="3:4" ht="10.5" customHeight="1">
      <c r="C8" s="93"/>
      <c r="D8" s="94"/>
    </row>
    <row r="9" spans="1:8" ht="12" customHeight="1" thickBot="1">
      <c r="A9" s="934" t="s">
        <v>626</v>
      </c>
      <c r="B9" s="934"/>
      <c r="C9" s="934"/>
      <c r="D9" s="934"/>
      <c r="E9" s="934"/>
      <c r="F9" s="934"/>
      <c r="G9" s="934"/>
      <c r="H9" s="934"/>
    </row>
    <row r="10" spans="1:8" ht="12.75" customHeight="1">
      <c r="A10" s="939" t="s">
        <v>72</v>
      </c>
      <c r="B10" s="942" t="s">
        <v>625</v>
      </c>
      <c r="C10" s="942" t="s">
        <v>590</v>
      </c>
      <c r="D10" s="942" t="s">
        <v>73</v>
      </c>
      <c r="E10" s="936" t="s">
        <v>74</v>
      </c>
      <c r="F10" s="936" t="s">
        <v>642</v>
      </c>
      <c r="G10" s="926" t="s">
        <v>695</v>
      </c>
      <c r="H10" s="931" t="s">
        <v>696</v>
      </c>
    </row>
    <row r="11" spans="1:8" ht="12.75">
      <c r="A11" s="940"/>
      <c r="B11" s="943"/>
      <c r="C11" s="943"/>
      <c r="D11" s="943"/>
      <c r="E11" s="937"/>
      <c r="F11" s="937"/>
      <c r="G11" s="927"/>
      <c r="H11" s="932"/>
    </row>
    <row r="12" spans="1:8" ht="12" customHeight="1" thickBot="1">
      <c r="A12" s="941"/>
      <c r="B12" s="944"/>
      <c r="C12" s="944"/>
      <c r="D12" s="944"/>
      <c r="E12" s="938"/>
      <c r="F12" s="938"/>
      <c r="G12" s="928"/>
      <c r="H12" s="933"/>
    </row>
    <row r="13" spans="1:10" s="100" customFormat="1" ht="9.75" customHeight="1" thickBot="1">
      <c r="A13" s="95">
        <v>1</v>
      </c>
      <c r="B13" s="96">
        <v>2</v>
      </c>
      <c r="C13" s="96">
        <v>3</v>
      </c>
      <c r="D13" s="96">
        <v>4</v>
      </c>
      <c r="E13" s="95">
        <v>5</v>
      </c>
      <c r="F13" s="96">
        <v>5</v>
      </c>
      <c r="G13" s="96">
        <v>6</v>
      </c>
      <c r="H13" s="96">
        <v>7</v>
      </c>
      <c r="I13" s="99"/>
      <c r="J13" s="99"/>
    </row>
    <row r="14" spans="1:8" ht="12.75">
      <c r="A14" s="101"/>
      <c r="B14" s="769"/>
      <c r="C14" s="769"/>
      <c r="D14" s="769"/>
      <c r="E14" s="770"/>
      <c r="F14" s="770"/>
      <c r="G14" s="783"/>
      <c r="H14" s="764"/>
    </row>
    <row r="15" spans="1:8" ht="13.5" thickBot="1">
      <c r="A15" s="58" t="s">
        <v>55</v>
      </c>
      <c r="B15" s="129"/>
      <c r="C15" s="129"/>
      <c r="D15" s="771" t="s">
        <v>56</v>
      </c>
      <c r="E15" s="104">
        <f>E16+E19</f>
        <v>60646</v>
      </c>
      <c r="F15" s="104">
        <f>F16+F19</f>
        <v>74387</v>
      </c>
      <c r="G15" s="104">
        <f>G16+G19</f>
        <v>0</v>
      </c>
      <c r="H15" s="146">
        <f>H16+H19</f>
        <v>74387</v>
      </c>
    </row>
    <row r="16" spans="1:8" ht="12.75">
      <c r="A16" s="105"/>
      <c r="B16" s="60" t="s">
        <v>58</v>
      </c>
      <c r="C16" s="80"/>
      <c r="D16" s="772" t="s">
        <v>57</v>
      </c>
      <c r="E16" s="773">
        <f>E17</f>
        <v>44000</v>
      </c>
      <c r="F16" s="773">
        <f>F17</f>
        <v>25000</v>
      </c>
      <c r="G16" s="773">
        <f>G17</f>
        <v>0</v>
      </c>
      <c r="H16" s="763">
        <f>H17</f>
        <v>25000</v>
      </c>
    </row>
    <row r="17" spans="1:8" ht="12.75">
      <c r="A17" s="105"/>
      <c r="B17" s="110"/>
      <c r="C17" s="141" t="s">
        <v>75</v>
      </c>
      <c r="D17" s="126" t="s">
        <v>76</v>
      </c>
      <c r="E17" s="774">
        <v>44000</v>
      </c>
      <c r="F17" s="774">
        <v>25000</v>
      </c>
      <c r="G17" s="774"/>
      <c r="H17" s="764">
        <f>F17+G17</f>
        <v>25000</v>
      </c>
    </row>
    <row r="18" spans="1:8" ht="12.75">
      <c r="A18" s="105"/>
      <c r="B18" s="110"/>
      <c r="C18" s="141"/>
      <c r="D18" s="126"/>
      <c r="E18" s="774"/>
      <c r="F18" s="774"/>
      <c r="G18" s="774"/>
      <c r="H18" s="764"/>
    </row>
    <row r="19" spans="1:11" ht="12.75">
      <c r="A19" s="105"/>
      <c r="B19" s="60" t="s">
        <v>59</v>
      </c>
      <c r="C19" s="60"/>
      <c r="D19" s="131" t="s">
        <v>60</v>
      </c>
      <c r="E19" s="773">
        <f>E21</f>
        <v>16646</v>
      </c>
      <c r="F19" s="773">
        <f>SUM(F20:F21)</f>
        <v>49387</v>
      </c>
      <c r="G19" s="773">
        <f>G21+G20</f>
        <v>0</v>
      </c>
      <c r="H19" s="763">
        <f>H21+H20</f>
        <v>49387</v>
      </c>
      <c r="J19" s="109"/>
      <c r="K19" s="102"/>
    </row>
    <row r="20" spans="1:11" ht="12.75">
      <c r="A20" s="105"/>
      <c r="B20" s="141"/>
      <c r="C20" s="141" t="s">
        <v>748</v>
      </c>
      <c r="D20" s="126" t="s">
        <v>101</v>
      </c>
      <c r="E20" s="774"/>
      <c r="F20" s="774">
        <v>8905</v>
      </c>
      <c r="G20" s="774"/>
      <c r="H20" s="764">
        <f>F20+G20</f>
        <v>8905</v>
      </c>
      <c r="J20" s="109"/>
      <c r="K20" s="102"/>
    </row>
    <row r="21" spans="1:11" ht="12.75">
      <c r="A21" s="105"/>
      <c r="B21" s="110"/>
      <c r="C21" s="141" t="s">
        <v>77</v>
      </c>
      <c r="D21" s="126" t="s">
        <v>78</v>
      </c>
      <c r="E21" s="774">
        <v>16646</v>
      </c>
      <c r="F21" s="774">
        <v>40482</v>
      </c>
      <c r="G21" s="774"/>
      <c r="H21" s="764">
        <f>F21+G21</f>
        <v>40482</v>
      </c>
      <c r="J21" s="109"/>
      <c r="K21" s="102"/>
    </row>
    <row r="22" spans="1:11" ht="12.75">
      <c r="A22" s="105"/>
      <c r="B22" s="110"/>
      <c r="C22" s="141"/>
      <c r="D22" s="126"/>
      <c r="E22" s="774"/>
      <c r="F22" s="774"/>
      <c r="G22" s="774"/>
      <c r="H22" s="764"/>
      <c r="J22" s="109"/>
      <c r="K22" s="102"/>
    </row>
    <row r="23" spans="1:11" ht="13.5" thickBot="1">
      <c r="A23" s="58" t="s">
        <v>61</v>
      </c>
      <c r="B23" s="129"/>
      <c r="C23" s="129"/>
      <c r="D23" s="86" t="s">
        <v>62</v>
      </c>
      <c r="E23" s="104">
        <f>E27+E24</f>
        <v>193335</v>
      </c>
      <c r="F23" s="104">
        <f>F27+F24</f>
        <v>193335</v>
      </c>
      <c r="G23" s="104">
        <f>G27+G24</f>
        <v>0</v>
      </c>
      <c r="H23" s="146">
        <f>H27+H24</f>
        <v>193335</v>
      </c>
      <c r="J23" s="112"/>
      <c r="K23" s="102"/>
    </row>
    <row r="24" spans="1:11" ht="12.75">
      <c r="A24" s="775"/>
      <c r="B24" s="60" t="s">
        <v>63</v>
      </c>
      <c r="C24" s="80"/>
      <c r="D24" s="131" t="s">
        <v>265</v>
      </c>
      <c r="E24" s="773">
        <f>SUM(E25)</f>
        <v>188635</v>
      </c>
      <c r="F24" s="773">
        <f>SUM(F25)</f>
        <v>188635</v>
      </c>
      <c r="G24" s="773">
        <f>SUM(G25)</f>
        <v>0</v>
      </c>
      <c r="H24" s="763">
        <f>SUM(H25)</f>
        <v>188635</v>
      </c>
      <c r="J24" s="109"/>
      <c r="K24" s="102"/>
    </row>
    <row r="25" spans="1:8" ht="12.75">
      <c r="A25" s="775"/>
      <c r="B25" s="141"/>
      <c r="C25" s="299">
        <v>3030</v>
      </c>
      <c r="D25" s="143" t="s">
        <v>79</v>
      </c>
      <c r="E25" s="774">
        <v>188635</v>
      </c>
      <c r="F25" s="774">
        <v>188635</v>
      </c>
      <c r="G25" s="774"/>
      <c r="H25" s="764">
        <f>F25+G25</f>
        <v>188635</v>
      </c>
    </row>
    <row r="26" spans="1:8" ht="12.75">
      <c r="A26" s="775"/>
      <c r="B26" s="110"/>
      <c r="C26" s="110"/>
      <c r="D26" s="126"/>
      <c r="E26" s="774"/>
      <c r="F26" s="774"/>
      <c r="G26" s="774"/>
      <c r="H26" s="764"/>
    </row>
    <row r="27" spans="1:8" ht="12.75">
      <c r="A27" s="114"/>
      <c r="B27" s="60" t="s">
        <v>65</v>
      </c>
      <c r="C27" s="776"/>
      <c r="D27" s="131" t="s">
        <v>64</v>
      </c>
      <c r="E27" s="773">
        <f>E28</f>
        <v>4700</v>
      </c>
      <c r="F27" s="773">
        <f>F28</f>
        <v>4700</v>
      </c>
      <c r="G27" s="773">
        <f>G28</f>
        <v>0</v>
      </c>
      <c r="H27" s="763">
        <f>H28</f>
        <v>4700</v>
      </c>
    </row>
    <row r="28" spans="1:8" ht="12.75">
      <c r="A28" s="114"/>
      <c r="B28" s="132"/>
      <c r="C28" s="141" t="s">
        <v>75</v>
      </c>
      <c r="D28" s="126" t="s">
        <v>76</v>
      </c>
      <c r="E28" s="774">
        <v>4700</v>
      </c>
      <c r="F28" s="774">
        <v>4700</v>
      </c>
      <c r="G28" s="774"/>
      <c r="H28" s="764">
        <f>F28+G28</f>
        <v>4700</v>
      </c>
    </row>
    <row r="29" spans="1:8" ht="12.75">
      <c r="A29" s="114"/>
      <c r="B29" s="132"/>
      <c r="C29" s="141"/>
      <c r="D29" s="126"/>
      <c r="E29" s="774"/>
      <c r="F29" s="774"/>
      <c r="G29" s="774"/>
      <c r="H29" s="764"/>
    </row>
    <row r="30" spans="1:8" ht="13.5" thickBot="1">
      <c r="A30" s="79">
        <v>600</v>
      </c>
      <c r="B30" s="129"/>
      <c r="C30" s="129"/>
      <c r="D30" s="86" t="s">
        <v>66</v>
      </c>
      <c r="E30" s="104" t="e">
        <f>E31+#REF!</f>
        <v>#REF!</v>
      </c>
      <c r="F30" s="104">
        <f>F31</f>
        <v>3015729</v>
      </c>
      <c r="G30" s="104">
        <f>G31</f>
        <v>0</v>
      </c>
      <c r="H30" s="146">
        <f>H31</f>
        <v>3015729</v>
      </c>
    </row>
    <row r="31" spans="1:8" ht="12.75">
      <c r="A31" s="114"/>
      <c r="B31" s="80">
        <v>60014</v>
      </c>
      <c r="C31" s="80"/>
      <c r="D31" s="131" t="s">
        <v>68</v>
      </c>
      <c r="E31" s="773">
        <f>SUM(E32:E57)</f>
        <v>3585970</v>
      </c>
      <c r="F31" s="773">
        <f>SUM(F32:F57)</f>
        <v>3015729</v>
      </c>
      <c r="G31" s="773">
        <f>SUM(G32:G57)</f>
        <v>0</v>
      </c>
      <c r="H31" s="763">
        <f>SUM(H32:H57)</f>
        <v>3015729</v>
      </c>
    </row>
    <row r="32" spans="1:8" ht="12.75">
      <c r="A32" s="114"/>
      <c r="B32" s="110"/>
      <c r="C32" s="110">
        <v>2310</v>
      </c>
      <c r="D32" s="126" t="s">
        <v>80</v>
      </c>
      <c r="E32" s="774">
        <v>0</v>
      </c>
      <c r="F32" s="774">
        <v>8423</v>
      </c>
      <c r="G32" s="774"/>
      <c r="H32" s="764">
        <f>F32+G32</f>
        <v>8423</v>
      </c>
    </row>
    <row r="33" spans="1:10" ht="12.75">
      <c r="A33" s="114"/>
      <c r="B33" s="110"/>
      <c r="C33" s="110">
        <v>3020</v>
      </c>
      <c r="D33" s="126" t="s">
        <v>81</v>
      </c>
      <c r="E33" s="774">
        <v>21755</v>
      </c>
      <c r="F33" s="774">
        <v>26000</v>
      </c>
      <c r="G33" s="774"/>
      <c r="H33" s="764">
        <f aca="true" t="shared" si="0" ref="H33:H57">F33+G33</f>
        <v>26000</v>
      </c>
      <c r="J33" s="91"/>
    </row>
    <row r="34" spans="1:8" ht="12.75">
      <c r="A34" s="114"/>
      <c r="B34" s="110"/>
      <c r="C34" s="110">
        <v>4010</v>
      </c>
      <c r="D34" s="126" t="s">
        <v>82</v>
      </c>
      <c r="E34" s="774">
        <v>753580</v>
      </c>
      <c r="F34" s="774">
        <v>820050</v>
      </c>
      <c r="G34" s="774"/>
      <c r="H34" s="764">
        <f t="shared" si="0"/>
        <v>820050</v>
      </c>
    </row>
    <row r="35" spans="1:8" ht="12.75">
      <c r="A35" s="114"/>
      <c r="B35" s="110"/>
      <c r="C35" s="110">
        <v>4040</v>
      </c>
      <c r="D35" s="126" t="s">
        <v>83</v>
      </c>
      <c r="E35" s="774">
        <v>66155</v>
      </c>
      <c r="F35" s="774">
        <v>55862</v>
      </c>
      <c r="G35" s="774"/>
      <c r="H35" s="764">
        <f t="shared" si="0"/>
        <v>55862</v>
      </c>
    </row>
    <row r="36" spans="1:8" ht="12.75">
      <c r="A36" s="114"/>
      <c r="B36" s="110"/>
      <c r="C36" s="110">
        <v>4110</v>
      </c>
      <c r="D36" s="126" t="s">
        <v>84</v>
      </c>
      <c r="E36" s="774">
        <v>138135</v>
      </c>
      <c r="F36" s="774">
        <v>154590</v>
      </c>
      <c r="G36" s="774"/>
      <c r="H36" s="764">
        <f t="shared" si="0"/>
        <v>154590</v>
      </c>
    </row>
    <row r="37" spans="1:8" ht="12.75">
      <c r="A37" s="114"/>
      <c r="B37" s="110"/>
      <c r="C37" s="110">
        <v>4120</v>
      </c>
      <c r="D37" s="126" t="s">
        <v>85</v>
      </c>
      <c r="E37" s="774">
        <v>19147</v>
      </c>
      <c r="F37" s="774">
        <v>21363</v>
      </c>
      <c r="G37" s="774"/>
      <c r="H37" s="764">
        <f t="shared" si="0"/>
        <v>21363</v>
      </c>
    </row>
    <row r="38" spans="1:8" ht="12.75">
      <c r="A38" s="114"/>
      <c r="B38" s="110"/>
      <c r="C38" s="110">
        <v>4170</v>
      </c>
      <c r="D38" s="126" t="s">
        <v>86</v>
      </c>
      <c r="E38" s="774">
        <v>0</v>
      </c>
      <c r="F38" s="774">
        <v>57138</v>
      </c>
      <c r="G38" s="774"/>
      <c r="H38" s="764">
        <f t="shared" si="0"/>
        <v>57138</v>
      </c>
    </row>
    <row r="39" spans="1:12" ht="12.75">
      <c r="A39" s="114"/>
      <c r="B39" s="110"/>
      <c r="C39" s="110">
        <v>4210</v>
      </c>
      <c r="D39" s="126" t="s">
        <v>87</v>
      </c>
      <c r="E39" s="774">
        <v>988132</v>
      </c>
      <c r="F39" s="774">
        <v>929896</v>
      </c>
      <c r="G39" s="774"/>
      <c r="H39" s="764">
        <f t="shared" si="0"/>
        <v>929896</v>
      </c>
      <c r="J39" s="91"/>
      <c r="L39" s="116">
        <f>SUM(E33:E55)</f>
        <v>3372842</v>
      </c>
    </row>
    <row r="40" spans="1:8" ht="12.75">
      <c r="A40" s="114"/>
      <c r="B40" s="110"/>
      <c r="C40" s="110">
        <v>4260</v>
      </c>
      <c r="D40" s="126" t="s">
        <v>88</v>
      </c>
      <c r="E40" s="774">
        <v>50000</v>
      </c>
      <c r="F40" s="774">
        <v>67000</v>
      </c>
      <c r="G40" s="774"/>
      <c r="H40" s="764">
        <f t="shared" si="0"/>
        <v>67000</v>
      </c>
    </row>
    <row r="41" spans="1:8" ht="12.75">
      <c r="A41" s="114"/>
      <c r="B41" s="110"/>
      <c r="C41" s="110">
        <v>4270</v>
      </c>
      <c r="D41" s="126" t="s">
        <v>89</v>
      </c>
      <c r="E41" s="774">
        <v>1151746</v>
      </c>
      <c r="F41" s="774">
        <v>362900</v>
      </c>
      <c r="G41" s="774"/>
      <c r="H41" s="764">
        <f t="shared" si="0"/>
        <v>362900</v>
      </c>
    </row>
    <row r="42" spans="1:10" ht="12.75">
      <c r="A42" s="114"/>
      <c r="B42" s="110"/>
      <c r="C42" s="110">
        <v>4280</v>
      </c>
      <c r="D42" s="126" t="s">
        <v>90</v>
      </c>
      <c r="E42" s="774">
        <v>2000</v>
      </c>
      <c r="F42" s="774">
        <v>2000</v>
      </c>
      <c r="G42" s="774"/>
      <c r="H42" s="764">
        <f t="shared" si="0"/>
        <v>2000</v>
      </c>
      <c r="J42" s="91"/>
    </row>
    <row r="43" spans="1:8" ht="12.75">
      <c r="A43" s="114"/>
      <c r="B43" s="110"/>
      <c r="C43" s="110">
        <v>4300</v>
      </c>
      <c r="D43" s="126" t="s">
        <v>76</v>
      </c>
      <c r="E43" s="774">
        <v>72100</v>
      </c>
      <c r="F43" s="774">
        <v>29390</v>
      </c>
      <c r="G43" s="774"/>
      <c r="H43" s="764">
        <f t="shared" si="0"/>
        <v>29390</v>
      </c>
    </row>
    <row r="44" spans="1:8" ht="12.75">
      <c r="A44" s="114"/>
      <c r="B44" s="110"/>
      <c r="C44" s="110">
        <v>4350</v>
      </c>
      <c r="D44" s="126" t="s">
        <v>91</v>
      </c>
      <c r="E44" s="774">
        <v>0</v>
      </c>
      <c r="F44" s="774">
        <v>2533</v>
      </c>
      <c r="G44" s="774"/>
      <c r="H44" s="764">
        <f t="shared" si="0"/>
        <v>2533</v>
      </c>
    </row>
    <row r="45" spans="1:8" ht="12.75">
      <c r="A45" s="114"/>
      <c r="B45" s="110"/>
      <c r="C45" s="110">
        <v>4360</v>
      </c>
      <c r="D45" s="126" t="s">
        <v>92</v>
      </c>
      <c r="E45" s="774">
        <v>0</v>
      </c>
      <c r="F45" s="774">
        <v>5400</v>
      </c>
      <c r="G45" s="774"/>
      <c r="H45" s="764">
        <f t="shared" si="0"/>
        <v>5400</v>
      </c>
    </row>
    <row r="46" spans="1:8" ht="12.75">
      <c r="A46" s="114"/>
      <c r="B46" s="110"/>
      <c r="C46" s="110">
        <v>4370</v>
      </c>
      <c r="D46" s="126" t="s">
        <v>93</v>
      </c>
      <c r="E46" s="774">
        <v>0</v>
      </c>
      <c r="F46" s="774">
        <v>20567</v>
      </c>
      <c r="G46" s="774"/>
      <c r="H46" s="764">
        <f t="shared" si="0"/>
        <v>20567</v>
      </c>
    </row>
    <row r="47" spans="1:8" ht="12.75">
      <c r="A47" s="114"/>
      <c r="B47" s="110"/>
      <c r="C47" s="110">
        <v>4410</v>
      </c>
      <c r="D47" s="126" t="s">
        <v>94</v>
      </c>
      <c r="E47" s="774">
        <v>6000</v>
      </c>
      <c r="F47" s="774">
        <v>6000</v>
      </c>
      <c r="G47" s="774"/>
      <c r="H47" s="764">
        <f t="shared" si="0"/>
        <v>6000</v>
      </c>
    </row>
    <row r="48" spans="1:8" ht="12.75">
      <c r="A48" s="114"/>
      <c r="B48" s="110"/>
      <c r="C48" s="110">
        <v>4430</v>
      </c>
      <c r="D48" s="126" t="s">
        <v>95</v>
      </c>
      <c r="E48" s="774">
        <v>39600</v>
      </c>
      <c r="F48" s="774">
        <v>38800</v>
      </c>
      <c r="G48" s="774"/>
      <c r="H48" s="764">
        <f t="shared" si="0"/>
        <v>38800</v>
      </c>
    </row>
    <row r="49" spans="1:10" ht="12.75">
      <c r="A49" s="114"/>
      <c r="B49" s="110"/>
      <c r="C49" s="110">
        <v>4440</v>
      </c>
      <c r="D49" s="126" t="s">
        <v>96</v>
      </c>
      <c r="E49" s="774">
        <v>32507</v>
      </c>
      <c r="F49" s="774">
        <v>24538</v>
      </c>
      <c r="G49" s="774"/>
      <c r="H49" s="764">
        <f t="shared" si="0"/>
        <v>24538</v>
      </c>
      <c r="J49" s="91"/>
    </row>
    <row r="50" spans="1:10" ht="12.75">
      <c r="A50" s="114"/>
      <c r="B50" s="110"/>
      <c r="C50" s="110">
        <v>4480</v>
      </c>
      <c r="D50" s="126" t="s">
        <v>97</v>
      </c>
      <c r="E50" s="774">
        <v>25506</v>
      </c>
      <c r="F50" s="774">
        <v>28000</v>
      </c>
      <c r="G50" s="774"/>
      <c r="H50" s="764">
        <f t="shared" si="0"/>
        <v>28000</v>
      </c>
      <c r="J50" s="91">
        <f>F31-F56-F57</f>
        <v>2675729</v>
      </c>
    </row>
    <row r="51" spans="1:10" ht="12.75">
      <c r="A51" s="114"/>
      <c r="B51" s="110"/>
      <c r="C51" s="110">
        <v>4500</v>
      </c>
      <c r="D51" s="126" t="s">
        <v>98</v>
      </c>
      <c r="E51" s="774">
        <v>0</v>
      </c>
      <c r="F51" s="774">
        <v>1650</v>
      </c>
      <c r="G51" s="774"/>
      <c r="H51" s="764">
        <f>F51+G51</f>
        <v>1650</v>
      </c>
      <c r="J51" s="91"/>
    </row>
    <row r="52" spans="1:8" ht="12.75">
      <c r="A52" s="114"/>
      <c r="B52" s="110"/>
      <c r="C52" s="110">
        <v>4510</v>
      </c>
      <c r="D52" s="126" t="s">
        <v>99</v>
      </c>
      <c r="E52" s="774">
        <v>2829</v>
      </c>
      <c r="F52" s="774">
        <v>2829</v>
      </c>
      <c r="G52" s="774"/>
      <c r="H52" s="764">
        <f t="shared" si="0"/>
        <v>2829</v>
      </c>
    </row>
    <row r="53" spans="1:8" ht="12.75">
      <c r="A53" s="114"/>
      <c r="B53" s="110"/>
      <c r="C53" s="110">
        <v>4520</v>
      </c>
      <c r="D53" s="126" t="s">
        <v>100</v>
      </c>
      <c r="E53" s="774">
        <v>1650</v>
      </c>
      <c r="F53" s="774">
        <v>800</v>
      </c>
      <c r="G53" s="774"/>
      <c r="H53" s="764">
        <f t="shared" si="0"/>
        <v>800</v>
      </c>
    </row>
    <row r="54" spans="1:8" ht="12.75">
      <c r="A54" s="114"/>
      <c r="B54" s="110"/>
      <c r="C54" s="110">
        <v>4530</v>
      </c>
      <c r="D54" s="126" t="s">
        <v>101</v>
      </c>
      <c r="E54" s="774">
        <v>0</v>
      </c>
      <c r="F54" s="774">
        <v>8000</v>
      </c>
      <c r="G54" s="774"/>
      <c r="H54" s="764">
        <f t="shared" si="0"/>
        <v>8000</v>
      </c>
    </row>
    <row r="55" spans="1:8" ht="12.75">
      <c r="A55" s="114"/>
      <c r="B55" s="110"/>
      <c r="C55" s="110">
        <v>4580</v>
      </c>
      <c r="D55" s="126" t="s">
        <v>102</v>
      </c>
      <c r="E55" s="774">
        <v>2000</v>
      </c>
      <c r="F55" s="774">
        <v>2000</v>
      </c>
      <c r="G55" s="774"/>
      <c r="H55" s="764">
        <f t="shared" si="0"/>
        <v>2000</v>
      </c>
    </row>
    <row r="56" spans="1:8" ht="12.75">
      <c r="A56" s="114"/>
      <c r="B56" s="110"/>
      <c r="C56" s="110">
        <v>6050</v>
      </c>
      <c r="D56" s="126" t="s">
        <v>103</v>
      </c>
      <c r="E56" s="774">
        <v>179128</v>
      </c>
      <c r="F56" s="774">
        <v>115000</v>
      </c>
      <c r="G56" s="774"/>
      <c r="H56" s="764">
        <f t="shared" si="0"/>
        <v>115000</v>
      </c>
    </row>
    <row r="57" spans="1:8" ht="12.75">
      <c r="A57" s="114"/>
      <c r="B57" s="110"/>
      <c r="C57" s="110">
        <v>6060</v>
      </c>
      <c r="D57" s="126" t="s">
        <v>104</v>
      </c>
      <c r="E57" s="774">
        <v>34000</v>
      </c>
      <c r="F57" s="774">
        <v>225000</v>
      </c>
      <c r="G57" s="774"/>
      <c r="H57" s="764">
        <f t="shared" si="0"/>
        <v>225000</v>
      </c>
    </row>
    <row r="58" spans="1:8" ht="12.75">
      <c r="A58" s="114"/>
      <c r="B58" s="110"/>
      <c r="C58" s="110"/>
      <c r="D58" s="126"/>
      <c r="E58" s="774"/>
      <c r="F58" s="774"/>
      <c r="G58" s="774"/>
      <c r="H58" s="764"/>
    </row>
    <row r="59" spans="1:8" ht="13.5" thickBot="1">
      <c r="A59" s="79">
        <v>630</v>
      </c>
      <c r="B59" s="129"/>
      <c r="C59" s="351"/>
      <c r="D59" s="86" t="s">
        <v>105</v>
      </c>
      <c r="E59" s="104">
        <f>E60</f>
        <v>2000</v>
      </c>
      <c r="F59" s="104">
        <f>F60</f>
        <v>2000</v>
      </c>
      <c r="G59" s="104">
        <f>G60</f>
        <v>0</v>
      </c>
      <c r="H59" s="146">
        <f>H60</f>
        <v>2000</v>
      </c>
    </row>
    <row r="60" spans="1:8" ht="12.75">
      <c r="A60" s="114"/>
      <c r="B60" s="80">
        <v>63003</v>
      </c>
      <c r="C60" s="60"/>
      <c r="D60" s="131" t="s">
        <v>106</v>
      </c>
      <c r="E60" s="773">
        <f>SUM(E61:E64)</f>
        <v>2000</v>
      </c>
      <c r="F60" s="773">
        <f>SUM(F61:F64)</f>
        <v>2000</v>
      </c>
      <c r="G60" s="773">
        <f>SUM(G61:G64)</f>
        <v>0</v>
      </c>
      <c r="H60" s="763">
        <f>SUM(H61:H64)</f>
        <v>2000</v>
      </c>
    </row>
    <row r="61" spans="1:9" ht="12.75">
      <c r="A61" s="114"/>
      <c r="B61" s="132"/>
      <c r="C61" s="141" t="s">
        <v>107</v>
      </c>
      <c r="D61" s="126" t="s">
        <v>108</v>
      </c>
      <c r="E61" s="774">
        <v>1000</v>
      </c>
      <c r="F61" s="774">
        <v>1000</v>
      </c>
      <c r="G61" s="774"/>
      <c r="H61" s="764">
        <f>F61+G61</f>
        <v>1000</v>
      </c>
      <c r="I61" s="91"/>
    </row>
    <row r="62" spans="1:9" ht="12.75">
      <c r="A62" s="114"/>
      <c r="B62" s="132"/>
      <c r="C62" s="141"/>
      <c r="D62" s="126" t="s">
        <v>693</v>
      </c>
      <c r="E62" s="774"/>
      <c r="F62" s="774"/>
      <c r="G62" s="774"/>
      <c r="H62" s="764"/>
      <c r="I62" s="91"/>
    </row>
    <row r="63" spans="1:8" ht="12.75">
      <c r="A63" s="114"/>
      <c r="B63" s="132"/>
      <c r="C63" s="141" t="s">
        <v>110</v>
      </c>
      <c r="D63" s="126" t="s">
        <v>87</v>
      </c>
      <c r="E63" s="774">
        <v>500</v>
      </c>
      <c r="F63" s="774">
        <v>500</v>
      </c>
      <c r="G63" s="774"/>
      <c r="H63" s="764">
        <f>F63+G63</f>
        <v>500</v>
      </c>
    </row>
    <row r="64" spans="1:8" ht="12.75">
      <c r="A64" s="114"/>
      <c r="B64" s="132"/>
      <c r="C64" s="141" t="s">
        <v>75</v>
      </c>
      <c r="D64" s="126" t="s">
        <v>76</v>
      </c>
      <c r="E64" s="774">
        <v>500</v>
      </c>
      <c r="F64" s="774">
        <v>500</v>
      </c>
      <c r="G64" s="774"/>
      <c r="H64" s="764">
        <f>F64+G64</f>
        <v>500</v>
      </c>
    </row>
    <row r="65" spans="1:8" ht="12.75">
      <c r="A65" s="114"/>
      <c r="B65" s="132"/>
      <c r="C65" s="141"/>
      <c r="D65" s="126"/>
      <c r="E65" s="774"/>
      <c r="F65" s="774"/>
      <c r="G65" s="774"/>
      <c r="H65" s="764"/>
    </row>
    <row r="66" spans="1:8" ht="13.5" thickBot="1">
      <c r="A66" s="79">
        <v>700</v>
      </c>
      <c r="B66" s="129"/>
      <c r="C66" s="129"/>
      <c r="D66" s="86" t="s">
        <v>111</v>
      </c>
      <c r="E66" s="104">
        <f>E67</f>
        <v>92988</v>
      </c>
      <c r="F66" s="104">
        <f>F67</f>
        <v>85050</v>
      </c>
      <c r="G66" s="104">
        <f>G67</f>
        <v>0</v>
      </c>
      <c r="H66" s="146">
        <f>H67</f>
        <v>85050</v>
      </c>
    </row>
    <row r="67" spans="1:8" ht="12.75">
      <c r="A67" s="114"/>
      <c r="B67" s="80">
        <v>70005</v>
      </c>
      <c r="C67" s="80"/>
      <c r="D67" s="131" t="s">
        <v>112</v>
      </c>
      <c r="E67" s="773">
        <f>SUM(E71:E76)</f>
        <v>92988</v>
      </c>
      <c r="F67" s="773">
        <f>SUM(F68:F76)</f>
        <v>85050</v>
      </c>
      <c r="G67" s="773">
        <f>SUM(G68:G76)</f>
        <v>0</v>
      </c>
      <c r="H67" s="763">
        <f>SUM(H68:H76)</f>
        <v>85050</v>
      </c>
    </row>
    <row r="68" spans="1:8" ht="12.75">
      <c r="A68" s="114"/>
      <c r="B68" s="110"/>
      <c r="C68" s="110">
        <v>4110</v>
      </c>
      <c r="D68" s="126" t="s">
        <v>84</v>
      </c>
      <c r="E68" s="774"/>
      <c r="F68" s="774">
        <v>0</v>
      </c>
      <c r="G68" s="774">
        <v>5340</v>
      </c>
      <c r="H68" s="764">
        <f aca="true" t="shared" si="1" ref="H68:H76">F68+G68</f>
        <v>5340</v>
      </c>
    </row>
    <row r="69" spans="1:8" ht="12.75">
      <c r="A69" s="114"/>
      <c r="B69" s="110"/>
      <c r="C69" s="110">
        <v>4120</v>
      </c>
      <c r="D69" s="126" t="s">
        <v>85</v>
      </c>
      <c r="E69" s="774"/>
      <c r="F69" s="774">
        <v>0</v>
      </c>
      <c r="G69" s="774">
        <v>758</v>
      </c>
      <c r="H69" s="764">
        <f t="shared" si="1"/>
        <v>758</v>
      </c>
    </row>
    <row r="70" spans="1:8" ht="12.75">
      <c r="A70" s="114"/>
      <c r="B70" s="110"/>
      <c r="C70" s="110">
        <v>4170</v>
      </c>
      <c r="D70" s="126" t="s">
        <v>86</v>
      </c>
      <c r="E70" s="774"/>
      <c r="F70" s="774">
        <v>20000</v>
      </c>
      <c r="G70" s="774">
        <v>-6098</v>
      </c>
      <c r="H70" s="764">
        <f t="shared" si="1"/>
        <v>13902</v>
      </c>
    </row>
    <row r="71" spans="1:8" ht="12.75">
      <c r="A71" s="114"/>
      <c r="B71" s="110"/>
      <c r="C71" s="110">
        <v>4260</v>
      </c>
      <c r="D71" s="126" t="s">
        <v>88</v>
      </c>
      <c r="E71" s="774">
        <v>10000</v>
      </c>
      <c r="F71" s="774">
        <v>9000</v>
      </c>
      <c r="G71" s="774"/>
      <c r="H71" s="764">
        <f t="shared" si="1"/>
        <v>9000</v>
      </c>
    </row>
    <row r="72" spans="1:8" ht="12.75">
      <c r="A72" s="114"/>
      <c r="B72" s="110"/>
      <c r="C72" s="110">
        <v>4270</v>
      </c>
      <c r="D72" s="126" t="s">
        <v>89</v>
      </c>
      <c r="E72" s="774">
        <v>20000</v>
      </c>
      <c r="F72" s="774">
        <v>15637</v>
      </c>
      <c r="G72" s="774"/>
      <c r="H72" s="764">
        <f t="shared" si="1"/>
        <v>15637</v>
      </c>
    </row>
    <row r="73" spans="1:8" ht="12.75">
      <c r="A73" s="114"/>
      <c r="B73" s="110"/>
      <c r="C73" s="141" t="s">
        <v>75</v>
      </c>
      <c r="D73" s="126" t="s">
        <v>76</v>
      </c>
      <c r="E73" s="774">
        <v>51488</v>
      </c>
      <c r="F73" s="774">
        <v>34710</v>
      </c>
      <c r="G73" s="774">
        <v>-580</v>
      </c>
      <c r="H73" s="764">
        <f t="shared" si="1"/>
        <v>34130</v>
      </c>
    </row>
    <row r="74" spans="1:8" ht="12.75">
      <c r="A74" s="114"/>
      <c r="B74" s="110"/>
      <c r="C74" s="141" t="s">
        <v>379</v>
      </c>
      <c r="D74" s="126" t="s">
        <v>95</v>
      </c>
      <c r="E74" s="774">
        <v>0</v>
      </c>
      <c r="F74" s="774">
        <v>600</v>
      </c>
      <c r="G74" s="774"/>
      <c r="H74" s="764">
        <f t="shared" si="1"/>
        <v>600</v>
      </c>
    </row>
    <row r="75" spans="1:8" ht="12.75">
      <c r="A75" s="114"/>
      <c r="B75" s="110"/>
      <c r="C75" s="141" t="s">
        <v>113</v>
      </c>
      <c r="D75" s="126" t="s">
        <v>97</v>
      </c>
      <c r="E75" s="774">
        <v>11500</v>
      </c>
      <c r="F75" s="774">
        <v>4623</v>
      </c>
      <c r="G75" s="774"/>
      <c r="H75" s="764">
        <f t="shared" si="1"/>
        <v>4623</v>
      </c>
    </row>
    <row r="76" spans="1:8" ht="12.75">
      <c r="A76" s="114"/>
      <c r="B76" s="110"/>
      <c r="C76" s="141" t="s">
        <v>114</v>
      </c>
      <c r="D76" s="126" t="s">
        <v>115</v>
      </c>
      <c r="E76" s="774">
        <v>0</v>
      </c>
      <c r="F76" s="774">
        <v>480</v>
      </c>
      <c r="G76" s="774">
        <v>580</v>
      </c>
      <c r="H76" s="764">
        <f t="shared" si="1"/>
        <v>1060</v>
      </c>
    </row>
    <row r="77" spans="1:8" ht="14.25" customHeight="1">
      <c r="A77" s="114"/>
      <c r="B77" s="110"/>
      <c r="C77" s="110"/>
      <c r="D77" s="126"/>
      <c r="E77" s="774"/>
      <c r="F77" s="777"/>
      <c r="G77" s="774"/>
      <c r="H77" s="764"/>
    </row>
    <row r="78" spans="1:8" ht="13.5" thickBot="1">
      <c r="A78" s="79">
        <v>710</v>
      </c>
      <c r="B78" s="129"/>
      <c r="C78" s="351"/>
      <c r="D78" s="86" t="s">
        <v>116</v>
      </c>
      <c r="E78" s="104">
        <f>E79+E83+E86</f>
        <v>269553</v>
      </c>
      <c r="F78" s="104">
        <f>F79+F83+F86</f>
        <v>288145</v>
      </c>
      <c r="G78" s="104">
        <f>G79+G83+G86</f>
        <v>0</v>
      </c>
      <c r="H78" s="146">
        <f>H79+H83+H86</f>
        <v>288145</v>
      </c>
    </row>
    <row r="79" spans="1:8" ht="12.75">
      <c r="A79" s="114"/>
      <c r="B79" s="80">
        <v>71013</v>
      </c>
      <c r="C79" s="60"/>
      <c r="D79" s="131" t="s">
        <v>117</v>
      </c>
      <c r="E79" s="773">
        <f>SUM(E80:E81)</f>
        <v>40000</v>
      </c>
      <c r="F79" s="773">
        <f>SUM(F80:F81)</f>
        <v>40000</v>
      </c>
      <c r="G79" s="773">
        <f>SUM(G80:G81)</f>
        <v>0</v>
      </c>
      <c r="H79" s="763">
        <f>SUM(H80:H81)</f>
        <v>40000</v>
      </c>
    </row>
    <row r="80" spans="1:8" ht="12.75">
      <c r="A80" s="114"/>
      <c r="B80" s="110"/>
      <c r="C80" s="141" t="s">
        <v>75</v>
      </c>
      <c r="D80" s="126" t="s">
        <v>76</v>
      </c>
      <c r="E80" s="774">
        <v>40000</v>
      </c>
      <c r="F80" s="774">
        <v>39520</v>
      </c>
      <c r="G80" s="774"/>
      <c r="H80" s="764">
        <f>F80+G80</f>
        <v>39520</v>
      </c>
    </row>
    <row r="81" spans="1:8" ht="12.75">
      <c r="A81" s="114"/>
      <c r="B81" s="110"/>
      <c r="C81" s="141" t="s">
        <v>114</v>
      </c>
      <c r="D81" s="126" t="s">
        <v>115</v>
      </c>
      <c r="E81" s="774">
        <v>0</v>
      </c>
      <c r="F81" s="774">
        <v>480</v>
      </c>
      <c r="G81" s="774"/>
      <c r="H81" s="764">
        <f>F81+G81</f>
        <v>480</v>
      </c>
    </row>
    <row r="82" spans="1:8" ht="12.75">
      <c r="A82" s="114"/>
      <c r="B82" s="110"/>
      <c r="C82" s="141"/>
      <c r="D82" s="126"/>
      <c r="E82" s="774"/>
      <c r="F82" s="774"/>
      <c r="G82" s="774"/>
      <c r="H82" s="764"/>
    </row>
    <row r="83" spans="1:8" ht="12.75">
      <c r="A83" s="114"/>
      <c r="B83" s="80">
        <v>71014</v>
      </c>
      <c r="C83" s="60"/>
      <c r="D83" s="131" t="s">
        <v>118</v>
      </c>
      <c r="E83" s="773">
        <f>E84</f>
        <v>22000</v>
      </c>
      <c r="F83" s="773">
        <f>F84</f>
        <v>15000</v>
      </c>
      <c r="G83" s="773">
        <f>G84</f>
        <v>0</v>
      </c>
      <c r="H83" s="763">
        <f>H84</f>
        <v>15000</v>
      </c>
    </row>
    <row r="84" spans="1:8" ht="12.75">
      <c r="A84" s="114"/>
      <c r="B84" s="110"/>
      <c r="C84" s="141" t="s">
        <v>75</v>
      </c>
      <c r="D84" s="126" t="s">
        <v>76</v>
      </c>
      <c r="E84" s="774">
        <v>22000</v>
      </c>
      <c r="F84" s="774">
        <v>15000</v>
      </c>
      <c r="G84" s="774"/>
      <c r="H84" s="764">
        <f>F84+G84</f>
        <v>15000</v>
      </c>
    </row>
    <row r="85" spans="1:8" ht="12.75">
      <c r="A85" s="114"/>
      <c r="B85" s="110"/>
      <c r="C85" s="141"/>
      <c r="D85" s="126"/>
      <c r="E85" s="774"/>
      <c r="F85" s="774"/>
      <c r="G85" s="774"/>
      <c r="H85" s="764"/>
    </row>
    <row r="86" spans="1:8" ht="12.75">
      <c r="A86" s="114"/>
      <c r="B86" s="80">
        <v>71015</v>
      </c>
      <c r="C86" s="80"/>
      <c r="D86" s="131" t="s">
        <v>119</v>
      </c>
      <c r="E86" s="773">
        <f>SUM(E87:E102)</f>
        <v>207553</v>
      </c>
      <c r="F86" s="773">
        <f>SUM(F87:F104)</f>
        <v>233145</v>
      </c>
      <c r="G86" s="773">
        <f>SUM(G87:G104)</f>
        <v>0</v>
      </c>
      <c r="H86" s="763">
        <f>SUM(H87:H104)</f>
        <v>233145</v>
      </c>
    </row>
    <row r="87" spans="1:10" ht="12.75">
      <c r="A87" s="114"/>
      <c r="B87" s="110"/>
      <c r="C87" s="110">
        <v>4010</v>
      </c>
      <c r="D87" s="126" t="s">
        <v>82</v>
      </c>
      <c r="E87" s="774">
        <v>129968</v>
      </c>
      <c r="F87" s="774">
        <v>139895</v>
      </c>
      <c r="G87" s="774">
        <v>101</v>
      </c>
      <c r="H87" s="764">
        <f>F87+G87</f>
        <v>139996</v>
      </c>
      <c r="J87" s="91">
        <f>SUM(F87:F91)</f>
        <v>182112</v>
      </c>
    </row>
    <row r="88" spans="1:9" ht="12.75">
      <c r="A88" s="114"/>
      <c r="B88" s="110"/>
      <c r="C88" s="110">
        <v>4040</v>
      </c>
      <c r="D88" s="126" t="s">
        <v>83</v>
      </c>
      <c r="E88" s="774">
        <v>8287</v>
      </c>
      <c r="F88" s="774">
        <v>9723</v>
      </c>
      <c r="G88" s="774"/>
      <c r="H88" s="764">
        <f aca="true" t="shared" si="2" ref="H88:H104">F88+G88</f>
        <v>9723</v>
      </c>
      <c r="I88" s="91"/>
    </row>
    <row r="89" spans="1:10" ht="12.75">
      <c r="A89" s="114"/>
      <c r="B89" s="110"/>
      <c r="C89" s="110">
        <v>4110</v>
      </c>
      <c r="D89" s="126" t="s">
        <v>84</v>
      </c>
      <c r="E89" s="774">
        <v>23966</v>
      </c>
      <c r="F89" s="774">
        <v>26675</v>
      </c>
      <c r="G89" s="774">
        <v>-89</v>
      </c>
      <c r="H89" s="764">
        <f t="shared" si="2"/>
        <v>26586</v>
      </c>
      <c r="J89" s="91">
        <f>SUM(H87:H91)</f>
        <v>182112</v>
      </c>
    </row>
    <row r="90" spans="1:8" ht="12.75">
      <c r="A90" s="114"/>
      <c r="B90" s="110"/>
      <c r="C90" s="110">
        <v>4120</v>
      </c>
      <c r="D90" s="126" t="s">
        <v>85</v>
      </c>
      <c r="E90" s="774">
        <v>3230</v>
      </c>
      <c r="F90" s="774">
        <v>3619</v>
      </c>
      <c r="G90" s="774">
        <v>-12</v>
      </c>
      <c r="H90" s="764">
        <f t="shared" si="2"/>
        <v>3607</v>
      </c>
    </row>
    <row r="91" spans="1:8" ht="12.75">
      <c r="A91" s="114"/>
      <c r="B91" s="110"/>
      <c r="C91" s="110">
        <v>4170</v>
      </c>
      <c r="D91" s="126" t="s">
        <v>86</v>
      </c>
      <c r="E91" s="774">
        <v>1500</v>
      </c>
      <c r="F91" s="774">
        <v>2200</v>
      </c>
      <c r="G91" s="774"/>
      <c r="H91" s="764">
        <f t="shared" si="2"/>
        <v>2200</v>
      </c>
    </row>
    <row r="92" spans="1:10" ht="12.75">
      <c r="A92" s="114"/>
      <c r="B92" s="110"/>
      <c r="C92" s="110">
        <v>4210</v>
      </c>
      <c r="D92" s="126" t="s">
        <v>87</v>
      </c>
      <c r="E92" s="774">
        <v>16300</v>
      </c>
      <c r="F92" s="774">
        <v>9881</v>
      </c>
      <c r="G92" s="774">
        <v>8670</v>
      </c>
      <c r="H92" s="764">
        <f t="shared" si="2"/>
        <v>18551</v>
      </c>
      <c r="J92" s="91"/>
    </row>
    <row r="93" spans="1:10" ht="12.75">
      <c r="A93" s="114"/>
      <c r="B93" s="110"/>
      <c r="C93" s="110">
        <v>4270</v>
      </c>
      <c r="D93" s="126" t="s">
        <v>89</v>
      </c>
      <c r="E93" s="774">
        <v>0</v>
      </c>
      <c r="F93" s="774">
        <v>2800</v>
      </c>
      <c r="G93" s="774">
        <v>-1415</v>
      </c>
      <c r="H93" s="764">
        <f t="shared" si="2"/>
        <v>1385</v>
      </c>
      <c r="J93" s="91"/>
    </row>
    <row r="94" spans="1:10" ht="12.75">
      <c r="A94" s="114"/>
      <c r="B94" s="110"/>
      <c r="C94" s="110">
        <v>4280</v>
      </c>
      <c r="D94" s="126" t="s">
        <v>90</v>
      </c>
      <c r="E94" s="774">
        <v>0</v>
      </c>
      <c r="F94" s="774">
        <v>200</v>
      </c>
      <c r="G94" s="774">
        <v>-93</v>
      </c>
      <c r="H94" s="764">
        <f t="shared" si="2"/>
        <v>107</v>
      </c>
      <c r="J94" s="91"/>
    </row>
    <row r="95" spans="1:10" ht="12.75">
      <c r="A95" s="114"/>
      <c r="B95" s="110"/>
      <c r="C95" s="110">
        <v>4300</v>
      </c>
      <c r="D95" s="126" t="s">
        <v>76</v>
      </c>
      <c r="E95" s="774">
        <v>18902</v>
      </c>
      <c r="F95" s="774">
        <v>6852</v>
      </c>
      <c r="G95" s="774">
        <v>1000</v>
      </c>
      <c r="H95" s="764">
        <f t="shared" si="2"/>
        <v>7852</v>
      </c>
      <c r="J95" s="91"/>
    </row>
    <row r="96" spans="1:10" ht="12.75">
      <c r="A96" s="114"/>
      <c r="B96" s="110"/>
      <c r="C96" s="110">
        <v>4350</v>
      </c>
      <c r="D96" s="126" t="s">
        <v>91</v>
      </c>
      <c r="E96" s="774">
        <v>0</v>
      </c>
      <c r="F96" s="774">
        <v>3200</v>
      </c>
      <c r="G96" s="774">
        <v>-770</v>
      </c>
      <c r="H96" s="764">
        <f t="shared" si="2"/>
        <v>2430</v>
      </c>
      <c r="J96" s="91"/>
    </row>
    <row r="97" spans="1:10" ht="12.75">
      <c r="A97" s="114"/>
      <c r="B97" s="110"/>
      <c r="C97" s="110">
        <v>4360</v>
      </c>
      <c r="D97" s="126" t="s">
        <v>131</v>
      </c>
      <c r="E97" s="774"/>
      <c r="F97" s="774">
        <v>0</v>
      </c>
      <c r="G97" s="774">
        <v>100</v>
      </c>
      <c r="H97" s="764">
        <f t="shared" si="2"/>
        <v>100</v>
      </c>
      <c r="J97" s="91"/>
    </row>
    <row r="98" spans="1:10" ht="12.75">
      <c r="A98" s="114"/>
      <c r="B98" s="110"/>
      <c r="C98" s="110">
        <v>4370</v>
      </c>
      <c r="D98" s="126" t="s">
        <v>93</v>
      </c>
      <c r="E98" s="774">
        <v>0</v>
      </c>
      <c r="F98" s="774">
        <v>6000</v>
      </c>
      <c r="G98" s="774">
        <f>-100-1000-1522</f>
        <v>-2622</v>
      </c>
      <c r="H98" s="764">
        <f t="shared" si="2"/>
        <v>3378</v>
      </c>
      <c r="J98" s="91"/>
    </row>
    <row r="99" spans="1:10" ht="12.75">
      <c r="A99" s="114"/>
      <c r="B99" s="110"/>
      <c r="C99" s="110">
        <v>4400</v>
      </c>
      <c r="D99" s="126" t="s">
        <v>750</v>
      </c>
      <c r="E99" s="774">
        <v>0</v>
      </c>
      <c r="F99" s="774">
        <v>6600</v>
      </c>
      <c r="G99" s="774">
        <v>-1030</v>
      </c>
      <c r="H99" s="764">
        <f t="shared" si="2"/>
        <v>5570</v>
      </c>
      <c r="J99" s="91"/>
    </row>
    <row r="100" spans="1:10" ht="12.75">
      <c r="A100" s="114"/>
      <c r="B100" s="110"/>
      <c r="C100" s="110">
        <v>4410</v>
      </c>
      <c r="D100" s="126" t="s">
        <v>94</v>
      </c>
      <c r="E100" s="774">
        <v>0</v>
      </c>
      <c r="F100" s="774">
        <v>3000</v>
      </c>
      <c r="G100" s="774">
        <v>-2600</v>
      </c>
      <c r="H100" s="764">
        <f>F100+G100</f>
        <v>400</v>
      </c>
      <c r="J100" s="91"/>
    </row>
    <row r="101" spans="1:8" ht="12.75">
      <c r="A101" s="114"/>
      <c r="B101" s="110"/>
      <c r="C101" s="110">
        <v>4430</v>
      </c>
      <c r="D101" s="126" t="s">
        <v>95</v>
      </c>
      <c r="E101" s="774">
        <v>2100</v>
      </c>
      <c r="F101" s="774">
        <v>3000</v>
      </c>
      <c r="G101" s="774">
        <v>-1160</v>
      </c>
      <c r="H101" s="764">
        <f t="shared" si="2"/>
        <v>1840</v>
      </c>
    </row>
    <row r="102" spans="1:8" ht="12.75">
      <c r="A102" s="114"/>
      <c r="B102" s="110"/>
      <c r="C102" s="110">
        <v>4440</v>
      </c>
      <c r="D102" s="126" t="s">
        <v>96</v>
      </c>
      <c r="E102" s="774">
        <v>3300</v>
      </c>
      <c r="F102" s="774">
        <v>3500</v>
      </c>
      <c r="G102" s="774">
        <v>-80</v>
      </c>
      <c r="H102" s="764">
        <f t="shared" si="2"/>
        <v>3420</v>
      </c>
    </row>
    <row r="103" spans="1:8" ht="12.75">
      <c r="A103" s="114"/>
      <c r="B103" s="110"/>
      <c r="C103" s="141" t="s">
        <v>114</v>
      </c>
      <c r="D103" s="126" t="s">
        <v>115</v>
      </c>
      <c r="E103" s="774"/>
      <c r="F103" s="774">
        <v>0</v>
      </c>
      <c r="G103" s="774">
        <f>1000-100</f>
        <v>900</v>
      </c>
      <c r="H103" s="764">
        <f t="shared" si="2"/>
        <v>900</v>
      </c>
    </row>
    <row r="104" spans="1:8" ht="12.75">
      <c r="A104" s="114"/>
      <c r="B104" s="110"/>
      <c r="C104" s="110">
        <v>4750</v>
      </c>
      <c r="D104" s="126" t="s">
        <v>125</v>
      </c>
      <c r="E104" s="774"/>
      <c r="F104" s="774">
        <v>6000</v>
      </c>
      <c r="G104" s="774">
        <v>-900</v>
      </c>
      <c r="H104" s="764">
        <f t="shared" si="2"/>
        <v>5100</v>
      </c>
    </row>
    <row r="105" spans="1:8" ht="12" customHeight="1">
      <c r="A105" s="114"/>
      <c r="B105" s="110"/>
      <c r="C105" s="110"/>
      <c r="D105" s="126"/>
      <c r="E105" s="774"/>
      <c r="F105" s="774"/>
      <c r="G105" s="774"/>
      <c r="H105" s="764"/>
    </row>
    <row r="106" spans="1:8" ht="13.5" thickBot="1">
      <c r="A106" s="79">
        <v>750</v>
      </c>
      <c r="B106" s="129"/>
      <c r="C106" s="129"/>
      <c r="D106" s="86" t="s">
        <v>122</v>
      </c>
      <c r="E106" s="104">
        <f>E107+E127+E138+E166+E179</f>
        <v>4072894</v>
      </c>
      <c r="F106" s="104">
        <f>F107+F127+F138+F166+F179</f>
        <v>4915431</v>
      </c>
      <c r="G106" s="104">
        <f>G107+G127+G138+G166+G179</f>
        <v>18650</v>
      </c>
      <c r="H106" s="146">
        <f>H107+H127+H138+H166+H179</f>
        <v>4934081</v>
      </c>
    </row>
    <row r="107" spans="1:8" ht="12.75">
      <c r="A107" s="114"/>
      <c r="B107" s="80">
        <v>75011</v>
      </c>
      <c r="C107" s="80"/>
      <c r="D107" s="131" t="s">
        <v>123</v>
      </c>
      <c r="E107" s="773">
        <f>SUM(E108:E125)</f>
        <v>256034</v>
      </c>
      <c r="F107" s="773">
        <f>SUM(F108:F125)</f>
        <v>257210</v>
      </c>
      <c r="G107" s="773">
        <f>SUM(G108:G125)</f>
        <v>0</v>
      </c>
      <c r="H107" s="763">
        <f>SUM(H108:H125)</f>
        <v>257210</v>
      </c>
    </row>
    <row r="108" spans="1:8" ht="12.75">
      <c r="A108" s="114"/>
      <c r="B108" s="110"/>
      <c r="C108" s="110">
        <v>3020</v>
      </c>
      <c r="D108" s="126" t="s">
        <v>81</v>
      </c>
      <c r="E108" s="774">
        <v>915</v>
      </c>
      <c r="F108" s="774">
        <v>470</v>
      </c>
      <c r="G108" s="774"/>
      <c r="H108" s="764">
        <f>F108+G108</f>
        <v>470</v>
      </c>
    </row>
    <row r="109" spans="1:8" ht="12.75">
      <c r="A109" s="114"/>
      <c r="B109" s="110"/>
      <c r="C109" s="110">
        <v>4010</v>
      </c>
      <c r="D109" s="126" t="s">
        <v>82</v>
      </c>
      <c r="E109" s="774">
        <v>159127</v>
      </c>
      <c r="F109" s="774">
        <v>163919</v>
      </c>
      <c r="G109" s="774"/>
      <c r="H109" s="764">
        <f aca="true" t="shared" si="3" ref="H109:H125">F109+G109</f>
        <v>163919</v>
      </c>
    </row>
    <row r="110" spans="1:10" ht="12.75">
      <c r="A110" s="114"/>
      <c r="B110" s="110"/>
      <c r="C110" s="110">
        <v>4040</v>
      </c>
      <c r="D110" s="126" t="s">
        <v>83</v>
      </c>
      <c r="E110" s="774">
        <v>11314</v>
      </c>
      <c r="F110" s="774">
        <v>12416</v>
      </c>
      <c r="G110" s="774"/>
      <c r="H110" s="764">
        <f t="shared" si="3"/>
        <v>12416</v>
      </c>
      <c r="J110" s="91">
        <f>SUM(H109:H113)</f>
        <v>216046</v>
      </c>
    </row>
    <row r="111" spans="1:8" ht="12.75">
      <c r="A111" s="114"/>
      <c r="B111" s="110"/>
      <c r="C111" s="110">
        <v>4110</v>
      </c>
      <c r="D111" s="126" t="s">
        <v>84</v>
      </c>
      <c r="E111" s="774">
        <v>29834</v>
      </c>
      <c r="F111" s="774">
        <v>29817</v>
      </c>
      <c r="G111" s="774"/>
      <c r="H111" s="764">
        <f t="shared" si="3"/>
        <v>29817</v>
      </c>
    </row>
    <row r="112" spans="1:10" ht="12.75">
      <c r="A112" s="114"/>
      <c r="B112" s="110"/>
      <c r="C112" s="110">
        <v>4120</v>
      </c>
      <c r="D112" s="126" t="s">
        <v>85</v>
      </c>
      <c r="E112" s="774">
        <v>4330</v>
      </c>
      <c r="F112" s="774">
        <v>4254</v>
      </c>
      <c r="G112" s="774"/>
      <c r="H112" s="764">
        <f t="shared" si="3"/>
        <v>4254</v>
      </c>
      <c r="J112" s="91">
        <f>SUM(F109:F113)</f>
        <v>216046</v>
      </c>
    </row>
    <row r="113" spans="1:8" ht="12.75">
      <c r="A113" s="114"/>
      <c r="B113" s="110"/>
      <c r="C113" s="110">
        <v>4170</v>
      </c>
      <c r="D113" s="126" t="s">
        <v>86</v>
      </c>
      <c r="E113" s="774">
        <v>5640</v>
      </c>
      <c r="F113" s="774">
        <v>5640</v>
      </c>
      <c r="G113" s="774"/>
      <c r="H113" s="764">
        <f t="shared" si="3"/>
        <v>5640</v>
      </c>
    </row>
    <row r="114" spans="1:8" ht="12.75">
      <c r="A114" s="114"/>
      <c r="B114" s="110"/>
      <c r="C114" s="110">
        <v>4210</v>
      </c>
      <c r="D114" s="126" t="s">
        <v>87</v>
      </c>
      <c r="E114" s="774">
        <v>5581</v>
      </c>
      <c r="F114" s="774">
        <v>2055</v>
      </c>
      <c r="G114" s="774"/>
      <c r="H114" s="764">
        <f t="shared" si="3"/>
        <v>2055</v>
      </c>
    </row>
    <row r="115" spans="1:8" ht="12.75">
      <c r="A115" s="114"/>
      <c r="B115" s="110"/>
      <c r="C115" s="110">
        <v>4260</v>
      </c>
      <c r="D115" s="126" t="s">
        <v>88</v>
      </c>
      <c r="E115" s="774">
        <v>5425</v>
      </c>
      <c r="F115" s="774">
        <v>7725</v>
      </c>
      <c r="G115" s="774"/>
      <c r="H115" s="764">
        <f t="shared" si="3"/>
        <v>7725</v>
      </c>
    </row>
    <row r="116" spans="1:8" ht="12.75">
      <c r="A116" s="114"/>
      <c r="B116" s="110"/>
      <c r="C116" s="110">
        <v>4270</v>
      </c>
      <c r="D116" s="126" t="s">
        <v>89</v>
      </c>
      <c r="E116" s="774">
        <v>2600</v>
      </c>
      <c r="F116" s="774">
        <v>1500</v>
      </c>
      <c r="G116" s="774"/>
      <c r="H116" s="764">
        <f t="shared" si="3"/>
        <v>1500</v>
      </c>
    </row>
    <row r="117" spans="1:8" ht="12.75">
      <c r="A117" s="114"/>
      <c r="B117" s="110"/>
      <c r="C117" s="110">
        <v>4280</v>
      </c>
      <c r="D117" s="126" t="s">
        <v>90</v>
      </c>
      <c r="E117" s="774">
        <v>245</v>
      </c>
      <c r="F117" s="774">
        <v>303</v>
      </c>
      <c r="G117" s="774"/>
      <c r="H117" s="764">
        <f t="shared" si="3"/>
        <v>303</v>
      </c>
    </row>
    <row r="118" spans="1:8" ht="12.75">
      <c r="A118" s="114"/>
      <c r="B118" s="110"/>
      <c r="C118" s="110">
        <v>4300</v>
      </c>
      <c r="D118" s="126" t="s">
        <v>76</v>
      </c>
      <c r="E118" s="774">
        <v>22067</v>
      </c>
      <c r="F118" s="774">
        <v>7090</v>
      </c>
      <c r="G118" s="774"/>
      <c r="H118" s="764">
        <f t="shared" si="3"/>
        <v>7090</v>
      </c>
    </row>
    <row r="119" spans="1:8" ht="12.75">
      <c r="A119" s="114"/>
      <c r="B119" s="110"/>
      <c r="C119" s="110">
        <v>4350</v>
      </c>
      <c r="D119" s="126" t="s">
        <v>91</v>
      </c>
      <c r="E119" s="774">
        <v>2828</v>
      </c>
      <c r="F119" s="774">
        <v>5023</v>
      </c>
      <c r="G119" s="774"/>
      <c r="H119" s="764">
        <f t="shared" si="3"/>
        <v>5023</v>
      </c>
    </row>
    <row r="120" spans="1:8" ht="12.75">
      <c r="A120" s="114"/>
      <c r="B120" s="110"/>
      <c r="C120" s="110">
        <v>4370</v>
      </c>
      <c r="D120" s="126" t="s">
        <v>93</v>
      </c>
      <c r="E120" s="774">
        <v>0</v>
      </c>
      <c r="F120" s="774">
        <v>3467</v>
      </c>
      <c r="G120" s="774"/>
      <c r="H120" s="764">
        <f t="shared" si="3"/>
        <v>3467</v>
      </c>
    </row>
    <row r="121" spans="1:8" ht="12.75">
      <c r="A121" s="114"/>
      <c r="B121" s="110"/>
      <c r="C121" s="110">
        <v>4410</v>
      </c>
      <c r="D121" s="126" t="s">
        <v>94</v>
      </c>
      <c r="E121" s="774">
        <v>1179</v>
      </c>
      <c r="F121" s="774">
        <v>2500</v>
      </c>
      <c r="G121" s="774"/>
      <c r="H121" s="764">
        <f t="shared" si="3"/>
        <v>2500</v>
      </c>
    </row>
    <row r="122" spans="1:8" ht="12.75">
      <c r="A122" s="114"/>
      <c r="B122" s="110"/>
      <c r="C122" s="110">
        <v>4440</v>
      </c>
      <c r="D122" s="126" t="s">
        <v>96</v>
      </c>
      <c r="E122" s="774">
        <v>4949</v>
      </c>
      <c r="F122" s="774">
        <v>5431</v>
      </c>
      <c r="G122" s="774"/>
      <c r="H122" s="764">
        <f t="shared" si="3"/>
        <v>5431</v>
      </c>
    </row>
    <row r="123" spans="1:8" ht="12.75">
      <c r="A123" s="114"/>
      <c r="B123" s="110"/>
      <c r="C123" s="110">
        <v>4700</v>
      </c>
      <c r="D123" s="126" t="s">
        <v>115</v>
      </c>
      <c r="E123" s="774">
        <v>0</v>
      </c>
      <c r="F123" s="774">
        <v>500</v>
      </c>
      <c r="G123" s="774"/>
      <c r="H123" s="764">
        <f>F123+G123</f>
        <v>500</v>
      </c>
    </row>
    <row r="124" spans="1:8" ht="12.75">
      <c r="A124" s="114"/>
      <c r="B124" s="110"/>
      <c r="C124" s="110">
        <v>4740</v>
      </c>
      <c r="D124" s="126" t="s">
        <v>124</v>
      </c>
      <c r="E124" s="774">
        <v>0</v>
      </c>
      <c r="F124" s="774">
        <v>1100</v>
      </c>
      <c r="G124" s="774"/>
      <c r="H124" s="764">
        <f t="shared" si="3"/>
        <v>1100</v>
      </c>
    </row>
    <row r="125" spans="1:8" ht="12.75">
      <c r="A125" s="114"/>
      <c r="B125" s="110"/>
      <c r="C125" s="110">
        <v>4750</v>
      </c>
      <c r="D125" s="126" t="s">
        <v>125</v>
      </c>
      <c r="E125" s="774">
        <v>0</v>
      </c>
      <c r="F125" s="774">
        <v>4000</v>
      </c>
      <c r="G125" s="774"/>
      <c r="H125" s="764">
        <f t="shared" si="3"/>
        <v>4000</v>
      </c>
    </row>
    <row r="126" spans="1:8" ht="12.75">
      <c r="A126" s="114"/>
      <c r="B126" s="110"/>
      <c r="C126" s="110"/>
      <c r="D126" s="126"/>
      <c r="E126" s="774"/>
      <c r="F126" s="774"/>
      <c r="G126" s="774"/>
      <c r="H126" s="764"/>
    </row>
    <row r="127" spans="1:8" ht="12.75">
      <c r="A127" s="114"/>
      <c r="B127" s="80">
        <v>75019</v>
      </c>
      <c r="C127" s="60"/>
      <c r="D127" s="131" t="s">
        <v>126</v>
      </c>
      <c r="E127" s="773">
        <f>SUM(E128:E133)</f>
        <v>238300</v>
      </c>
      <c r="F127" s="773">
        <f>SUM(F128:F136)</f>
        <v>238600</v>
      </c>
      <c r="G127" s="773">
        <f>SUM(G128:G136)</f>
        <v>27250</v>
      </c>
      <c r="H127" s="763">
        <f>SUM(H128:H136)</f>
        <v>265850</v>
      </c>
    </row>
    <row r="128" spans="1:8" ht="12.75">
      <c r="A128" s="114"/>
      <c r="B128" s="110"/>
      <c r="C128" s="110">
        <v>3030</v>
      </c>
      <c r="D128" s="126" t="s">
        <v>127</v>
      </c>
      <c r="E128" s="774">
        <v>225600</v>
      </c>
      <c r="F128" s="774">
        <v>224000</v>
      </c>
      <c r="G128" s="774">
        <v>25009</v>
      </c>
      <c r="H128" s="764">
        <f aca="true" t="shared" si="4" ref="H128:H136">F128+G128</f>
        <v>249009</v>
      </c>
    </row>
    <row r="129" spans="1:8" ht="12.75">
      <c r="A129" s="114"/>
      <c r="B129" s="110"/>
      <c r="C129" s="110">
        <v>4210</v>
      </c>
      <c r="D129" s="126" t="s">
        <v>87</v>
      </c>
      <c r="E129" s="774">
        <v>6000</v>
      </c>
      <c r="F129" s="774">
        <v>2900</v>
      </c>
      <c r="G129" s="774"/>
      <c r="H129" s="764">
        <f t="shared" si="4"/>
        <v>2900</v>
      </c>
    </row>
    <row r="130" spans="1:8" ht="12.75">
      <c r="A130" s="114"/>
      <c r="B130" s="110"/>
      <c r="C130" s="110">
        <v>4300</v>
      </c>
      <c r="D130" s="126" t="s">
        <v>76</v>
      </c>
      <c r="E130" s="774">
        <v>6000</v>
      </c>
      <c r="F130" s="774">
        <v>7000</v>
      </c>
      <c r="G130" s="774">
        <v>1500</v>
      </c>
      <c r="H130" s="764">
        <f t="shared" si="4"/>
        <v>8500</v>
      </c>
    </row>
    <row r="131" spans="1:8" ht="12.75">
      <c r="A131" s="114"/>
      <c r="B131" s="110"/>
      <c r="C131" s="110">
        <v>4370</v>
      </c>
      <c r="D131" s="126" t="s">
        <v>93</v>
      </c>
      <c r="E131" s="774">
        <v>0</v>
      </c>
      <c r="F131" s="774">
        <v>2000</v>
      </c>
      <c r="G131" s="774"/>
      <c r="H131" s="764">
        <f t="shared" si="4"/>
        <v>2000</v>
      </c>
    </row>
    <row r="132" spans="1:8" ht="12.75">
      <c r="A132" s="114"/>
      <c r="B132" s="110"/>
      <c r="C132" s="110">
        <v>4410</v>
      </c>
      <c r="D132" s="126" t="s">
        <v>94</v>
      </c>
      <c r="E132" s="774">
        <v>700</v>
      </c>
      <c r="F132" s="774">
        <v>1400</v>
      </c>
      <c r="G132" s="774">
        <v>200</v>
      </c>
      <c r="H132" s="764">
        <f t="shared" si="4"/>
        <v>1600</v>
      </c>
    </row>
    <row r="133" spans="1:8" ht="12.75">
      <c r="A133" s="114"/>
      <c r="B133" s="110"/>
      <c r="C133" s="110">
        <v>4420</v>
      </c>
      <c r="D133" s="126" t="s">
        <v>128</v>
      </c>
      <c r="E133" s="774">
        <v>0</v>
      </c>
      <c r="F133" s="774">
        <v>700</v>
      </c>
      <c r="G133" s="774">
        <v>390</v>
      </c>
      <c r="H133" s="764">
        <f t="shared" si="4"/>
        <v>1090</v>
      </c>
    </row>
    <row r="134" spans="1:8" ht="12.75">
      <c r="A134" s="114"/>
      <c r="B134" s="110"/>
      <c r="C134" s="110">
        <v>4430</v>
      </c>
      <c r="D134" s="126" t="s">
        <v>95</v>
      </c>
      <c r="E134" s="774"/>
      <c r="F134" s="774">
        <v>0</v>
      </c>
      <c r="G134" s="774">
        <v>151</v>
      </c>
      <c r="H134" s="764">
        <f t="shared" si="4"/>
        <v>151</v>
      </c>
    </row>
    <row r="135" spans="1:8" ht="12.75">
      <c r="A135" s="114"/>
      <c r="B135" s="110"/>
      <c r="C135" s="110">
        <v>4700</v>
      </c>
      <c r="D135" s="126" t="s">
        <v>115</v>
      </c>
      <c r="E135" s="774"/>
      <c r="F135" s="774">
        <v>500</v>
      </c>
      <c r="G135" s="774"/>
      <c r="H135" s="764">
        <f t="shared" si="4"/>
        <v>500</v>
      </c>
    </row>
    <row r="136" spans="1:8" ht="12.75">
      <c r="A136" s="114"/>
      <c r="B136" s="110"/>
      <c r="C136" s="110">
        <v>4740</v>
      </c>
      <c r="D136" s="126" t="s">
        <v>124</v>
      </c>
      <c r="E136" s="774"/>
      <c r="F136" s="774">
        <v>100</v>
      </c>
      <c r="G136" s="774"/>
      <c r="H136" s="764">
        <f t="shared" si="4"/>
        <v>100</v>
      </c>
    </row>
    <row r="137" spans="1:8" ht="12.75">
      <c r="A137" s="114"/>
      <c r="B137" s="110"/>
      <c r="C137" s="110"/>
      <c r="D137" s="126"/>
      <c r="E137" s="774"/>
      <c r="F137" s="774"/>
      <c r="G137" s="774"/>
      <c r="H137" s="764"/>
    </row>
    <row r="138" spans="1:8" ht="12.75">
      <c r="A138" s="114"/>
      <c r="B138" s="80">
        <v>75020</v>
      </c>
      <c r="C138" s="80"/>
      <c r="D138" s="131" t="s">
        <v>129</v>
      </c>
      <c r="E138" s="773">
        <f>SUM(E139:E162)</f>
        <v>3552571</v>
      </c>
      <c r="F138" s="773">
        <f>SUM(F139:F163)</f>
        <v>4365643</v>
      </c>
      <c r="G138" s="773">
        <f>SUM(G139:G163)</f>
        <v>-8600</v>
      </c>
      <c r="H138" s="763">
        <f>SUM(H139:H163)</f>
        <v>4357043</v>
      </c>
    </row>
    <row r="139" spans="1:8" ht="12.75">
      <c r="A139" s="114"/>
      <c r="B139" s="110"/>
      <c r="C139" s="110">
        <v>3020</v>
      </c>
      <c r="D139" s="126" t="s">
        <v>81</v>
      </c>
      <c r="E139" s="774">
        <v>3274</v>
      </c>
      <c r="F139" s="774">
        <v>3875</v>
      </c>
      <c r="G139" s="774"/>
      <c r="H139" s="764">
        <f>F139+G139</f>
        <v>3875</v>
      </c>
    </row>
    <row r="140" spans="1:10" ht="12.75">
      <c r="A140" s="114"/>
      <c r="B140" s="778"/>
      <c r="C140" s="110">
        <v>4010</v>
      </c>
      <c r="D140" s="126" t="s">
        <v>82</v>
      </c>
      <c r="E140" s="774">
        <v>1848949</v>
      </c>
      <c r="F140" s="774">
        <v>1969425</v>
      </c>
      <c r="G140" s="774"/>
      <c r="H140" s="764">
        <f aca="true" t="shared" si="5" ref="H140:H162">F140+G140</f>
        <v>1969425</v>
      </c>
      <c r="J140" s="91">
        <f>SUM(H140:H144)</f>
        <v>2556050</v>
      </c>
    </row>
    <row r="141" spans="1:8" ht="12.75">
      <c r="A141" s="114"/>
      <c r="B141" s="778"/>
      <c r="C141" s="110">
        <v>4040</v>
      </c>
      <c r="D141" s="126" t="s">
        <v>83</v>
      </c>
      <c r="E141" s="774">
        <v>147416</v>
      </c>
      <c r="F141" s="774">
        <v>136391</v>
      </c>
      <c r="G141" s="774"/>
      <c r="H141" s="764">
        <f t="shared" si="5"/>
        <v>136391</v>
      </c>
    </row>
    <row r="142" spans="1:10" ht="12.75">
      <c r="A142" s="114"/>
      <c r="B142" s="110"/>
      <c r="C142" s="110">
        <v>4110</v>
      </c>
      <c r="D142" s="126" t="s">
        <v>84</v>
      </c>
      <c r="E142" s="774">
        <v>314600</v>
      </c>
      <c r="F142" s="774">
        <f>334470+16027</f>
        <v>350497</v>
      </c>
      <c r="G142" s="774"/>
      <c r="H142" s="764">
        <f t="shared" si="5"/>
        <v>350497</v>
      </c>
      <c r="J142" s="91">
        <f>SUM(F140:F144)</f>
        <v>2556050</v>
      </c>
    </row>
    <row r="143" spans="1:8" ht="12.75">
      <c r="A143" s="114"/>
      <c r="B143" s="110"/>
      <c r="C143" s="110">
        <v>4120</v>
      </c>
      <c r="D143" s="126" t="s">
        <v>85</v>
      </c>
      <c r="E143" s="774">
        <v>44744</v>
      </c>
      <c r="F143" s="774">
        <f>47560+1165</f>
        <v>48725</v>
      </c>
      <c r="G143" s="774"/>
      <c r="H143" s="764">
        <f t="shared" si="5"/>
        <v>48725</v>
      </c>
    </row>
    <row r="144" spans="1:8" ht="12.75">
      <c r="A144" s="114"/>
      <c r="B144" s="110"/>
      <c r="C144" s="110">
        <v>4170</v>
      </c>
      <c r="D144" s="126" t="s">
        <v>86</v>
      </c>
      <c r="E144" s="774">
        <v>43620</v>
      </c>
      <c r="F144" s="774">
        <v>51012</v>
      </c>
      <c r="G144" s="774"/>
      <c r="H144" s="764">
        <f t="shared" si="5"/>
        <v>51012</v>
      </c>
    </row>
    <row r="145" spans="1:8" ht="12.75">
      <c r="A145" s="114"/>
      <c r="B145" s="110"/>
      <c r="C145" s="110">
        <v>4210</v>
      </c>
      <c r="D145" s="126" t="s">
        <v>87</v>
      </c>
      <c r="E145" s="774">
        <v>158450</v>
      </c>
      <c r="F145" s="774">
        <v>192337</v>
      </c>
      <c r="G145" s="774">
        <v>-11404</v>
      </c>
      <c r="H145" s="764">
        <f t="shared" si="5"/>
        <v>180933</v>
      </c>
    </row>
    <row r="146" spans="1:8" ht="12.75">
      <c r="A146" s="114"/>
      <c r="B146" s="110"/>
      <c r="C146" s="110">
        <v>4260</v>
      </c>
      <c r="D146" s="126" t="s">
        <v>88</v>
      </c>
      <c r="E146" s="774">
        <v>57507</v>
      </c>
      <c r="F146" s="774">
        <v>66197</v>
      </c>
      <c r="G146" s="774"/>
      <c r="H146" s="764">
        <f t="shared" si="5"/>
        <v>66197</v>
      </c>
    </row>
    <row r="147" spans="1:8" ht="12.75">
      <c r="A147" s="114"/>
      <c r="B147" s="110"/>
      <c r="C147" s="110">
        <v>4270</v>
      </c>
      <c r="D147" s="126" t="s">
        <v>89</v>
      </c>
      <c r="E147" s="774">
        <v>34643</v>
      </c>
      <c r="F147" s="774">
        <v>13700</v>
      </c>
      <c r="G147" s="774"/>
      <c r="H147" s="764">
        <f t="shared" si="5"/>
        <v>13700</v>
      </c>
    </row>
    <row r="148" spans="1:8" ht="12.75">
      <c r="A148" s="114"/>
      <c r="B148" s="110"/>
      <c r="C148" s="110">
        <v>4280</v>
      </c>
      <c r="D148" s="126" t="s">
        <v>90</v>
      </c>
      <c r="E148" s="774">
        <v>3696</v>
      </c>
      <c r="F148" s="774">
        <v>3700</v>
      </c>
      <c r="G148" s="774"/>
      <c r="H148" s="764">
        <f t="shared" si="5"/>
        <v>3700</v>
      </c>
    </row>
    <row r="149" spans="1:8" ht="12.75">
      <c r="A149" s="114"/>
      <c r="B149" s="110"/>
      <c r="C149" s="110">
        <v>4300</v>
      </c>
      <c r="D149" s="126" t="s">
        <v>76</v>
      </c>
      <c r="E149" s="774">
        <v>665777</v>
      </c>
      <c r="F149" s="774">
        <v>601167</v>
      </c>
      <c r="G149" s="774"/>
      <c r="H149" s="764">
        <f t="shared" si="5"/>
        <v>601167</v>
      </c>
    </row>
    <row r="150" spans="1:8" ht="12.75">
      <c r="A150" s="114"/>
      <c r="B150" s="110"/>
      <c r="C150" s="110">
        <v>4350</v>
      </c>
      <c r="D150" s="126" t="s">
        <v>130</v>
      </c>
      <c r="E150" s="774">
        <v>9029</v>
      </c>
      <c r="F150" s="774">
        <v>6040</v>
      </c>
      <c r="G150" s="774"/>
      <c r="H150" s="764">
        <f t="shared" si="5"/>
        <v>6040</v>
      </c>
    </row>
    <row r="151" spans="1:8" ht="12.75">
      <c r="A151" s="114"/>
      <c r="B151" s="110"/>
      <c r="C151" s="110">
        <v>4360</v>
      </c>
      <c r="D151" s="126" t="s">
        <v>92</v>
      </c>
      <c r="E151" s="774">
        <v>0</v>
      </c>
      <c r="F151" s="774">
        <v>7780</v>
      </c>
      <c r="G151" s="774"/>
      <c r="H151" s="764">
        <f>F151+G151</f>
        <v>7780</v>
      </c>
    </row>
    <row r="152" spans="1:8" ht="12.75">
      <c r="A152" s="114"/>
      <c r="B152" s="110"/>
      <c r="C152" s="110">
        <v>4370</v>
      </c>
      <c r="D152" s="126" t="s">
        <v>93</v>
      </c>
      <c r="E152" s="774">
        <v>0</v>
      </c>
      <c r="F152" s="774">
        <v>37528</v>
      </c>
      <c r="G152" s="774"/>
      <c r="H152" s="764">
        <f t="shared" si="5"/>
        <v>37528</v>
      </c>
    </row>
    <row r="153" spans="1:8" ht="12.75">
      <c r="A153" s="114"/>
      <c r="B153" s="110"/>
      <c r="C153" s="110">
        <v>4410</v>
      </c>
      <c r="D153" s="126" t="s">
        <v>94</v>
      </c>
      <c r="E153" s="774">
        <v>15000</v>
      </c>
      <c r="F153" s="774">
        <v>13672</v>
      </c>
      <c r="G153" s="774">
        <v>2000</v>
      </c>
      <c r="H153" s="764">
        <f t="shared" si="5"/>
        <v>15672</v>
      </c>
    </row>
    <row r="154" spans="1:8" ht="12.75">
      <c r="A154" s="114"/>
      <c r="B154" s="110"/>
      <c r="C154" s="110">
        <v>4420</v>
      </c>
      <c r="D154" s="126" t="s">
        <v>128</v>
      </c>
      <c r="E154" s="774">
        <v>750</v>
      </c>
      <c r="F154" s="774">
        <v>1500</v>
      </c>
      <c r="G154" s="774">
        <v>804</v>
      </c>
      <c r="H154" s="764">
        <f t="shared" si="5"/>
        <v>2304</v>
      </c>
    </row>
    <row r="155" spans="1:8" ht="12.75">
      <c r="A155" s="114"/>
      <c r="B155" s="110"/>
      <c r="C155" s="110">
        <v>4430</v>
      </c>
      <c r="D155" s="126" t="s">
        <v>95</v>
      </c>
      <c r="E155" s="774">
        <v>5251</v>
      </c>
      <c r="F155" s="774">
        <v>6440</v>
      </c>
      <c r="G155" s="774"/>
      <c r="H155" s="764">
        <f t="shared" si="5"/>
        <v>6440</v>
      </c>
    </row>
    <row r="156" spans="1:8" ht="12.75">
      <c r="A156" s="114"/>
      <c r="B156" s="110"/>
      <c r="C156" s="110">
        <v>4440</v>
      </c>
      <c r="D156" s="126" t="s">
        <v>96</v>
      </c>
      <c r="E156" s="774">
        <v>54150</v>
      </c>
      <c r="F156" s="774">
        <v>56223</v>
      </c>
      <c r="G156" s="774"/>
      <c r="H156" s="764">
        <f t="shared" si="5"/>
        <v>56223</v>
      </c>
    </row>
    <row r="157" spans="1:8" ht="12.75">
      <c r="A157" s="114"/>
      <c r="B157" s="110"/>
      <c r="C157" s="110">
        <v>4530</v>
      </c>
      <c r="D157" s="126" t="s">
        <v>101</v>
      </c>
      <c r="E157" s="774">
        <v>1250</v>
      </c>
      <c r="F157" s="774">
        <v>26345</v>
      </c>
      <c r="G157" s="774"/>
      <c r="H157" s="764">
        <f t="shared" si="5"/>
        <v>26345</v>
      </c>
    </row>
    <row r="158" spans="1:8" ht="12.75">
      <c r="A158" s="114"/>
      <c r="B158" s="110"/>
      <c r="C158" s="110">
        <v>4700</v>
      </c>
      <c r="D158" s="126" t="s">
        <v>115</v>
      </c>
      <c r="E158" s="774">
        <v>0</v>
      </c>
      <c r="F158" s="774">
        <v>8000</v>
      </c>
      <c r="G158" s="774"/>
      <c r="H158" s="764">
        <f t="shared" si="5"/>
        <v>8000</v>
      </c>
    </row>
    <row r="159" spans="1:8" ht="12.75">
      <c r="A159" s="114"/>
      <c r="B159" s="110"/>
      <c r="C159" s="110">
        <v>4740</v>
      </c>
      <c r="D159" s="126" t="s">
        <v>124</v>
      </c>
      <c r="E159" s="774">
        <v>0</v>
      </c>
      <c r="F159" s="774">
        <v>6000</v>
      </c>
      <c r="G159" s="774"/>
      <c r="H159" s="764">
        <f t="shared" si="5"/>
        <v>6000</v>
      </c>
    </row>
    <row r="160" spans="1:8" ht="12.75">
      <c r="A160" s="114"/>
      <c r="B160" s="110"/>
      <c r="C160" s="110">
        <v>4750</v>
      </c>
      <c r="D160" s="126" t="s">
        <v>125</v>
      </c>
      <c r="E160" s="774">
        <v>0</v>
      </c>
      <c r="F160" s="774">
        <v>24839</v>
      </c>
      <c r="G160" s="774"/>
      <c r="H160" s="764">
        <f t="shared" si="5"/>
        <v>24839</v>
      </c>
    </row>
    <row r="161" spans="1:8" ht="12.75">
      <c r="A161" s="114"/>
      <c r="B161" s="110"/>
      <c r="C161" s="110">
        <v>6050</v>
      </c>
      <c r="D161" s="126" t="s">
        <v>103</v>
      </c>
      <c r="E161" s="774">
        <v>74465</v>
      </c>
      <c r="F161" s="774">
        <v>520000</v>
      </c>
      <c r="G161" s="774"/>
      <c r="H161" s="764">
        <f t="shared" si="5"/>
        <v>520000</v>
      </c>
    </row>
    <row r="162" spans="1:8" ht="12.75">
      <c r="A162" s="114"/>
      <c r="B162" s="110"/>
      <c r="C162" s="110">
        <v>6060</v>
      </c>
      <c r="D162" s="126" t="s">
        <v>132</v>
      </c>
      <c r="E162" s="774">
        <v>70000</v>
      </c>
      <c r="F162" s="774">
        <v>144250</v>
      </c>
      <c r="G162" s="774"/>
      <c r="H162" s="764">
        <f t="shared" si="5"/>
        <v>144250</v>
      </c>
    </row>
    <row r="163" spans="1:8" ht="12.75">
      <c r="A163" s="114"/>
      <c r="B163" s="110"/>
      <c r="C163" s="110">
        <v>6630</v>
      </c>
      <c r="D163" s="126" t="s">
        <v>752</v>
      </c>
      <c r="E163" s="774"/>
      <c r="F163" s="774">
        <v>70000</v>
      </c>
      <c r="G163" s="774"/>
      <c r="H163" s="764">
        <f>F163+G163</f>
        <v>70000</v>
      </c>
    </row>
    <row r="164" spans="1:8" ht="12.75">
      <c r="A164" s="114"/>
      <c r="B164" s="110"/>
      <c r="C164" s="110"/>
      <c r="D164" s="126" t="s">
        <v>753</v>
      </c>
      <c r="E164" s="774"/>
      <c r="F164" s="774"/>
      <c r="G164" s="774"/>
      <c r="H164" s="764"/>
    </row>
    <row r="165" spans="1:8" ht="12.75">
      <c r="A165" s="114"/>
      <c r="B165" s="110"/>
      <c r="C165" s="110"/>
      <c r="D165" s="126"/>
      <c r="E165" s="774"/>
      <c r="F165" s="774"/>
      <c r="G165" s="774"/>
      <c r="H165" s="764"/>
    </row>
    <row r="166" spans="1:8" ht="12.75">
      <c r="A166" s="114"/>
      <c r="B166" s="80">
        <v>75045</v>
      </c>
      <c r="C166" s="80"/>
      <c r="D166" s="131" t="s">
        <v>133</v>
      </c>
      <c r="E166" s="773">
        <f>SUM(E167:E177)</f>
        <v>15999</v>
      </c>
      <c r="F166" s="773">
        <f>SUM(F167:F177)</f>
        <v>16978</v>
      </c>
      <c r="G166" s="773">
        <f>SUM(G167:G177)</f>
        <v>0</v>
      </c>
      <c r="H166" s="763">
        <f>SUM(H167:H177)</f>
        <v>16978</v>
      </c>
    </row>
    <row r="167" spans="1:8" ht="12.75">
      <c r="A167" s="114"/>
      <c r="B167" s="110"/>
      <c r="C167" s="110">
        <v>3030</v>
      </c>
      <c r="D167" s="126" t="s">
        <v>127</v>
      </c>
      <c r="E167" s="774">
        <v>1330</v>
      </c>
      <c r="F167" s="774">
        <v>1330</v>
      </c>
      <c r="G167" s="774"/>
      <c r="H167" s="764">
        <f>F167+G167</f>
        <v>1330</v>
      </c>
    </row>
    <row r="168" spans="1:10" ht="12.75">
      <c r="A168" s="114"/>
      <c r="B168" s="110"/>
      <c r="C168" s="110">
        <v>4110</v>
      </c>
      <c r="D168" s="126" t="s">
        <v>84</v>
      </c>
      <c r="E168" s="774">
        <v>885</v>
      </c>
      <c r="F168" s="774">
        <v>1123</v>
      </c>
      <c r="G168" s="774"/>
      <c r="H168" s="764">
        <f aca="true" t="shared" si="6" ref="H168:H177">F168+G168</f>
        <v>1123</v>
      </c>
      <c r="J168" s="91">
        <f>SUM(H168:H170)</f>
        <v>8082</v>
      </c>
    </row>
    <row r="169" spans="1:8" ht="12.75">
      <c r="A169" s="114"/>
      <c r="B169" s="110"/>
      <c r="C169" s="110">
        <v>4120</v>
      </c>
      <c r="D169" s="126" t="s">
        <v>85</v>
      </c>
      <c r="E169" s="774">
        <v>126</v>
      </c>
      <c r="F169" s="774">
        <v>159</v>
      </c>
      <c r="G169" s="774"/>
      <c r="H169" s="764">
        <f t="shared" si="6"/>
        <v>159</v>
      </c>
    </row>
    <row r="170" spans="1:8" ht="12.75">
      <c r="A170" s="114"/>
      <c r="B170" s="110"/>
      <c r="C170" s="110">
        <v>4170</v>
      </c>
      <c r="D170" s="126" t="s">
        <v>86</v>
      </c>
      <c r="E170" s="774">
        <v>6800</v>
      </c>
      <c r="F170" s="774">
        <v>6800</v>
      </c>
      <c r="G170" s="774"/>
      <c r="H170" s="764">
        <f t="shared" si="6"/>
        <v>6800</v>
      </c>
    </row>
    <row r="171" spans="1:8" ht="12.75">
      <c r="A171" s="114"/>
      <c r="B171" s="110"/>
      <c r="C171" s="110">
        <v>4210</v>
      </c>
      <c r="D171" s="126" t="s">
        <v>87</v>
      </c>
      <c r="E171" s="774">
        <v>4340</v>
      </c>
      <c r="F171" s="774">
        <v>635</v>
      </c>
      <c r="G171" s="774"/>
      <c r="H171" s="764">
        <f t="shared" si="6"/>
        <v>635</v>
      </c>
    </row>
    <row r="172" spans="1:8" ht="12.75">
      <c r="A172" s="114"/>
      <c r="B172" s="110"/>
      <c r="C172" s="110">
        <v>4300</v>
      </c>
      <c r="D172" s="126" t="s">
        <v>76</v>
      </c>
      <c r="E172" s="774">
        <v>2518</v>
      </c>
      <c r="F172" s="774">
        <v>407</v>
      </c>
      <c r="G172" s="774"/>
      <c r="H172" s="764">
        <f t="shared" si="6"/>
        <v>407</v>
      </c>
    </row>
    <row r="173" spans="1:8" ht="12.75">
      <c r="A173" s="114"/>
      <c r="B173" s="110"/>
      <c r="C173" s="110">
        <v>4370</v>
      </c>
      <c r="D173" s="126" t="s">
        <v>93</v>
      </c>
      <c r="E173" s="774">
        <v>0</v>
      </c>
      <c r="F173" s="774">
        <v>49</v>
      </c>
      <c r="G173" s="774"/>
      <c r="H173" s="764">
        <f t="shared" si="6"/>
        <v>49</v>
      </c>
    </row>
    <row r="174" spans="1:8" ht="12.75">
      <c r="A174" s="114"/>
      <c r="B174" s="110"/>
      <c r="C174" s="110">
        <v>4400</v>
      </c>
      <c r="D174" s="126" t="s">
        <v>750</v>
      </c>
      <c r="E174" s="774"/>
      <c r="F174" s="774">
        <v>2200</v>
      </c>
      <c r="G174" s="774"/>
      <c r="H174" s="764">
        <f t="shared" si="6"/>
        <v>2200</v>
      </c>
    </row>
    <row r="175" spans="1:8" ht="12.75">
      <c r="A175" s="114"/>
      <c r="B175" s="110"/>
      <c r="C175" s="110">
        <v>4410</v>
      </c>
      <c r="D175" s="126" t="s">
        <v>94</v>
      </c>
      <c r="E175" s="774">
        <v>0</v>
      </c>
      <c r="F175" s="774">
        <v>0</v>
      </c>
      <c r="G175" s="774"/>
      <c r="H175" s="764">
        <f t="shared" si="6"/>
        <v>0</v>
      </c>
    </row>
    <row r="176" spans="1:8" ht="12.75">
      <c r="A176" s="114"/>
      <c r="B176" s="110"/>
      <c r="C176" s="110">
        <v>4740</v>
      </c>
      <c r="D176" s="126" t="s">
        <v>124</v>
      </c>
      <c r="E176" s="774">
        <v>0</v>
      </c>
      <c r="F176" s="774">
        <v>120</v>
      </c>
      <c r="G176" s="774"/>
      <c r="H176" s="764">
        <f t="shared" si="6"/>
        <v>120</v>
      </c>
    </row>
    <row r="177" spans="1:8" ht="12.75">
      <c r="A177" s="114"/>
      <c r="B177" s="110"/>
      <c r="C177" s="110">
        <v>4750</v>
      </c>
      <c r="D177" s="126" t="s">
        <v>125</v>
      </c>
      <c r="E177" s="774">
        <v>0</v>
      </c>
      <c r="F177" s="774">
        <v>4155</v>
      </c>
      <c r="G177" s="774"/>
      <c r="H177" s="764">
        <f t="shared" si="6"/>
        <v>4155</v>
      </c>
    </row>
    <row r="178" spans="1:8" ht="12.75">
      <c r="A178" s="114"/>
      <c r="B178" s="110"/>
      <c r="C178" s="110"/>
      <c r="D178" s="126"/>
      <c r="E178" s="774"/>
      <c r="F178" s="774"/>
      <c r="G178" s="774"/>
      <c r="H178" s="764"/>
    </row>
    <row r="179" spans="1:8" ht="12.75">
      <c r="A179" s="114"/>
      <c r="B179" s="80">
        <v>75095</v>
      </c>
      <c r="C179" s="80"/>
      <c r="D179" s="131" t="s">
        <v>60</v>
      </c>
      <c r="E179" s="773">
        <f>SUM(E181:E183)</f>
        <v>9990</v>
      </c>
      <c r="F179" s="773">
        <f>SUM(F180:F183)</f>
        <v>37000</v>
      </c>
      <c r="G179" s="773">
        <f>SUM(G180:G183)</f>
        <v>0</v>
      </c>
      <c r="H179" s="763">
        <f>SUM(H180:H183)</f>
        <v>37000</v>
      </c>
    </row>
    <row r="180" spans="1:8" ht="12.75">
      <c r="A180" s="114"/>
      <c r="B180" s="110"/>
      <c r="C180" s="110">
        <v>4170</v>
      </c>
      <c r="D180" s="126" t="s">
        <v>86</v>
      </c>
      <c r="E180" s="774"/>
      <c r="F180" s="774">
        <v>18000</v>
      </c>
      <c r="G180" s="774"/>
      <c r="H180" s="764">
        <f>F180+G180</f>
        <v>18000</v>
      </c>
    </row>
    <row r="181" spans="1:8" ht="12.75">
      <c r="A181" s="114"/>
      <c r="B181" s="110"/>
      <c r="C181" s="141" t="s">
        <v>110</v>
      </c>
      <c r="D181" s="126" t="s">
        <v>87</v>
      </c>
      <c r="E181" s="774">
        <v>1940</v>
      </c>
      <c r="F181" s="774">
        <v>7000</v>
      </c>
      <c r="G181" s="774"/>
      <c r="H181" s="764">
        <f>F181+G181</f>
        <v>7000</v>
      </c>
    </row>
    <row r="182" spans="1:8" ht="12.75">
      <c r="A182" s="114"/>
      <c r="B182" s="110"/>
      <c r="C182" s="110">
        <v>4430</v>
      </c>
      <c r="D182" s="126" t="s">
        <v>95</v>
      </c>
      <c r="E182" s="774">
        <v>8050</v>
      </c>
      <c r="F182" s="774">
        <v>10000</v>
      </c>
      <c r="G182" s="774"/>
      <c r="H182" s="764">
        <f>F182+G182</f>
        <v>10000</v>
      </c>
    </row>
    <row r="183" spans="1:8" ht="12.75">
      <c r="A183" s="114"/>
      <c r="B183" s="110"/>
      <c r="C183" s="110">
        <v>4750</v>
      </c>
      <c r="D183" s="126" t="s">
        <v>125</v>
      </c>
      <c r="E183" s="774">
        <v>0</v>
      </c>
      <c r="F183" s="774">
        <v>2000</v>
      </c>
      <c r="G183" s="774"/>
      <c r="H183" s="764">
        <f>F183+G183</f>
        <v>2000</v>
      </c>
    </row>
    <row r="184" spans="1:8" ht="12.75">
      <c r="A184" s="114"/>
      <c r="B184" s="110"/>
      <c r="C184" s="110"/>
      <c r="D184" s="126"/>
      <c r="E184" s="774"/>
      <c r="F184" s="774"/>
      <c r="G184" s="774"/>
      <c r="H184" s="764"/>
    </row>
    <row r="185" spans="1:8" ht="13.5" thickBot="1">
      <c r="A185" s="79">
        <v>752</v>
      </c>
      <c r="B185" s="129"/>
      <c r="C185" s="129"/>
      <c r="D185" s="86" t="s">
        <v>728</v>
      </c>
      <c r="E185" s="104"/>
      <c r="F185" s="104">
        <f>F186</f>
        <v>1000</v>
      </c>
      <c r="G185" s="104">
        <f>G186</f>
        <v>0</v>
      </c>
      <c r="H185" s="146">
        <f>H186</f>
        <v>1000</v>
      </c>
    </row>
    <row r="186" spans="1:8" ht="12.75">
      <c r="A186" s="114"/>
      <c r="B186" s="121">
        <v>75212</v>
      </c>
      <c r="C186" s="121"/>
      <c r="D186" s="87" t="s">
        <v>729</v>
      </c>
      <c r="E186" s="779"/>
      <c r="F186" s="779">
        <f>SUM(F187:F189)</f>
        <v>1000</v>
      </c>
      <c r="G186" s="779">
        <f>SUM(G187:G189)</f>
        <v>0</v>
      </c>
      <c r="H186" s="765">
        <f>SUM(H187:H189)</f>
        <v>1000</v>
      </c>
    </row>
    <row r="187" spans="1:8" ht="12.75">
      <c r="A187" s="114"/>
      <c r="B187" s="110"/>
      <c r="C187" s="110">
        <v>4170</v>
      </c>
      <c r="D187" s="126" t="s">
        <v>86</v>
      </c>
      <c r="E187" s="774"/>
      <c r="F187" s="774">
        <v>200</v>
      </c>
      <c r="G187" s="774"/>
      <c r="H187" s="764">
        <f>F187+G187</f>
        <v>200</v>
      </c>
    </row>
    <row r="188" spans="1:8" ht="12.75">
      <c r="A188" s="114"/>
      <c r="B188" s="110"/>
      <c r="C188" s="110">
        <v>4210</v>
      </c>
      <c r="D188" s="126" t="s">
        <v>87</v>
      </c>
      <c r="E188" s="774"/>
      <c r="F188" s="774">
        <v>347</v>
      </c>
      <c r="G188" s="774"/>
      <c r="H188" s="764">
        <f>F188+G188</f>
        <v>347</v>
      </c>
    </row>
    <row r="189" spans="1:8" ht="12.75">
      <c r="A189" s="114"/>
      <c r="B189" s="110"/>
      <c r="C189" s="110">
        <v>4300</v>
      </c>
      <c r="D189" s="126" t="s">
        <v>76</v>
      </c>
      <c r="E189" s="774"/>
      <c r="F189" s="774">
        <v>453</v>
      </c>
      <c r="G189" s="774"/>
      <c r="H189" s="764">
        <f>F189+G189</f>
        <v>453</v>
      </c>
    </row>
    <row r="190" spans="1:8" ht="12.75">
      <c r="A190" s="114"/>
      <c r="B190" s="110"/>
      <c r="C190" s="110"/>
      <c r="D190" s="126"/>
      <c r="E190" s="774"/>
      <c r="F190" s="774"/>
      <c r="G190" s="774"/>
      <c r="H190" s="764"/>
    </row>
    <row r="191" spans="1:8" ht="12.75">
      <c r="A191" s="114"/>
      <c r="B191" s="110"/>
      <c r="C191" s="110"/>
      <c r="D191" s="126"/>
      <c r="E191" s="774"/>
      <c r="F191" s="774"/>
      <c r="G191" s="774"/>
      <c r="H191" s="764"/>
    </row>
    <row r="192" spans="1:8" ht="13.5" thickBot="1">
      <c r="A192" s="79">
        <v>754</v>
      </c>
      <c r="B192" s="129"/>
      <c r="C192" s="129"/>
      <c r="D192" s="86" t="s">
        <v>134</v>
      </c>
      <c r="E192" s="104">
        <f>E196+E193</f>
        <v>7300</v>
      </c>
      <c r="F192" s="104">
        <f>F196+F193</f>
        <v>8300</v>
      </c>
      <c r="G192" s="104">
        <f>G196+G193</f>
        <v>0</v>
      </c>
      <c r="H192" s="146">
        <f>H196+H193</f>
        <v>8300</v>
      </c>
    </row>
    <row r="193" spans="1:8" ht="12.75">
      <c r="A193" s="105"/>
      <c r="B193" s="121">
        <v>75414</v>
      </c>
      <c r="C193" s="121"/>
      <c r="D193" s="87" t="s">
        <v>135</v>
      </c>
      <c r="E193" s="779">
        <f>SUM(E194:E194)</f>
        <v>0</v>
      </c>
      <c r="F193" s="779">
        <f>SUM(F194:F194)</f>
        <v>1000</v>
      </c>
      <c r="G193" s="779">
        <f>SUM(G194:G194)</f>
        <v>0</v>
      </c>
      <c r="H193" s="765">
        <f>SUM(H194:H194)</f>
        <v>1000</v>
      </c>
    </row>
    <row r="194" spans="1:8" ht="12.75">
      <c r="A194" s="105"/>
      <c r="B194" s="110"/>
      <c r="C194" s="110">
        <v>4210</v>
      </c>
      <c r="D194" s="126" t="s">
        <v>87</v>
      </c>
      <c r="E194" s="774">
        <v>0</v>
      </c>
      <c r="F194" s="774">
        <v>1000</v>
      </c>
      <c r="G194" s="774"/>
      <c r="H194" s="764">
        <f>F194+G194</f>
        <v>1000</v>
      </c>
    </row>
    <row r="195" spans="1:8" ht="12.75">
      <c r="A195" s="105"/>
      <c r="B195" s="110"/>
      <c r="C195" s="110"/>
      <c r="D195" s="126"/>
      <c r="E195" s="774"/>
      <c r="F195" s="774"/>
      <c r="G195" s="774"/>
      <c r="H195" s="764"/>
    </row>
    <row r="196" spans="1:8" ht="12.75">
      <c r="A196" s="114"/>
      <c r="B196" s="80">
        <v>75495</v>
      </c>
      <c r="C196" s="80"/>
      <c r="D196" s="131" t="s">
        <v>60</v>
      </c>
      <c r="E196" s="773">
        <f>SUM(E198:E200)</f>
        <v>7300</v>
      </c>
      <c r="F196" s="773">
        <f>SUM(F197:F200)</f>
        <v>7300</v>
      </c>
      <c r="G196" s="773">
        <f>SUM(G197:G200)</f>
        <v>0</v>
      </c>
      <c r="H196" s="763">
        <f>SUM(H197:H200)</f>
        <v>7300</v>
      </c>
    </row>
    <row r="197" spans="1:8" ht="12.75">
      <c r="A197" s="114"/>
      <c r="B197" s="110"/>
      <c r="C197" s="110">
        <v>4170</v>
      </c>
      <c r="D197" s="126" t="s">
        <v>86</v>
      </c>
      <c r="E197" s="774"/>
      <c r="F197" s="774">
        <v>152</v>
      </c>
      <c r="G197" s="774"/>
      <c r="H197" s="764">
        <f>F197+G197</f>
        <v>152</v>
      </c>
    </row>
    <row r="198" spans="1:8" ht="12.75">
      <c r="A198" s="114"/>
      <c r="B198" s="110"/>
      <c r="C198" s="110">
        <v>4210</v>
      </c>
      <c r="D198" s="126" t="s">
        <v>87</v>
      </c>
      <c r="E198" s="774">
        <v>5700</v>
      </c>
      <c r="F198" s="774">
        <v>5448</v>
      </c>
      <c r="G198" s="774"/>
      <c r="H198" s="764">
        <f>F198+G198</f>
        <v>5448</v>
      </c>
    </row>
    <row r="199" spans="1:8" ht="12.75">
      <c r="A199" s="114"/>
      <c r="B199" s="110"/>
      <c r="C199" s="110">
        <v>4300</v>
      </c>
      <c r="D199" s="126" t="s">
        <v>76</v>
      </c>
      <c r="E199" s="774">
        <v>1200</v>
      </c>
      <c r="F199" s="774">
        <v>1200</v>
      </c>
      <c r="G199" s="774"/>
      <c r="H199" s="764">
        <f>F199+G199</f>
        <v>1200</v>
      </c>
    </row>
    <row r="200" spans="1:8" ht="12.75">
      <c r="A200" s="114"/>
      <c r="B200" s="110"/>
      <c r="C200" s="110">
        <v>4410</v>
      </c>
      <c r="D200" s="126" t="s">
        <v>94</v>
      </c>
      <c r="E200" s="774">
        <v>400</v>
      </c>
      <c r="F200" s="774">
        <v>500</v>
      </c>
      <c r="G200" s="774"/>
      <c r="H200" s="764">
        <f>F200+G200</f>
        <v>500</v>
      </c>
    </row>
    <row r="201" spans="1:8" ht="12.75">
      <c r="A201" s="114"/>
      <c r="B201" s="110"/>
      <c r="C201" s="110"/>
      <c r="D201" s="126"/>
      <c r="E201" s="774"/>
      <c r="F201" s="774"/>
      <c r="G201" s="774"/>
      <c r="H201" s="764"/>
    </row>
    <row r="202" spans="1:8" ht="13.5" thickBot="1">
      <c r="A202" s="79">
        <v>757</v>
      </c>
      <c r="B202" s="129"/>
      <c r="C202" s="129"/>
      <c r="D202" s="86" t="s">
        <v>136</v>
      </c>
      <c r="E202" s="104" t="e">
        <f>E203+#REF!</f>
        <v>#REF!</v>
      </c>
      <c r="F202" s="104">
        <f>F203</f>
        <v>629397</v>
      </c>
      <c r="G202" s="104">
        <f>G203</f>
        <v>5200</v>
      </c>
      <c r="H202" s="146">
        <f>H203</f>
        <v>634597</v>
      </c>
    </row>
    <row r="203" spans="1:8" ht="12.75">
      <c r="A203" s="114"/>
      <c r="B203" s="80">
        <v>75702</v>
      </c>
      <c r="C203" s="80"/>
      <c r="D203" s="131" t="s">
        <v>137</v>
      </c>
      <c r="E203" s="773">
        <f>SUM(E206:E206)</f>
        <v>630000</v>
      </c>
      <c r="F203" s="773">
        <f>SUM(F204:F206)</f>
        <v>629397</v>
      </c>
      <c r="G203" s="773">
        <f>SUM(G204:G206)</f>
        <v>5200</v>
      </c>
      <c r="H203" s="763">
        <f>SUM(H204:H206)</f>
        <v>634597</v>
      </c>
    </row>
    <row r="204" spans="1:8" ht="12.75">
      <c r="A204" s="114"/>
      <c r="B204" s="110"/>
      <c r="C204" s="110">
        <v>4310</v>
      </c>
      <c r="D204" s="126" t="s">
        <v>778</v>
      </c>
      <c r="E204" s="774"/>
      <c r="F204" s="774">
        <v>0</v>
      </c>
      <c r="G204" s="774">
        <v>5200</v>
      </c>
      <c r="H204" s="764">
        <f>F204+G204</f>
        <v>5200</v>
      </c>
    </row>
    <row r="205" spans="1:8" ht="12.75">
      <c r="A205" s="114"/>
      <c r="B205" s="110"/>
      <c r="C205" s="110"/>
      <c r="D205" s="126" t="s">
        <v>779</v>
      </c>
      <c r="E205" s="774"/>
      <c r="F205" s="774"/>
      <c r="G205" s="774"/>
      <c r="H205" s="764"/>
    </row>
    <row r="206" spans="1:8" ht="12.75">
      <c r="A206" s="114"/>
      <c r="B206" s="110"/>
      <c r="C206" s="110">
        <v>8070</v>
      </c>
      <c r="D206" s="126" t="s">
        <v>138</v>
      </c>
      <c r="E206" s="774">
        <v>630000</v>
      </c>
      <c r="F206" s="774">
        <v>629397</v>
      </c>
      <c r="G206" s="774"/>
      <c r="H206" s="764">
        <f>F206+G206</f>
        <v>629397</v>
      </c>
    </row>
    <row r="207" spans="1:8" ht="12.75">
      <c r="A207" s="114"/>
      <c r="B207" s="110"/>
      <c r="C207" s="110"/>
      <c r="D207" s="126"/>
      <c r="E207" s="774"/>
      <c r="F207" s="774"/>
      <c r="G207" s="774"/>
      <c r="H207" s="764"/>
    </row>
    <row r="208" spans="1:8" ht="13.5" thickBot="1">
      <c r="A208" s="79">
        <v>758</v>
      </c>
      <c r="B208" s="129"/>
      <c r="C208" s="129"/>
      <c r="D208" s="86" t="s">
        <v>139</v>
      </c>
      <c r="E208" s="104">
        <f aca="true" t="shared" si="7" ref="E208:H209">E209</f>
        <v>0</v>
      </c>
      <c r="F208" s="104">
        <f t="shared" si="7"/>
        <v>951593</v>
      </c>
      <c r="G208" s="104">
        <f t="shared" si="7"/>
        <v>0</v>
      </c>
      <c r="H208" s="146">
        <f t="shared" si="7"/>
        <v>951593</v>
      </c>
    </row>
    <row r="209" spans="1:8" ht="12.75">
      <c r="A209" s="114"/>
      <c r="B209" s="80">
        <v>75818</v>
      </c>
      <c r="C209" s="80"/>
      <c r="D209" s="131" t="s">
        <v>140</v>
      </c>
      <c r="E209" s="773">
        <f t="shared" si="7"/>
        <v>0</v>
      </c>
      <c r="F209" s="773">
        <f t="shared" si="7"/>
        <v>951593</v>
      </c>
      <c r="G209" s="773">
        <f t="shared" si="7"/>
        <v>0</v>
      </c>
      <c r="H209" s="763">
        <f t="shared" si="7"/>
        <v>951593</v>
      </c>
    </row>
    <row r="210" spans="1:8" ht="12.75">
      <c r="A210" s="114"/>
      <c r="B210" s="110"/>
      <c r="C210" s="110">
        <v>4810</v>
      </c>
      <c r="D210" s="126" t="s">
        <v>141</v>
      </c>
      <c r="E210" s="774">
        <v>0</v>
      </c>
      <c r="F210" s="774">
        <v>951593</v>
      </c>
      <c r="G210" s="774"/>
      <c r="H210" s="764">
        <f>F210+G210</f>
        <v>951593</v>
      </c>
    </row>
    <row r="211" spans="1:8" ht="12.75">
      <c r="A211" s="114"/>
      <c r="B211" s="110"/>
      <c r="C211" s="110"/>
      <c r="D211" s="126"/>
      <c r="E211" s="774"/>
      <c r="F211" s="774"/>
      <c r="G211" s="774"/>
      <c r="H211" s="764"/>
    </row>
    <row r="212" spans="1:8" ht="13.5" thickBot="1">
      <c r="A212" s="79">
        <v>801</v>
      </c>
      <c r="B212" s="129"/>
      <c r="C212" s="129"/>
      <c r="D212" s="86" t="s">
        <v>142</v>
      </c>
      <c r="E212" s="104">
        <f>E213+E227+E243+E267+E295+E302+E314</f>
        <v>6876770</v>
      </c>
      <c r="F212" s="104">
        <f>F213+F227+F243+F267+F295+F302+F314</f>
        <v>7616601</v>
      </c>
      <c r="G212" s="104">
        <f>G213+G227+G243+G267+G295+G302+G314</f>
        <v>65573</v>
      </c>
      <c r="H212" s="146">
        <f>H213+H227+H243+H267+H295+H302+H314</f>
        <v>7682174</v>
      </c>
    </row>
    <row r="213" spans="1:8" ht="12.75">
      <c r="A213" s="114"/>
      <c r="B213" s="80">
        <v>80101</v>
      </c>
      <c r="C213" s="80"/>
      <c r="D213" s="131" t="s">
        <v>143</v>
      </c>
      <c r="E213" s="773">
        <f>SUM(E214:E225)</f>
        <v>88232</v>
      </c>
      <c r="F213" s="773">
        <f>SUM(F214:F225)</f>
        <v>119964</v>
      </c>
      <c r="G213" s="773">
        <f>SUM(G214:G225)</f>
        <v>0</v>
      </c>
      <c r="H213" s="763">
        <f>SUM(H214:H225)</f>
        <v>119964</v>
      </c>
    </row>
    <row r="214" spans="1:8" ht="12.75">
      <c r="A214" s="114"/>
      <c r="B214" s="110"/>
      <c r="C214" s="110">
        <v>3020</v>
      </c>
      <c r="D214" s="126" t="s">
        <v>81</v>
      </c>
      <c r="E214" s="774">
        <v>4815</v>
      </c>
      <c r="F214" s="774">
        <v>4188</v>
      </c>
      <c r="G214" s="774"/>
      <c r="H214" s="764">
        <f>F214+G214</f>
        <v>4188</v>
      </c>
    </row>
    <row r="215" spans="1:10" ht="12.75">
      <c r="A215" s="114"/>
      <c r="B215" s="110"/>
      <c r="C215" s="110">
        <v>4010</v>
      </c>
      <c r="D215" s="126" t="s">
        <v>82</v>
      </c>
      <c r="E215" s="774">
        <v>53871</v>
      </c>
      <c r="F215" s="774">
        <v>49577</v>
      </c>
      <c r="G215" s="774"/>
      <c r="H215" s="764">
        <f aca="true" t="shared" si="8" ref="H215:H225">F215+G215</f>
        <v>49577</v>
      </c>
      <c r="J215" s="91">
        <f>SUM(F215:F218)</f>
        <v>65377</v>
      </c>
    </row>
    <row r="216" spans="1:8" ht="12.75">
      <c r="A216" s="114"/>
      <c r="B216" s="110"/>
      <c r="C216" s="110">
        <v>4040</v>
      </c>
      <c r="D216" s="126" t="s">
        <v>83</v>
      </c>
      <c r="E216" s="774">
        <v>3779</v>
      </c>
      <c r="F216" s="774">
        <v>4477</v>
      </c>
      <c r="G216" s="774"/>
      <c r="H216" s="764">
        <f t="shared" si="8"/>
        <v>4477</v>
      </c>
    </row>
    <row r="217" spans="1:8" ht="12.75">
      <c r="A217" s="114"/>
      <c r="B217" s="110"/>
      <c r="C217" s="110">
        <v>4110</v>
      </c>
      <c r="D217" s="126" t="s">
        <v>84</v>
      </c>
      <c r="E217" s="774">
        <v>10339</v>
      </c>
      <c r="F217" s="774">
        <v>9948</v>
      </c>
      <c r="G217" s="774"/>
      <c r="H217" s="764">
        <f t="shared" si="8"/>
        <v>9948</v>
      </c>
    </row>
    <row r="218" spans="1:8" ht="12.75">
      <c r="A218" s="114"/>
      <c r="B218" s="110"/>
      <c r="C218" s="110">
        <v>4120</v>
      </c>
      <c r="D218" s="126" t="s">
        <v>85</v>
      </c>
      <c r="E218" s="774">
        <v>1469</v>
      </c>
      <c r="F218" s="774">
        <v>1375</v>
      </c>
      <c r="G218" s="774"/>
      <c r="H218" s="764">
        <f t="shared" si="8"/>
        <v>1375</v>
      </c>
    </row>
    <row r="219" spans="1:8" ht="12.75">
      <c r="A219" s="114"/>
      <c r="B219" s="110"/>
      <c r="C219" s="110">
        <v>4210</v>
      </c>
      <c r="D219" s="126" t="s">
        <v>87</v>
      </c>
      <c r="E219" s="774">
        <v>4500</v>
      </c>
      <c r="F219" s="774">
        <v>38257</v>
      </c>
      <c r="G219" s="774"/>
      <c r="H219" s="764">
        <f t="shared" si="8"/>
        <v>38257</v>
      </c>
    </row>
    <row r="220" spans="1:8" ht="12.75">
      <c r="A220" s="114"/>
      <c r="B220" s="110"/>
      <c r="C220" s="110">
        <v>4240</v>
      </c>
      <c r="D220" s="126" t="s">
        <v>144</v>
      </c>
      <c r="E220" s="774">
        <v>500</v>
      </c>
      <c r="F220" s="774">
        <v>1622</v>
      </c>
      <c r="G220" s="774"/>
      <c r="H220" s="764">
        <f t="shared" si="8"/>
        <v>1622</v>
      </c>
    </row>
    <row r="221" spans="1:8" ht="12.75">
      <c r="A221" s="114"/>
      <c r="B221" s="110"/>
      <c r="C221" s="110">
        <v>4260</v>
      </c>
      <c r="D221" s="126" t="s">
        <v>88</v>
      </c>
      <c r="E221" s="774">
        <v>2420</v>
      </c>
      <c r="F221" s="774">
        <v>3970</v>
      </c>
      <c r="G221" s="774"/>
      <c r="H221" s="764">
        <f t="shared" si="8"/>
        <v>3970</v>
      </c>
    </row>
    <row r="222" spans="1:8" ht="12.75">
      <c r="A222" s="114"/>
      <c r="B222" s="110"/>
      <c r="C222" s="110">
        <v>4270</v>
      </c>
      <c r="D222" s="126" t="s">
        <v>89</v>
      </c>
      <c r="E222" s="774">
        <v>500</v>
      </c>
      <c r="F222" s="774">
        <v>1500</v>
      </c>
      <c r="G222" s="774"/>
      <c r="H222" s="764">
        <f t="shared" si="8"/>
        <v>1500</v>
      </c>
    </row>
    <row r="223" spans="1:8" ht="12.75">
      <c r="A223" s="114"/>
      <c r="B223" s="110"/>
      <c r="C223" s="110">
        <v>4300</v>
      </c>
      <c r="D223" s="126" t="s">
        <v>76</v>
      </c>
      <c r="E223" s="774">
        <v>1447</v>
      </c>
      <c r="F223" s="774">
        <v>1000</v>
      </c>
      <c r="G223" s="774"/>
      <c r="H223" s="764">
        <f t="shared" si="8"/>
        <v>1000</v>
      </c>
    </row>
    <row r="224" spans="1:8" ht="12.75">
      <c r="A224" s="114"/>
      <c r="B224" s="110"/>
      <c r="C224" s="110">
        <v>4410</v>
      </c>
      <c r="D224" s="126" t="s">
        <v>94</v>
      </c>
      <c r="E224" s="774">
        <v>700</v>
      </c>
      <c r="F224" s="774">
        <v>100</v>
      </c>
      <c r="G224" s="774"/>
      <c r="H224" s="764">
        <f t="shared" si="8"/>
        <v>100</v>
      </c>
    </row>
    <row r="225" spans="1:8" ht="12.75">
      <c r="A225" s="114"/>
      <c r="B225" s="110"/>
      <c r="C225" s="110">
        <v>4440</v>
      </c>
      <c r="D225" s="126" t="s">
        <v>96</v>
      </c>
      <c r="E225" s="774">
        <v>3892</v>
      </c>
      <c r="F225" s="774">
        <v>3950</v>
      </c>
      <c r="G225" s="774"/>
      <c r="H225" s="764">
        <f t="shared" si="8"/>
        <v>3950</v>
      </c>
    </row>
    <row r="226" spans="1:8" ht="12.75">
      <c r="A226" s="114"/>
      <c r="B226" s="110"/>
      <c r="C226" s="110"/>
      <c r="D226" s="126"/>
      <c r="E226" s="774"/>
      <c r="F226" s="774"/>
      <c r="G226" s="774"/>
      <c r="H226" s="764"/>
    </row>
    <row r="227" spans="1:8" ht="12.75">
      <c r="A227" s="123"/>
      <c r="B227" s="80">
        <v>80110</v>
      </c>
      <c r="C227" s="80"/>
      <c r="D227" s="131" t="s">
        <v>145</v>
      </c>
      <c r="E227" s="773">
        <f>SUM(E228:E241)</f>
        <v>373330</v>
      </c>
      <c r="F227" s="773">
        <f>SUM(F228:F241)</f>
        <v>610724</v>
      </c>
      <c r="G227" s="773">
        <f>SUM(G228:G241)</f>
        <v>8000</v>
      </c>
      <c r="H227" s="763">
        <f>SUM(H228:H241)</f>
        <v>618724</v>
      </c>
    </row>
    <row r="228" spans="1:8" ht="12.75">
      <c r="A228" s="123"/>
      <c r="B228" s="110"/>
      <c r="C228" s="110">
        <v>3020</v>
      </c>
      <c r="D228" s="126" t="s">
        <v>81</v>
      </c>
      <c r="E228" s="774">
        <v>13293</v>
      </c>
      <c r="F228" s="774">
        <v>14614</v>
      </c>
      <c r="G228" s="774"/>
      <c r="H228" s="764">
        <f>F228+G228</f>
        <v>14614</v>
      </c>
    </row>
    <row r="229" spans="1:10" ht="12.75">
      <c r="A229" s="123"/>
      <c r="B229" s="110"/>
      <c r="C229" s="110">
        <v>4010</v>
      </c>
      <c r="D229" s="126" t="s">
        <v>82</v>
      </c>
      <c r="E229" s="774">
        <v>231232</v>
      </c>
      <c r="F229" s="774">
        <v>241726</v>
      </c>
      <c r="G229" s="774">
        <v>6900</v>
      </c>
      <c r="H229" s="764">
        <f aca="true" t="shared" si="9" ref="H229:H240">F229+G229</f>
        <v>248626</v>
      </c>
      <c r="J229" s="91">
        <f>SUM(F229:F232)</f>
        <v>317005</v>
      </c>
    </row>
    <row r="230" spans="1:8" ht="12.75">
      <c r="A230" s="123"/>
      <c r="B230" s="110"/>
      <c r="C230" s="110">
        <v>4040</v>
      </c>
      <c r="D230" s="126" t="s">
        <v>83</v>
      </c>
      <c r="E230" s="774">
        <v>15237</v>
      </c>
      <c r="F230" s="774">
        <v>19294</v>
      </c>
      <c r="G230" s="774"/>
      <c r="H230" s="764">
        <f t="shared" si="9"/>
        <v>19294</v>
      </c>
    </row>
    <row r="231" spans="1:8" ht="12.75">
      <c r="A231" s="123"/>
      <c r="B231" s="110"/>
      <c r="C231" s="110">
        <v>4110</v>
      </c>
      <c r="D231" s="126" t="s">
        <v>84</v>
      </c>
      <c r="E231" s="774">
        <v>44191</v>
      </c>
      <c r="F231" s="774">
        <v>49126</v>
      </c>
      <c r="G231" s="774">
        <v>1000</v>
      </c>
      <c r="H231" s="764">
        <f t="shared" si="9"/>
        <v>50126</v>
      </c>
    </row>
    <row r="232" spans="1:8" ht="12.75">
      <c r="A232" s="123"/>
      <c r="B232" s="110"/>
      <c r="C232" s="110">
        <v>4120</v>
      </c>
      <c r="D232" s="126" t="s">
        <v>85</v>
      </c>
      <c r="E232" s="774">
        <v>6162</v>
      </c>
      <c r="F232" s="774">
        <v>6859</v>
      </c>
      <c r="G232" s="774">
        <v>100</v>
      </c>
      <c r="H232" s="764">
        <f t="shared" si="9"/>
        <v>6959</v>
      </c>
    </row>
    <row r="233" spans="1:8" ht="12.75">
      <c r="A233" s="123"/>
      <c r="B233" s="110"/>
      <c r="C233" s="110">
        <v>4210</v>
      </c>
      <c r="D233" s="126" t="s">
        <v>87</v>
      </c>
      <c r="E233" s="774">
        <v>6820</v>
      </c>
      <c r="F233" s="774">
        <v>40470</v>
      </c>
      <c r="G233" s="774"/>
      <c r="H233" s="764">
        <f t="shared" si="9"/>
        <v>40470</v>
      </c>
    </row>
    <row r="234" spans="1:8" ht="12.75">
      <c r="A234" s="123"/>
      <c r="B234" s="110"/>
      <c r="C234" s="110">
        <v>4240</v>
      </c>
      <c r="D234" s="126" t="s">
        <v>146</v>
      </c>
      <c r="E234" s="774">
        <v>1000</v>
      </c>
      <c r="F234" s="774">
        <v>57300</v>
      </c>
      <c r="G234" s="774"/>
      <c r="H234" s="764">
        <f t="shared" si="9"/>
        <v>57300</v>
      </c>
    </row>
    <row r="235" spans="1:8" ht="12.75">
      <c r="A235" s="123"/>
      <c r="B235" s="110"/>
      <c r="C235" s="110">
        <v>4260</v>
      </c>
      <c r="D235" s="126" t="s">
        <v>88</v>
      </c>
      <c r="E235" s="774">
        <v>3000</v>
      </c>
      <c r="F235" s="774">
        <v>6000</v>
      </c>
      <c r="G235" s="774"/>
      <c r="H235" s="764">
        <f t="shared" si="9"/>
        <v>6000</v>
      </c>
    </row>
    <row r="236" spans="1:8" ht="12.75">
      <c r="A236" s="123"/>
      <c r="B236" s="110"/>
      <c r="C236" s="110">
        <v>4270</v>
      </c>
      <c r="D236" s="126" t="s">
        <v>89</v>
      </c>
      <c r="E236" s="774">
        <v>20373</v>
      </c>
      <c r="F236" s="774">
        <v>143971</v>
      </c>
      <c r="G236" s="774"/>
      <c r="H236" s="764">
        <f t="shared" si="9"/>
        <v>143971</v>
      </c>
    </row>
    <row r="237" spans="1:8" ht="12.75">
      <c r="A237" s="123"/>
      <c r="B237" s="110"/>
      <c r="C237" s="110">
        <v>4300</v>
      </c>
      <c r="D237" s="126" t="s">
        <v>76</v>
      </c>
      <c r="E237" s="774">
        <v>6034</v>
      </c>
      <c r="F237" s="774">
        <v>1000</v>
      </c>
      <c r="G237" s="774"/>
      <c r="H237" s="764">
        <f t="shared" si="9"/>
        <v>1000</v>
      </c>
    </row>
    <row r="238" spans="1:8" ht="12.75">
      <c r="A238" s="123"/>
      <c r="B238" s="110"/>
      <c r="C238" s="110">
        <v>4350</v>
      </c>
      <c r="D238" s="126" t="s">
        <v>130</v>
      </c>
      <c r="E238" s="774">
        <v>0</v>
      </c>
      <c r="F238" s="774">
        <v>2121</v>
      </c>
      <c r="G238" s="774"/>
      <c r="H238" s="764">
        <f t="shared" si="9"/>
        <v>2121</v>
      </c>
    </row>
    <row r="239" spans="1:8" ht="12.75">
      <c r="A239" s="123"/>
      <c r="B239" s="110"/>
      <c r="C239" s="110">
        <v>4370</v>
      </c>
      <c r="D239" s="126" t="s">
        <v>93</v>
      </c>
      <c r="E239" s="774">
        <v>0</v>
      </c>
      <c r="F239" s="774">
        <v>1000</v>
      </c>
      <c r="G239" s="774"/>
      <c r="H239" s="764">
        <f t="shared" si="9"/>
        <v>1000</v>
      </c>
    </row>
    <row r="240" spans="1:8" ht="12.75">
      <c r="A240" s="123"/>
      <c r="B240" s="110"/>
      <c r="C240" s="110">
        <v>4410</v>
      </c>
      <c r="D240" s="126" t="s">
        <v>94</v>
      </c>
      <c r="E240" s="774">
        <v>500</v>
      </c>
      <c r="F240" s="774">
        <v>200</v>
      </c>
      <c r="G240" s="774"/>
      <c r="H240" s="764">
        <f t="shared" si="9"/>
        <v>200</v>
      </c>
    </row>
    <row r="241" spans="1:8" ht="12.75">
      <c r="A241" s="123"/>
      <c r="B241" s="110"/>
      <c r="C241" s="110">
        <v>4440</v>
      </c>
      <c r="D241" s="126" t="s">
        <v>96</v>
      </c>
      <c r="E241" s="774">
        <v>25488</v>
      </c>
      <c r="F241" s="774">
        <v>27043</v>
      </c>
      <c r="G241" s="774"/>
      <c r="H241" s="764">
        <f>F241+G241</f>
        <v>27043</v>
      </c>
    </row>
    <row r="242" spans="1:8" ht="12.75">
      <c r="A242" s="123"/>
      <c r="B242" s="110"/>
      <c r="C242" s="110"/>
      <c r="D242" s="126"/>
      <c r="E242" s="774"/>
      <c r="F242" s="774"/>
      <c r="G242" s="774"/>
      <c r="H242" s="764"/>
    </row>
    <row r="243" spans="1:8" ht="12.75">
      <c r="A243" s="123"/>
      <c r="B243" s="80">
        <v>80120</v>
      </c>
      <c r="C243" s="80"/>
      <c r="D243" s="131" t="s">
        <v>147</v>
      </c>
      <c r="E243" s="773">
        <f>SUM(E244:E265)</f>
        <v>2150137</v>
      </c>
      <c r="F243" s="773">
        <f>SUM(F244:F265)</f>
        <v>2291509</v>
      </c>
      <c r="G243" s="773">
        <f>SUM(G244:G265)</f>
        <v>-14370</v>
      </c>
      <c r="H243" s="763">
        <f>SUM(H244:H265)</f>
        <v>2277139</v>
      </c>
    </row>
    <row r="244" spans="1:8" ht="12.75">
      <c r="A244" s="123"/>
      <c r="B244" s="110"/>
      <c r="C244" s="110">
        <v>3020</v>
      </c>
      <c r="D244" s="126" t="s">
        <v>81</v>
      </c>
      <c r="E244" s="774">
        <v>5835</v>
      </c>
      <c r="F244" s="774">
        <v>6487</v>
      </c>
      <c r="G244" s="774"/>
      <c r="H244" s="764">
        <f>F244+G244</f>
        <v>6487</v>
      </c>
    </row>
    <row r="245" spans="1:10" ht="12.75">
      <c r="A245" s="123"/>
      <c r="B245" s="110"/>
      <c r="C245" s="110">
        <v>4010</v>
      </c>
      <c r="D245" s="126" t="s">
        <v>82</v>
      </c>
      <c r="E245" s="774">
        <v>1375187</v>
      </c>
      <c r="F245" s="774">
        <v>1462263</v>
      </c>
      <c r="G245" s="774">
        <v>-12800</v>
      </c>
      <c r="H245" s="764">
        <f aca="true" t="shared" si="10" ref="H245:H265">F245+G245</f>
        <v>1449463</v>
      </c>
      <c r="J245" s="91">
        <f>SUM(F245:F249)</f>
        <v>1879629</v>
      </c>
    </row>
    <row r="246" spans="1:8" ht="12.75">
      <c r="A246" s="123"/>
      <c r="B246" s="110"/>
      <c r="C246" s="110">
        <v>4040</v>
      </c>
      <c r="D246" s="126" t="s">
        <v>83</v>
      </c>
      <c r="E246" s="774">
        <v>109324</v>
      </c>
      <c r="F246" s="774">
        <v>107154</v>
      </c>
      <c r="G246" s="774"/>
      <c r="H246" s="764">
        <f t="shared" si="10"/>
        <v>107154</v>
      </c>
    </row>
    <row r="247" spans="1:8" ht="12.75">
      <c r="A247" s="123"/>
      <c r="B247" s="110"/>
      <c r="C247" s="110">
        <v>4110</v>
      </c>
      <c r="D247" s="126" t="s">
        <v>84</v>
      </c>
      <c r="E247" s="774">
        <v>250240</v>
      </c>
      <c r="F247" s="774">
        <v>269415</v>
      </c>
      <c r="G247" s="774">
        <v>-3500</v>
      </c>
      <c r="H247" s="764">
        <f t="shared" si="10"/>
        <v>265915</v>
      </c>
    </row>
    <row r="248" spans="1:8" ht="12.75">
      <c r="A248" s="123"/>
      <c r="B248" s="110"/>
      <c r="C248" s="110">
        <v>4120</v>
      </c>
      <c r="D248" s="126" t="s">
        <v>85</v>
      </c>
      <c r="E248" s="774">
        <v>36239</v>
      </c>
      <c r="F248" s="774">
        <v>37797</v>
      </c>
      <c r="G248" s="774">
        <v>-320</v>
      </c>
      <c r="H248" s="764">
        <f t="shared" si="10"/>
        <v>37477</v>
      </c>
    </row>
    <row r="249" spans="1:8" ht="12.75">
      <c r="A249" s="123"/>
      <c r="B249" s="110"/>
      <c r="C249" s="110">
        <v>4170</v>
      </c>
      <c r="D249" s="126" t="s">
        <v>86</v>
      </c>
      <c r="E249" s="774">
        <v>7500</v>
      </c>
      <c r="F249" s="774">
        <v>3000</v>
      </c>
      <c r="G249" s="774"/>
      <c r="H249" s="764">
        <f t="shared" si="10"/>
        <v>3000</v>
      </c>
    </row>
    <row r="250" spans="1:8" ht="12.75">
      <c r="A250" s="123"/>
      <c r="B250" s="110"/>
      <c r="C250" s="110">
        <v>4210</v>
      </c>
      <c r="D250" s="126" t="s">
        <v>87</v>
      </c>
      <c r="E250" s="774">
        <v>20060</v>
      </c>
      <c r="F250" s="774">
        <v>13626</v>
      </c>
      <c r="G250" s="774"/>
      <c r="H250" s="764">
        <f t="shared" si="10"/>
        <v>13626</v>
      </c>
    </row>
    <row r="251" spans="1:8" ht="12.75">
      <c r="A251" s="123"/>
      <c r="B251" s="110"/>
      <c r="C251" s="110">
        <v>4240</v>
      </c>
      <c r="D251" s="126" t="s">
        <v>146</v>
      </c>
      <c r="E251" s="774">
        <v>2537</v>
      </c>
      <c r="F251" s="774">
        <v>1750</v>
      </c>
      <c r="G251" s="774"/>
      <c r="H251" s="764">
        <f t="shared" si="10"/>
        <v>1750</v>
      </c>
    </row>
    <row r="252" spans="1:8" ht="12.75">
      <c r="A252" s="123"/>
      <c r="B252" s="110"/>
      <c r="C252" s="110">
        <v>4260</v>
      </c>
      <c r="D252" s="126" t="s">
        <v>88</v>
      </c>
      <c r="E252" s="124">
        <v>73453</v>
      </c>
      <c r="F252" s="774">
        <v>73800</v>
      </c>
      <c r="G252" s="774"/>
      <c r="H252" s="764">
        <f t="shared" si="10"/>
        <v>73800</v>
      </c>
    </row>
    <row r="253" spans="1:10" ht="12.75">
      <c r="A253" s="123"/>
      <c r="B253" s="110"/>
      <c r="C253" s="110">
        <v>4270</v>
      </c>
      <c r="D253" s="126" t="s">
        <v>89</v>
      </c>
      <c r="E253" s="774">
        <v>149839</v>
      </c>
      <c r="F253" s="774">
        <v>159070</v>
      </c>
      <c r="G253" s="774"/>
      <c r="H253" s="764">
        <f t="shared" si="10"/>
        <v>159070</v>
      </c>
      <c r="J253" s="91">
        <f>SUM(F244:F261)</f>
        <v>2264869</v>
      </c>
    </row>
    <row r="254" spans="1:8" ht="12.75">
      <c r="A254" s="123"/>
      <c r="B254" s="110"/>
      <c r="C254" s="110">
        <v>4280</v>
      </c>
      <c r="D254" s="126" t="s">
        <v>90</v>
      </c>
      <c r="E254" s="774">
        <v>700</v>
      </c>
      <c r="F254" s="774">
        <v>700</v>
      </c>
      <c r="G254" s="774"/>
      <c r="H254" s="764">
        <f t="shared" si="10"/>
        <v>700</v>
      </c>
    </row>
    <row r="255" spans="1:8" ht="12.75">
      <c r="A255" s="123"/>
      <c r="B255" s="126"/>
      <c r="C255" s="110">
        <v>4300</v>
      </c>
      <c r="D255" s="126" t="s">
        <v>76</v>
      </c>
      <c r="E255" s="774">
        <v>16111</v>
      </c>
      <c r="F255" s="774">
        <v>24590</v>
      </c>
      <c r="G255" s="774"/>
      <c r="H255" s="764">
        <f t="shared" si="10"/>
        <v>24590</v>
      </c>
    </row>
    <row r="256" spans="1:8" ht="12.75">
      <c r="A256" s="123"/>
      <c r="B256" s="126"/>
      <c r="C256" s="110">
        <v>4350</v>
      </c>
      <c r="D256" s="126" t="s">
        <v>130</v>
      </c>
      <c r="E256" s="774">
        <v>600</v>
      </c>
      <c r="F256" s="774">
        <v>990</v>
      </c>
      <c r="G256" s="774"/>
      <c r="H256" s="764">
        <f t="shared" si="10"/>
        <v>990</v>
      </c>
    </row>
    <row r="257" spans="1:8" ht="12.75">
      <c r="A257" s="123"/>
      <c r="B257" s="126"/>
      <c r="C257" s="110">
        <v>4360</v>
      </c>
      <c r="D257" s="126" t="s">
        <v>92</v>
      </c>
      <c r="E257" s="774">
        <v>0</v>
      </c>
      <c r="F257" s="774">
        <v>0</v>
      </c>
      <c r="G257" s="774"/>
      <c r="H257" s="764">
        <f t="shared" si="10"/>
        <v>0</v>
      </c>
    </row>
    <row r="258" spans="1:8" ht="12.75">
      <c r="A258" s="123"/>
      <c r="B258" s="126"/>
      <c r="C258" s="110">
        <v>4370</v>
      </c>
      <c r="D258" s="126" t="s">
        <v>93</v>
      </c>
      <c r="E258" s="774">
        <v>0</v>
      </c>
      <c r="F258" s="774">
        <v>4200</v>
      </c>
      <c r="G258" s="774"/>
      <c r="H258" s="764">
        <f t="shared" si="10"/>
        <v>4200</v>
      </c>
    </row>
    <row r="259" spans="1:8" ht="12.75">
      <c r="A259" s="123"/>
      <c r="B259" s="126"/>
      <c r="C259" s="110">
        <v>4410</v>
      </c>
      <c r="D259" s="126" t="s">
        <v>94</v>
      </c>
      <c r="E259" s="774">
        <v>4000</v>
      </c>
      <c r="F259" s="774">
        <v>3000</v>
      </c>
      <c r="G259" s="774"/>
      <c r="H259" s="764">
        <f>F259+G259</f>
        <v>3000</v>
      </c>
    </row>
    <row r="260" spans="1:8" ht="12.75">
      <c r="A260" s="123"/>
      <c r="B260" s="126"/>
      <c r="C260" s="110">
        <v>4430</v>
      </c>
      <c r="D260" s="126" t="s">
        <v>95</v>
      </c>
      <c r="E260" s="774">
        <v>7761</v>
      </c>
      <c r="F260" s="774">
        <v>8500</v>
      </c>
      <c r="G260" s="774">
        <v>2250</v>
      </c>
      <c r="H260" s="764">
        <f t="shared" si="10"/>
        <v>10750</v>
      </c>
    </row>
    <row r="261" spans="1:8" ht="12.75">
      <c r="A261" s="123"/>
      <c r="B261" s="126"/>
      <c r="C261" s="110">
        <v>4440</v>
      </c>
      <c r="D261" s="126" t="s">
        <v>96</v>
      </c>
      <c r="E261" s="774">
        <v>90751</v>
      </c>
      <c r="F261" s="774">
        <v>88527</v>
      </c>
      <c r="G261" s="774"/>
      <c r="H261" s="764">
        <f t="shared" si="10"/>
        <v>88527</v>
      </c>
    </row>
    <row r="262" spans="1:8" ht="12.75">
      <c r="A262" s="123"/>
      <c r="B262" s="126"/>
      <c r="C262" s="110">
        <v>4700</v>
      </c>
      <c r="D262" s="126" t="s">
        <v>115</v>
      </c>
      <c r="E262" s="774"/>
      <c r="F262" s="774">
        <v>260</v>
      </c>
      <c r="G262" s="774"/>
      <c r="H262" s="764">
        <f t="shared" si="10"/>
        <v>260</v>
      </c>
    </row>
    <row r="263" spans="1:8" ht="12.75">
      <c r="A263" s="123"/>
      <c r="B263" s="126"/>
      <c r="C263" s="110">
        <v>4740</v>
      </c>
      <c r="D263" s="126" t="s">
        <v>124</v>
      </c>
      <c r="E263" s="774">
        <v>0</v>
      </c>
      <c r="F263" s="774">
        <v>4380</v>
      </c>
      <c r="G263" s="774"/>
      <c r="H263" s="764">
        <f t="shared" si="10"/>
        <v>4380</v>
      </c>
    </row>
    <row r="264" spans="1:8" ht="12.75">
      <c r="A264" s="123"/>
      <c r="B264" s="126"/>
      <c r="C264" s="110">
        <v>4750</v>
      </c>
      <c r="D264" s="126" t="s">
        <v>125</v>
      </c>
      <c r="E264" s="774">
        <v>0</v>
      </c>
      <c r="F264" s="774">
        <v>2000</v>
      </c>
      <c r="G264" s="774"/>
      <c r="H264" s="764">
        <f t="shared" si="10"/>
        <v>2000</v>
      </c>
    </row>
    <row r="265" spans="1:8" ht="12.75">
      <c r="A265" s="123"/>
      <c r="B265" s="126"/>
      <c r="C265" s="110">
        <v>6060</v>
      </c>
      <c r="D265" s="126" t="s">
        <v>148</v>
      </c>
      <c r="E265" s="774">
        <v>0</v>
      </c>
      <c r="F265" s="774">
        <v>20000</v>
      </c>
      <c r="G265" s="774"/>
      <c r="H265" s="764">
        <f t="shared" si="10"/>
        <v>20000</v>
      </c>
    </row>
    <row r="266" spans="1:8" ht="12.75">
      <c r="A266" s="123"/>
      <c r="B266" s="110"/>
      <c r="C266" s="110"/>
      <c r="D266" s="126"/>
      <c r="E266" s="774"/>
      <c r="F266" s="774"/>
      <c r="G266" s="774"/>
      <c r="H266" s="764"/>
    </row>
    <row r="267" spans="1:8" ht="12.75">
      <c r="A267" s="123"/>
      <c r="B267" s="80">
        <v>80130</v>
      </c>
      <c r="C267" s="80"/>
      <c r="D267" s="131" t="s">
        <v>149</v>
      </c>
      <c r="E267" s="773">
        <f>SUM(E268:E292)</f>
        <v>4130896</v>
      </c>
      <c r="F267" s="773">
        <f>SUM(F268:F293)</f>
        <v>4413436</v>
      </c>
      <c r="G267" s="773">
        <f>SUM(G268:G293)</f>
        <v>48932</v>
      </c>
      <c r="H267" s="763">
        <f>SUM(H268:H293)</f>
        <v>4462368</v>
      </c>
    </row>
    <row r="268" spans="1:8" ht="12.75">
      <c r="A268" s="123"/>
      <c r="B268" s="126"/>
      <c r="C268" s="110">
        <v>3020</v>
      </c>
      <c r="D268" s="126" t="s">
        <v>81</v>
      </c>
      <c r="E268" s="774">
        <v>41591</v>
      </c>
      <c r="F268" s="774">
        <v>38173</v>
      </c>
      <c r="G268" s="774"/>
      <c r="H268" s="764">
        <f>F268+G268</f>
        <v>38173</v>
      </c>
    </row>
    <row r="269" spans="1:10" ht="12.75">
      <c r="A269" s="123"/>
      <c r="B269" s="126"/>
      <c r="C269" s="110">
        <v>4010</v>
      </c>
      <c r="D269" s="126" t="s">
        <v>82</v>
      </c>
      <c r="E269" s="774">
        <v>2379698</v>
      </c>
      <c r="F269" s="774">
        <v>2487377</v>
      </c>
      <c r="G269" s="774">
        <f>10000-8000</f>
        <v>2000</v>
      </c>
      <c r="H269" s="764">
        <f aca="true" t="shared" si="11" ref="H269:H293">F269+G269</f>
        <v>2489377</v>
      </c>
      <c r="J269" s="91">
        <f>SUM(F269:F272)</f>
        <v>3202718</v>
      </c>
    </row>
    <row r="270" spans="1:8" ht="12.75">
      <c r="A270" s="123"/>
      <c r="B270" s="126"/>
      <c r="C270" s="110">
        <v>4040</v>
      </c>
      <c r="D270" s="126" t="s">
        <v>83</v>
      </c>
      <c r="E270" s="774">
        <v>194010</v>
      </c>
      <c r="F270" s="774">
        <v>189836</v>
      </c>
      <c r="G270" s="774"/>
      <c r="H270" s="764">
        <f t="shared" si="11"/>
        <v>189836</v>
      </c>
    </row>
    <row r="271" spans="1:8" ht="12.75">
      <c r="A271" s="123"/>
      <c r="B271" s="126"/>
      <c r="C271" s="110">
        <v>4110</v>
      </c>
      <c r="D271" s="126" t="s">
        <v>84</v>
      </c>
      <c r="E271" s="774">
        <v>460914</v>
      </c>
      <c r="F271" s="774">
        <v>461493</v>
      </c>
      <c r="G271" s="774">
        <v>3000</v>
      </c>
      <c r="H271" s="764">
        <f t="shared" si="11"/>
        <v>464493</v>
      </c>
    </row>
    <row r="272" spans="1:8" ht="12.75">
      <c r="A272" s="123"/>
      <c r="B272" s="126"/>
      <c r="C272" s="110">
        <v>4120</v>
      </c>
      <c r="D272" s="126" t="s">
        <v>85</v>
      </c>
      <c r="E272" s="774">
        <v>64933</v>
      </c>
      <c r="F272" s="774">
        <v>64012</v>
      </c>
      <c r="G272" s="774">
        <v>500</v>
      </c>
      <c r="H272" s="764">
        <f t="shared" si="11"/>
        <v>64512</v>
      </c>
    </row>
    <row r="273" spans="1:8" ht="12.75">
      <c r="A273" s="123"/>
      <c r="B273" s="126"/>
      <c r="C273" s="110">
        <v>4170</v>
      </c>
      <c r="D273" s="126" t="s">
        <v>86</v>
      </c>
      <c r="E273" s="774"/>
      <c r="F273" s="774">
        <v>1163</v>
      </c>
      <c r="G273" s="774"/>
      <c r="H273" s="764">
        <f t="shared" si="11"/>
        <v>1163</v>
      </c>
    </row>
    <row r="274" spans="1:8" ht="12.75">
      <c r="A274" s="123"/>
      <c r="B274" s="126"/>
      <c r="C274" s="110">
        <v>4210</v>
      </c>
      <c r="D274" s="126" t="s">
        <v>87</v>
      </c>
      <c r="E274" s="774">
        <v>343744</v>
      </c>
      <c r="F274" s="774">
        <v>256916</v>
      </c>
      <c r="G274" s="774">
        <v>5000</v>
      </c>
      <c r="H274" s="764">
        <f t="shared" si="11"/>
        <v>261916</v>
      </c>
    </row>
    <row r="275" spans="1:8" ht="12.75">
      <c r="A275" s="123"/>
      <c r="B275" s="126"/>
      <c r="C275" s="110">
        <v>4240</v>
      </c>
      <c r="D275" s="126" t="s">
        <v>146</v>
      </c>
      <c r="E275" s="774">
        <v>27318</v>
      </c>
      <c r="F275" s="774">
        <v>159490</v>
      </c>
      <c r="G275" s="774"/>
      <c r="H275" s="764">
        <f t="shared" si="11"/>
        <v>159490</v>
      </c>
    </row>
    <row r="276" spans="1:10" ht="12.75">
      <c r="A276" s="123"/>
      <c r="B276" s="126"/>
      <c r="C276" s="110">
        <v>4260</v>
      </c>
      <c r="D276" s="126" t="s">
        <v>88</v>
      </c>
      <c r="E276" s="774">
        <v>125204</v>
      </c>
      <c r="F276" s="774">
        <v>116880</v>
      </c>
      <c r="G276" s="774"/>
      <c r="H276" s="764">
        <f t="shared" si="11"/>
        <v>116880</v>
      </c>
      <c r="J276" s="91">
        <f>SUM(F268:F287)</f>
        <v>4366663</v>
      </c>
    </row>
    <row r="277" spans="1:8" ht="12.75">
      <c r="A277" s="123"/>
      <c r="B277" s="126"/>
      <c r="C277" s="110">
        <v>4270</v>
      </c>
      <c r="D277" s="126" t="s">
        <v>89</v>
      </c>
      <c r="E277" s="774">
        <v>137666</v>
      </c>
      <c r="F277" s="774">
        <v>263942</v>
      </c>
      <c r="G277" s="774">
        <v>22110</v>
      </c>
      <c r="H277" s="764">
        <f t="shared" si="11"/>
        <v>286052</v>
      </c>
    </row>
    <row r="278" spans="1:8" ht="12.75">
      <c r="A278" s="123"/>
      <c r="B278" s="126"/>
      <c r="C278" s="110">
        <v>4280</v>
      </c>
      <c r="D278" s="126" t="s">
        <v>90</v>
      </c>
      <c r="E278" s="774">
        <v>1800</v>
      </c>
      <c r="F278" s="774">
        <v>1800</v>
      </c>
      <c r="G278" s="774">
        <v>3076</v>
      </c>
      <c r="H278" s="764">
        <f t="shared" si="11"/>
        <v>4876</v>
      </c>
    </row>
    <row r="279" spans="1:8" ht="12.75">
      <c r="A279" s="123"/>
      <c r="B279" s="126"/>
      <c r="C279" s="110">
        <v>4300</v>
      </c>
      <c r="D279" s="126" t="s">
        <v>76</v>
      </c>
      <c r="E279" s="774">
        <v>170655</v>
      </c>
      <c r="F279" s="774">
        <v>89230</v>
      </c>
      <c r="G279" s="774"/>
      <c r="H279" s="764">
        <f t="shared" si="11"/>
        <v>89230</v>
      </c>
    </row>
    <row r="280" spans="1:8" ht="12.75">
      <c r="A280" s="123"/>
      <c r="B280" s="126"/>
      <c r="C280" s="110">
        <v>4350</v>
      </c>
      <c r="D280" s="126" t="s">
        <v>130</v>
      </c>
      <c r="E280" s="774">
        <v>5247</v>
      </c>
      <c r="F280" s="774">
        <v>8407</v>
      </c>
      <c r="G280" s="774"/>
      <c r="H280" s="764">
        <f t="shared" si="11"/>
        <v>8407</v>
      </c>
    </row>
    <row r="281" spans="1:8" ht="12.75">
      <c r="A281" s="123"/>
      <c r="B281" s="126"/>
      <c r="C281" s="110">
        <v>4360</v>
      </c>
      <c r="D281" s="126" t="s">
        <v>92</v>
      </c>
      <c r="E281" s="774">
        <v>0</v>
      </c>
      <c r="F281" s="774">
        <v>0</v>
      </c>
      <c r="G281" s="774"/>
      <c r="H281" s="764">
        <f t="shared" si="11"/>
        <v>0</v>
      </c>
    </row>
    <row r="282" spans="1:8" ht="12.75">
      <c r="A282" s="123"/>
      <c r="B282" s="126"/>
      <c r="C282" s="110">
        <v>4370</v>
      </c>
      <c r="D282" s="126" t="s">
        <v>93</v>
      </c>
      <c r="E282" s="774">
        <v>0</v>
      </c>
      <c r="F282" s="774">
        <v>17050</v>
      </c>
      <c r="G282" s="774"/>
      <c r="H282" s="764">
        <f t="shared" si="11"/>
        <v>17050</v>
      </c>
    </row>
    <row r="283" spans="1:8" ht="12.75">
      <c r="A283" s="123"/>
      <c r="B283" s="126"/>
      <c r="C283" s="110">
        <v>4390</v>
      </c>
      <c r="D283" s="126" t="s">
        <v>739</v>
      </c>
      <c r="E283" s="774"/>
      <c r="F283" s="774">
        <v>500</v>
      </c>
      <c r="G283" s="774"/>
      <c r="H283" s="764">
        <f t="shared" si="11"/>
        <v>500</v>
      </c>
    </row>
    <row r="284" spans="1:8" ht="12.75">
      <c r="A284" s="123"/>
      <c r="B284" s="126"/>
      <c r="C284" s="110">
        <v>4400</v>
      </c>
      <c r="D284" s="126" t="s">
        <v>750</v>
      </c>
      <c r="E284" s="774">
        <v>0</v>
      </c>
      <c r="F284" s="774">
        <v>29818</v>
      </c>
      <c r="G284" s="774"/>
      <c r="H284" s="764">
        <f t="shared" si="11"/>
        <v>29818</v>
      </c>
    </row>
    <row r="285" spans="1:8" ht="12.75">
      <c r="A285" s="123"/>
      <c r="B285" s="126"/>
      <c r="C285" s="110">
        <v>4410</v>
      </c>
      <c r="D285" s="126" t="s">
        <v>94</v>
      </c>
      <c r="E285" s="124">
        <v>4800</v>
      </c>
      <c r="F285" s="774">
        <v>3800</v>
      </c>
      <c r="G285" s="774"/>
      <c r="H285" s="764">
        <f>F285+G285</f>
        <v>3800</v>
      </c>
    </row>
    <row r="286" spans="1:8" ht="12.75">
      <c r="A286" s="123"/>
      <c r="B286" s="126"/>
      <c r="C286" s="110">
        <v>4430</v>
      </c>
      <c r="D286" s="126" t="s">
        <v>95</v>
      </c>
      <c r="E286" s="774">
        <v>17648</v>
      </c>
      <c r="F286" s="774">
        <v>19932</v>
      </c>
      <c r="G286" s="774"/>
      <c r="H286" s="764">
        <f t="shared" si="11"/>
        <v>19932</v>
      </c>
    </row>
    <row r="287" spans="1:8" ht="12.75">
      <c r="A287" s="123"/>
      <c r="B287" s="126"/>
      <c r="C287" s="110">
        <v>4440</v>
      </c>
      <c r="D287" s="126" t="s">
        <v>96</v>
      </c>
      <c r="E287" s="774">
        <v>155668</v>
      </c>
      <c r="F287" s="774">
        <v>156844</v>
      </c>
      <c r="G287" s="774"/>
      <c r="H287" s="764">
        <f t="shared" si="11"/>
        <v>156844</v>
      </c>
    </row>
    <row r="288" spans="1:8" ht="12.75">
      <c r="A288" s="123"/>
      <c r="B288" s="126"/>
      <c r="C288" s="110">
        <v>4530</v>
      </c>
      <c r="D288" s="126" t="s">
        <v>101</v>
      </c>
      <c r="E288" s="774"/>
      <c r="F288" s="774">
        <v>9600</v>
      </c>
      <c r="G288" s="774">
        <v>1496</v>
      </c>
      <c r="H288" s="764">
        <f t="shared" si="11"/>
        <v>11096</v>
      </c>
    </row>
    <row r="289" spans="1:8" ht="12.75">
      <c r="A289" s="123"/>
      <c r="B289" s="126"/>
      <c r="C289" s="110">
        <v>4700</v>
      </c>
      <c r="D289" s="126" t="s">
        <v>115</v>
      </c>
      <c r="E289" s="774"/>
      <c r="F289" s="774">
        <v>300</v>
      </c>
      <c r="G289" s="774"/>
      <c r="H289" s="764">
        <f t="shared" si="11"/>
        <v>300</v>
      </c>
    </row>
    <row r="290" spans="1:8" ht="12.75">
      <c r="A290" s="123"/>
      <c r="B290" s="126"/>
      <c r="C290" s="110">
        <v>4740</v>
      </c>
      <c r="D290" s="126" t="s">
        <v>124</v>
      </c>
      <c r="E290" s="774">
        <v>0</v>
      </c>
      <c r="F290" s="774">
        <v>11680</v>
      </c>
      <c r="G290" s="774"/>
      <c r="H290" s="764">
        <f t="shared" si="11"/>
        <v>11680</v>
      </c>
    </row>
    <row r="291" spans="1:8" ht="12.75">
      <c r="A291" s="123"/>
      <c r="B291" s="126"/>
      <c r="C291" s="110">
        <v>4750</v>
      </c>
      <c r="D291" s="126" t="s">
        <v>125</v>
      </c>
      <c r="E291" s="774">
        <v>0</v>
      </c>
      <c r="F291" s="774">
        <v>11693</v>
      </c>
      <c r="G291" s="774">
        <v>1750</v>
      </c>
      <c r="H291" s="764">
        <f t="shared" si="11"/>
        <v>13443</v>
      </c>
    </row>
    <row r="292" spans="1:8" ht="12.75">
      <c r="A292" s="123"/>
      <c r="B292" s="126"/>
      <c r="C292" s="110">
        <v>6050</v>
      </c>
      <c r="D292" s="126" t="s">
        <v>103</v>
      </c>
      <c r="E292" s="774">
        <v>0</v>
      </c>
      <c r="F292" s="774">
        <v>13500</v>
      </c>
      <c r="G292" s="774"/>
      <c r="H292" s="764">
        <f t="shared" si="11"/>
        <v>13500</v>
      </c>
    </row>
    <row r="293" spans="1:8" ht="12.75">
      <c r="A293" s="123"/>
      <c r="B293" s="126"/>
      <c r="C293" s="110">
        <v>6060</v>
      </c>
      <c r="D293" s="126" t="s">
        <v>104</v>
      </c>
      <c r="E293" s="774"/>
      <c r="F293" s="774">
        <v>0</v>
      </c>
      <c r="G293" s="774">
        <v>10000</v>
      </c>
      <c r="H293" s="764">
        <f t="shared" si="11"/>
        <v>10000</v>
      </c>
    </row>
    <row r="294" spans="1:8" ht="12.75">
      <c r="A294" s="123"/>
      <c r="B294" s="126"/>
      <c r="C294" s="110"/>
      <c r="D294" s="126"/>
      <c r="E294" s="774"/>
      <c r="F294" s="774"/>
      <c r="G294" s="774"/>
      <c r="H294" s="764"/>
    </row>
    <row r="295" spans="1:8" ht="12.75">
      <c r="A295" s="123"/>
      <c r="B295" s="80">
        <v>80146</v>
      </c>
      <c r="C295" s="80"/>
      <c r="D295" s="131" t="s">
        <v>150</v>
      </c>
      <c r="E295" s="773">
        <f>SUM(E297:E297)</f>
        <v>28271</v>
      </c>
      <c r="F295" s="773">
        <f>SUM(F296:F300)</f>
        <v>44780</v>
      </c>
      <c r="G295" s="773">
        <f>SUM(G296:G300)</f>
        <v>0</v>
      </c>
      <c r="H295" s="773">
        <f>SUM(H296:H300)</f>
        <v>44780</v>
      </c>
    </row>
    <row r="296" spans="1:8" ht="12.75">
      <c r="A296" s="123"/>
      <c r="B296" s="110"/>
      <c r="C296" s="110">
        <v>4210</v>
      </c>
      <c r="D296" s="126" t="s">
        <v>87</v>
      </c>
      <c r="E296" s="774"/>
      <c r="F296" s="774">
        <v>612</v>
      </c>
      <c r="G296" s="774"/>
      <c r="H296" s="764">
        <f>F296+G296</f>
        <v>612</v>
      </c>
    </row>
    <row r="297" spans="1:8" ht="12.75">
      <c r="A297" s="123"/>
      <c r="B297" s="110"/>
      <c r="C297" s="110">
        <v>4300</v>
      </c>
      <c r="D297" s="126" t="s">
        <v>76</v>
      </c>
      <c r="E297" s="774">
        <v>28271</v>
      </c>
      <c r="F297" s="774">
        <v>16064</v>
      </c>
      <c r="G297" s="774"/>
      <c r="H297" s="764">
        <f>F297+G297</f>
        <v>16064</v>
      </c>
    </row>
    <row r="298" spans="1:8" ht="12.75">
      <c r="A298" s="123"/>
      <c r="B298" s="110"/>
      <c r="C298" s="110">
        <v>4410</v>
      </c>
      <c r="D298" s="126" t="s">
        <v>94</v>
      </c>
      <c r="E298" s="774"/>
      <c r="F298" s="774">
        <v>800</v>
      </c>
      <c r="G298" s="774"/>
      <c r="H298" s="764">
        <f>F298+G298</f>
        <v>800</v>
      </c>
    </row>
    <row r="299" spans="1:8" ht="12.75">
      <c r="A299" s="123"/>
      <c r="B299" s="110"/>
      <c r="C299" s="110">
        <v>4428</v>
      </c>
      <c r="D299" s="126" t="s">
        <v>128</v>
      </c>
      <c r="E299" s="774"/>
      <c r="F299" s="774">
        <v>2695</v>
      </c>
      <c r="G299" s="774"/>
      <c r="H299" s="764">
        <f>F299+G299</f>
        <v>2695</v>
      </c>
    </row>
    <row r="300" spans="1:8" ht="12.75">
      <c r="A300" s="123"/>
      <c r="B300" s="110"/>
      <c r="C300" s="110">
        <v>4700</v>
      </c>
      <c r="D300" s="126" t="s">
        <v>115</v>
      </c>
      <c r="E300" s="774"/>
      <c r="F300" s="774">
        <v>24609</v>
      </c>
      <c r="G300" s="774"/>
      <c r="H300" s="764">
        <f>F300+G300</f>
        <v>24609</v>
      </c>
    </row>
    <row r="301" spans="1:8" ht="12.75">
      <c r="A301" s="123"/>
      <c r="B301" s="110"/>
      <c r="C301" s="110"/>
      <c r="D301" s="126"/>
      <c r="E301" s="774"/>
      <c r="F301" s="774"/>
      <c r="G301" s="774"/>
      <c r="H301" s="764"/>
    </row>
    <row r="302" spans="1:8" ht="12.75">
      <c r="A302" s="123"/>
      <c r="B302" s="80">
        <v>80195</v>
      </c>
      <c r="C302" s="80"/>
      <c r="D302" s="131" t="s">
        <v>60</v>
      </c>
      <c r="E302" s="773">
        <f>SUM(E303:E311)</f>
        <v>75864</v>
      </c>
      <c r="F302" s="773">
        <f>SUM(F303:F312)</f>
        <v>113190</v>
      </c>
      <c r="G302" s="773">
        <f>SUM(G303:G312)</f>
        <v>23011</v>
      </c>
      <c r="H302" s="763">
        <f>SUM(H303:H312)</f>
        <v>136201</v>
      </c>
    </row>
    <row r="303" spans="1:8" ht="12.75">
      <c r="A303" s="123"/>
      <c r="B303" s="110"/>
      <c r="C303" s="110">
        <v>2820</v>
      </c>
      <c r="D303" s="126" t="s">
        <v>151</v>
      </c>
      <c r="E303" s="774">
        <v>0</v>
      </c>
      <c r="F303" s="774">
        <v>10000</v>
      </c>
      <c r="G303" s="774"/>
      <c r="H303" s="764">
        <f>F303+G303</f>
        <v>10000</v>
      </c>
    </row>
    <row r="304" spans="1:8" ht="12.75">
      <c r="A304" s="123"/>
      <c r="B304" s="110"/>
      <c r="C304" s="110"/>
      <c r="D304" s="126" t="s">
        <v>152</v>
      </c>
      <c r="E304" s="774"/>
      <c r="F304" s="774"/>
      <c r="G304" s="774"/>
      <c r="H304" s="764"/>
    </row>
    <row r="305" spans="1:8" ht="12.75">
      <c r="A305" s="123"/>
      <c r="B305" s="110"/>
      <c r="C305" s="110">
        <v>3030</v>
      </c>
      <c r="D305" s="126" t="s">
        <v>127</v>
      </c>
      <c r="E305" s="774"/>
      <c r="F305" s="774">
        <v>80</v>
      </c>
      <c r="G305" s="774"/>
      <c r="H305" s="764">
        <f aca="true" t="shared" si="12" ref="H305:H312">F305+G305</f>
        <v>80</v>
      </c>
    </row>
    <row r="306" spans="1:8" ht="12.75">
      <c r="A306" s="123"/>
      <c r="B306" s="110"/>
      <c r="C306" s="110">
        <v>4010</v>
      </c>
      <c r="D306" s="126" t="s">
        <v>82</v>
      </c>
      <c r="E306" s="774">
        <v>20081</v>
      </c>
      <c r="F306" s="774">
        <v>36524</v>
      </c>
      <c r="G306" s="774">
        <v>3220</v>
      </c>
      <c r="H306" s="764">
        <f t="shared" si="12"/>
        <v>39744</v>
      </c>
    </row>
    <row r="307" spans="1:8" ht="12.75">
      <c r="A307" s="123"/>
      <c r="B307" s="110"/>
      <c r="C307" s="110">
        <v>4110</v>
      </c>
      <c r="D307" s="126" t="s">
        <v>84</v>
      </c>
      <c r="E307" s="774">
        <v>4307</v>
      </c>
      <c r="F307" s="774">
        <v>7547</v>
      </c>
      <c r="G307" s="774">
        <v>562</v>
      </c>
      <c r="H307" s="764">
        <f t="shared" si="12"/>
        <v>8109</v>
      </c>
    </row>
    <row r="308" spans="1:8" ht="12.75">
      <c r="A308" s="123"/>
      <c r="B308" s="110"/>
      <c r="C308" s="110">
        <v>4120</v>
      </c>
      <c r="D308" s="126" t="s">
        <v>85</v>
      </c>
      <c r="E308" s="774">
        <v>612</v>
      </c>
      <c r="F308" s="774">
        <v>1074</v>
      </c>
      <c r="G308" s="774">
        <v>79</v>
      </c>
      <c r="H308" s="764">
        <f t="shared" si="12"/>
        <v>1153</v>
      </c>
    </row>
    <row r="309" spans="1:8" ht="12.75">
      <c r="A309" s="123"/>
      <c r="B309" s="110"/>
      <c r="C309" s="110">
        <v>4170</v>
      </c>
      <c r="D309" s="126" t="s">
        <v>86</v>
      </c>
      <c r="E309" s="774"/>
      <c r="F309" s="774">
        <v>210</v>
      </c>
      <c r="G309" s="774"/>
      <c r="H309" s="764">
        <f t="shared" si="12"/>
        <v>210</v>
      </c>
    </row>
    <row r="310" spans="1:8" ht="12.75">
      <c r="A310" s="123"/>
      <c r="B310" s="110"/>
      <c r="C310" s="110">
        <v>4210</v>
      </c>
      <c r="D310" s="126" t="s">
        <v>87</v>
      </c>
      <c r="E310" s="774"/>
      <c r="F310" s="774">
        <v>0</v>
      </c>
      <c r="G310" s="774">
        <v>15000</v>
      </c>
      <c r="H310" s="764">
        <f t="shared" si="12"/>
        <v>15000</v>
      </c>
    </row>
    <row r="311" spans="1:8" ht="12.75">
      <c r="A311" s="123"/>
      <c r="B311" s="110"/>
      <c r="C311" s="110">
        <v>4440</v>
      </c>
      <c r="D311" s="126" t="s">
        <v>96</v>
      </c>
      <c r="E311" s="774">
        <v>50864</v>
      </c>
      <c r="F311" s="774">
        <v>57755</v>
      </c>
      <c r="G311" s="774"/>
      <c r="H311" s="764">
        <f t="shared" si="12"/>
        <v>57755</v>
      </c>
    </row>
    <row r="312" spans="1:8" ht="12.75">
      <c r="A312" s="123"/>
      <c r="B312" s="110"/>
      <c r="C312" s="110">
        <v>8550</v>
      </c>
      <c r="D312" s="126" t="s">
        <v>78</v>
      </c>
      <c r="E312" s="774"/>
      <c r="F312" s="774">
        <v>0</v>
      </c>
      <c r="G312" s="774">
        <v>4150</v>
      </c>
      <c r="H312" s="764">
        <f t="shared" si="12"/>
        <v>4150</v>
      </c>
    </row>
    <row r="313" spans="1:8" ht="12.75">
      <c r="A313" s="123"/>
      <c r="B313" s="110"/>
      <c r="C313" s="110"/>
      <c r="D313" s="126"/>
      <c r="E313" s="774"/>
      <c r="F313" s="774"/>
      <c r="G313" s="774"/>
      <c r="H313" s="764"/>
    </row>
    <row r="314" spans="1:8" ht="12.75">
      <c r="A314" s="123"/>
      <c r="B314" s="80">
        <v>80197</v>
      </c>
      <c r="C314" s="80"/>
      <c r="D314" s="131" t="s">
        <v>600</v>
      </c>
      <c r="E314" s="773">
        <f>E315</f>
        <v>30040</v>
      </c>
      <c r="F314" s="773">
        <f>F315</f>
        <v>22998</v>
      </c>
      <c r="G314" s="773">
        <f>G315</f>
        <v>0</v>
      </c>
      <c r="H314" s="763">
        <f>H315</f>
        <v>22998</v>
      </c>
    </row>
    <row r="315" spans="1:8" ht="12.75">
      <c r="A315" s="123"/>
      <c r="B315" s="110"/>
      <c r="C315" s="110">
        <v>4110</v>
      </c>
      <c r="D315" s="126" t="s">
        <v>84</v>
      </c>
      <c r="E315" s="774">
        <v>30040</v>
      </c>
      <c r="F315" s="774">
        <v>22998</v>
      </c>
      <c r="G315" s="774"/>
      <c r="H315" s="764">
        <f>F315+G315</f>
        <v>22998</v>
      </c>
    </row>
    <row r="316" spans="1:8" ht="12.75">
      <c r="A316" s="123"/>
      <c r="B316" s="110"/>
      <c r="C316" s="110"/>
      <c r="D316" s="126"/>
      <c r="E316" s="774"/>
      <c r="F316" s="774"/>
      <c r="G316" s="774"/>
      <c r="H316" s="764"/>
    </row>
    <row r="317" spans="1:8" ht="13.5" thickBot="1">
      <c r="A317" s="128">
        <v>803</v>
      </c>
      <c r="B317" s="129"/>
      <c r="C317" s="129"/>
      <c r="D317" s="86" t="s">
        <v>153</v>
      </c>
      <c r="E317" s="104">
        <f>E318</f>
        <v>388183</v>
      </c>
      <c r="F317" s="104">
        <f>F318</f>
        <v>614084</v>
      </c>
      <c r="G317" s="104">
        <f>G318</f>
        <v>0</v>
      </c>
      <c r="H317" s="146">
        <f>H318</f>
        <v>614084</v>
      </c>
    </row>
    <row r="318" spans="1:8" ht="12.75">
      <c r="A318" s="123"/>
      <c r="B318" s="80">
        <v>80309</v>
      </c>
      <c r="C318" s="80"/>
      <c r="D318" s="131" t="s">
        <v>154</v>
      </c>
      <c r="E318" s="773">
        <f>SUM(E319:E330)</f>
        <v>388183</v>
      </c>
      <c r="F318" s="773">
        <f>SUM(F319:F333)</f>
        <v>614084</v>
      </c>
      <c r="G318" s="773">
        <f>SUM(G319:G333)</f>
        <v>0</v>
      </c>
      <c r="H318" s="763">
        <f>SUM(H319:H333)</f>
        <v>614084</v>
      </c>
    </row>
    <row r="319" spans="1:8" ht="12.75">
      <c r="A319" s="123"/>
      <c r="B319" s="110"/>
      <c r="C319" s="110">
        <v>3210</v>
      </c>
      <c r="D319" s="126" t="s">
        <v>155</v>
      </c>
      <c r="E319" s="774">
        <v>18280</v>
      </c>
      <c r="F319" s="774">
        <v>40131</v>
      </c>
      <c r="G319" s="774"/>
      <c r="H319" s="764">
        <f>F319+G319</f>
        <v>40131</v>
      </c>
    </row>
    <row r="320" spans="1:8" ht="12.75">
      <c r="A320" s="123"/>
      <c r="B320" s="110"/>
      <c r="C320" s="110">
        <v>3218</v>
      </c>
      <c r="D320" s="126" t="s">
        <v>155</v>
      </c>
      <c r="E320" s="774">
        <v>249076</v>
      </c>
      <c r="F320" s="774">
        <v>399877</v>
      </c>
      <c r="G320" s="774"/>
      <c r="H320" s="764">
        <f aca="true" t="shared" si="13" ref="H320:H333">F320+G320</f>
        <v>399877</v>
      </c>
    </row>
    <row r="321" spans="1:8" ht="12.75">
      <c r="A321" s="123"/>
      <c r="B321" s="110"/>
      <c r="C321" s="110">
        <v>3219</v>
      </c>
      <c r="D321" s="126" t="s">
        <v>155</v>
      </c>
      <c r="E321" s="774">
        <v>83025</v>
      </c>
      <c r="F321" s="774">
        <v>133292</v>
      </c>
      <c r="G321" s="774"/>
      <c r="H321" s="764">
        <f t="shared" si="13"/>
        <v>133292</v>
      </c>
    </row>
    <row r="322" spans="1:8" ht="12.75">
      <c r="A322" s="123"/>
      <c r="B322" s="110"/>
      <c r="C322" s="110">
        <v>4170</v>
      </c>
      <c r="D322" s="126" t="s">
        <v>86</v>
      </c>
      <c r="E322" s="774"/>
      <c r="F322" s="774">
        <v>1757</v>
      </c>
      <c r="G322" s="774"/>
      <c r="H322" s="764">
        <f t="shared" si="13"/>
        <v>1757</v>
      </c>
    </row>
    <row r="323" spans="1:8" ht="12.75">
      <c r="A323" s="123"/>
      <c r="B323" s="110"/>
      <c r="C323" s="110">
        <v>4178</v>
      </c>
      <c r="D323" s="126" t="s">
        <v>86</v>
      </c>
      <c r="E323" s="774"/>
      <c r="F323" s="774">
        <v>17507</v>
      </c>
      <c r="G323" s="774"/>
      <c r="H323" s="764">
        <f t="shared" si="13"/>
        <v>17507</v>
      </c>
    </row>
    <row r="324" spans="1:8" ht="12.75">
      <c r="A324" s="123"/>
      <c r="B324" s="110"/>
      <c r="C324" s="110">
        <v>4179</v>
      </c>
      <c r="D324" s="126" t="s">
        <v>86</v>
      </c>
      <c r="E324" s="774"/>
      <c r="F324" s="774">
        <v>5836</v>
      </c>
      <c r="G324" s="774"/>
      <c r="H324" s="764">
        <f t="shared" si="13"/>
        <v>5836</v>
      </c>
    </row>
    <row r="325" spans="1:8" ht="12.75">
      <c r="A325" s="123"/>
      <c r="B325" s="110"/>
      <c r="C325" s="110">
        <v>4210</v>
      </c>
      <c r="D325" s="126" t="s">
        <v>87</v>
      </c>
      <c r="E325" s="774">
        <v>984</v>
      </c>
      <c r="F325" s="774">
        <v>219</v>
      </c>
      <c r="G325" s="774"/>
      <c r="H325" s="764">
        <f t="shared" si="13"/>
        <v>219</v>
      </c>
    </row>
    <row r="326" spans="1:8" ht="12.75">
      <c r="A326" s="123"/>
      <c r="B326" s="110"/>
      <c r="C326" s="110">
        <v>4218</v>
      </c>
      <c r="D326" s="126" t="s">
        <v>87</v>
      </c>
      <c r="E326" s="774">
        <v>10481</v>
      </c>
      <c r="F326" s="774">
        <v>2179</v>
      </c>
      <c r="G326" s="774"/>
      <c r="H326" s="764">
        <f t="shared" si="13"/>
        <v>2179</v>
      </c>
    </row>
    <row r="327" spans="1:8" ht="12.75">
      <c r="A327" s="123"/>
      <c r="B327" s="110"/>
      <c r="C327" s="110">
        <v>4219</v>
      </c>
      <c r="D327" s="126" t="s">
        <v>87</v>
      </c>
      <c r="E327" s="774">
        <v>3494</v>
      </c>
      <c r="F327" s="774">
        <v>726</v>
      </c>
      <c r="G327" s="774"/>
      <c r="H327" s="764">
        <f t="shared" si="13"/>
        <v>726</v>
      </c>
    </row>
    <row r="328" spans="1:8" ht="12.75">
      <c r="A328" s="123"/>
      <c r="B328" s="110"/>
      <c r="C328" s="110">
        <v>4300</v>
      </c>
      <c r="D328" s="126" t="s">
        <v>76</v>
      </c>
      <c r="E328" s="774">
        <v>4826</v>
      </c>
      <c r="F328" s="774">
        <v>834</v>
      </c>
      <c r="G328" s="774"/>
      <c r="H328" s="764">
        <f t="shared" si="13"/>
        <v>834</v>
      </c>
    </row>
    <row r="329" spans="1:8" ht="12.75">
      <c r="A329" s="123"/>
      <c r="B329" s="110"/>
      <c r="C329" s="110">
        <v>4308</v>
      </c>
      <c r="D329" s="126" t="s">
        <v>76</v>
      </c>
      <c r="E329" s="774">
        <v>13513</v>
      </c>
      <c r="F329" s="774">
        <v>8321</v>
      </c>
      <c r="G329" s="774"/>
      <c r="H329" s="764">
        <f t="shared" si="13"/>
        <v>8321</v>
      </c>
    </row>
    <row r="330" spans="1:8" ht="12.75">
      <c r="A330" s="123"/>
      <c r="B330" s="110"/>
      <c r="C330" s="110">
        <v>4309</v>
      </c>
      <c r="D330" s="126" t="s">
        <v>76</v>
      </c>
      <c r="E330" s="774">
        <v>4504</v>
      </c>
      <c r="F330" s="774">
        <v>2773</v>
      </c>
      <c r="G330" s="774"/>
      <c r="H330" s="764">
        <f t="shared" si="13"/>
        <v>2773</v>
      </c>
    </row>
    <row r="331" spans="1:8" ht="12.75">
      <c r="A331" s="123"/>
      <c r="B331" s="110"/>
      <c r="C331" s="110">
        <v>4740</v>
      </c>
      <c r="D331" s="126" t="s">
        <v>124</v>
      </c>
      <c r="E331" s="774"/>
      <c r="F331" s="774">
        <v>45</v>
      </c>
      <c r="G331" s="774"/>
      <c r="H331" s="764">
        <f t="shared" si="13"/>
        <v>45</v>
      </c>
    </row>
    <row r="332" spans="1:8" ht="12.75">
      <c r="A332" s="123"/>
      <c r="B332" s="110"/>
      <c r="C332" s="110">
        <v>4748</v>
      </c>
      <c r="D332" s="126" t="s">
        <v>124</v>
      </c>
      <c r="E332" s="774"/>
      <c r="F332" s="774">
        <v>440</v>
      </c>
      <c r="G332" s="774"/>
      <c r="H332" s="764">
        <f t="shared" si="13"/>
        <v>440</v>
      </c>
    </row>
    <row r="333" spans="1:8" ht="12.75">
      <c r="A333" s="123"/>
      <c r="B333" s="110"/>
      <c r="C333" s="110">
        <v>4749</v>
      </c>
      <c r="D333" s="126" t="s">
        <v>124</v>
      </c>
      <c r="E333" s="774"/>
      <c r="F333" s="774">
        <v>147</v>
      </c>
      <c r="G333" s="774"/>
      <c r="H333" s="764">
        <f t="shared" si="13"/>
        <v>147</v>
      </c>
    </row>
    <row r="334" spans="1:8" ht="12.75">
      <c r="A334" s="123"/>
      <c r="B334" s="110"/>
      <c r="C334" s="110"/>
      <c r="D334" s="126"/>
      <c r="E334" s="774"/>
      <c r="F334" s="774"/>
      <c r="G334" s="774"/>
      <c r="H334" s="764"/>
    </row>
    <row r="335" spans="1:8" ht="13.5" thickBot="1">
      <c r="A335" s="79">
        <v>851</v>
      </c>
      <c r="B335" s="129"/>
      <c r="C335" s="129"/>
      <c r="D335" s="86" t="s">
        <v>156</v>
      </c>
      <c r="E335" s="104" t="e">
        <f>E344+E349+E341+#REF!+#REF!</f>
        <v>#REF!</v>
      </c>
      <c r="F335" s="104">
        <f>F344+F349+F341+F336</f>
        <v>86342</v>
      </c>
      <c r="G335" s="104">
        <f>G344+G349+G341+G336</f>
        <v>0</v>
      </c>
      <c r="H335" s="146">
        <f>H344+H349+H341+H336</f>
        <v>86342</v>
      </c>
    </row>
    <row r="336" spans="1:8" ht="12.75">
      <c r="A336" s="105"/>
      <c r="B336" s="121">
        <v>85111</v>
      </c>
      <c r="C336" s="121"/>
      <c r="D336" s="87" t="s">
        <v>703</v>
      </c>
      <c r="E336" s="779"/>
      <c r="F336" s="779">
        <f>F337</f>
        <v>13000</v>
      </c>
      <c r="G336" s="779">
        <f>G337</f>
        <v>0</v>
      </c>
      <c r="H336" s="765">
        <f>H337</f>
        <v>13000</v>
      </c>
    </row>
    <row r="337" spans="1:8" ht="12.75">
      <c r="A337" s="105"/>
      <c r="B337" s="110"/>
      <c r="C337" s="110">
        <v>6220</v>
      </c>
      <c r="D337" s="126" t="s">
        <v>704</v>
      </c>
      <c r="E337" s="774"/>
      <c r="F337" s="774">
        <v>13000</v>
      </c>
      <c r="G337" s="774"/>
      <c r="H337" s="764">
        <f>F337+G337</f>
        <v>13000</v>
      </c>
    </row>
    <row r="338" spans="1:8" ht="12.75">
      <c r="A338" s="105"/>
      <c r="B338" s="110"/>
      <c r="C338" s="110"/>
      <c r="D338" s="126" t="s">
        <v>705</v>
      </c>
      <c r="E338" s="774"/>
      <c r="F338" s="774"/>
      <c r="G338" s="774"/>
      <c r="H338" s="764"/>
    </row>
    <row r="339" spans="1:8" ht="12.75">
      <c r="A339" s="105"/>
      <c r="B339" s="110"/>
      <c r="C339" s="110"/>
      <c r="D339" s="126" t="s">
        <v>706</v>
      </c>
      <c r="E339" s="774"/>
      <c r="F339" s="774"/>
      <c r="G339" s="774"/>
      <c r="H339" s="764"/>
    </row>
    <row r="340" spans="1:8" ht="12.75">
      <c r="A340" s="105"/>
      <c r="B340" s="110"/>
      <c r="C340" s="110"/>
      <c r="D340" s="126"/>
      <c r="E340" s="774"/>
      <c r="F340" s="774"/>
      <c r="G340" s="774"/>
      <c r="H340" s="764"/>
    </row>
    <row r="341" spans="1:8" ht="12.75">
      <c r="A341" s="105"/>
      <c r="B341" s="80">
        <v>85149</v>
      </c>
      <c r="C341" s="80"/>
      <c r="D341" s="131" t="s">
        <v>158</v>
      </c>
      <c r="E341" s="773">
        <f>SUM(E342:E342)</f>
        <v>3000</v>
      </c>
      <c r="F341" s="773">
        <f>SUM(F342:F342)</f>
        <v>3000</v>
      </c>
      <c r="G341" s="773">
        <f>SUM(G342:G342)</f>
        <v>0</v>
      </c>
      <c r="H341" s="763">
        <f>SUM(H342:H342)</f>
        <v>3000</v>
      </c>
    </row>
    <row r="342" spans="1:8" ht="12.75">
      <c r="A342" s="105"/>
      <c r="B342" s="132"/>
      <c r="C342" s="110">
        <v>4300</v>
      </c>
      <c r="D342" s="126" t="s">
        <v>76</v>
      </c>
      <c r="E342" s="774">
        <v>3000</v>
      </c>
      <c r="F342" s="774">
        <v>3000</v>
      </c>
      <c r="G342" s="774"/>
      <c r="H342" s="764">
        <f>F342+G342</f>
        <v>3000</v>
      </c>
    </row>
    <row r="343" spans="1:8" ht="12.75">
      <c r="A343" s="105"/>
      <c r="B343" s="132"/>
      <c r="C343" s="132"/>
      <c r="D343" s="133"/>
      <c r="E343" s="774"/>
      <c r="F343" s="774"/>
      <c r="G343" s="774"/>
      <c r="H343" s="764"/>
    </row>
    <row r="344" spans="1:8" ht="12.75">
      <c r="A344" s="105"/>
      <c r="B344" s="80">
        <v>85154</v>
      </c>
      <c r="C344" s="80"/>
      <c r="D344" s="131" t="s">
        <v>316</v>
      </c>
      <c r="E344" s="773">
        <f>SUM(E347:E347)</f>
        <v>14833</v>
      </c>
      <c r="F344" s="773">
        <f>SUM(F345:F347)</f>
        <v>13925</v>
      </c>
      <c r="G344" s="773">
        <f>SUM(G345:G347)</f>
        <v>0</v>
      </c>
      <c r="H344" s="763">
        <f>SUM(H345:H347)</f>
        <v>13925</v>
      </c>
    </row>
    <row r="345" spans="1:8" ht="12.75">
      <c r="A345" s="105"/>
      <c r="B345" s="110"/>
      <c r="C345" s="110">
        <v>4110</v>
      </c>
      <c r="D345" s="126" t="s">
        <v>84</v>
      </c>
      <c r="E345" s="774"/>
      <c r="F345" s="774">
        <v>846</v>
      </c>
      <c r="G345" s="774"/>
      <c r="H345" s="764">
        <f>F345+G345</f>
        <v>846</v>
      </c>
    </row>
    <row r="346" spans="1:8" ht="12.75">
      <c r="A346" s="105"/>
      <c r="B346" s="110"/>
      <c r="C346" s="110">
        <v>4170</v>
      </c>
      <c r="D346" s="126" t="s">
        <v>86</v>
      </c>
      <c r="E346" s="774"/>
      <c r="F346" s="774">
        <v>2704</v>
      </c>
      <c r="G346" s="774"/>
      <c r="H346" s="764">
        <f>F346+G346</f>
        <v>2704</v>
      </c>
    </row>
    <row r="347" spans="1:8" ht="12.75">
      <c r="A347" s="105"/>
      <c r="B347" s="110"/>
      <c r="C347" s="110">
        <v>4300</v>
      </c>
      <c r="D347" s="126" t="s">
        <v>76</v>
      </c>
      <c r="E347" s="774">
        <v>14833</v>
      </c>
      <c r="F347" s="774">
        <v>10375</v>
      </c>
      <c r="G347" s="774"/>
      <c r="H347" s="764">
        <f>F347+G347</f>
        <v>10375</v>
      </c>
    </row>
    <row r="348" spans="1:8" ht="12.75">
      <c r="A348" s="105"/>
      <c r="B348" s="110"/>
      <c r="C348" s="110"/>
      <c r="D348" s="126"/>
      <c r="E348" s="774"/>
      <c r="F348" s="774"/>
      <c r="G348" s="774"/>
      <c r="H348" s="764"/>
    </row>
    <row r="349" spans="1:8" ht="12.75">
      <c r="A349" s="123"/>
      <c r="B349" s="110">
        <v>85156</v>
      </c>
      <c r="C349" s="110"/>
      <c r="D349" s="126" t="s">
        <v>697</v>
      </c>
      <c r="E349" s="774">
        <f>SUM(E351:E351)</f>
        <v>2529000</v>
      </c>
      <c r="F349" s="774">
        <f>SUM(F351:F351)</f>
        <v>56417</v>
      </c>
      <c r="G349" s="774">
        <f>SUM(G351:G351)</f>
        <v>0</v>
      </c>
      <c r="H349" s="764">
        <f>SUM(H351:H351)</f>
        <v>56417</v>
      </c>
    </row>
    <row r="350" spans="1:8" ht="12.75">
      <c r="A350" s="123"/>
      <c r="B350" s="80"/>
      <c r="C350" s="80"/>
      <c r="D350" s="131" t="s">
        <v>698</v>
      </c>
      <c r="E350" s="773"/>
      <c r="F350" s="773"/>
      <c r="G350" s="773"/>
      <c r="H350" s="763"/>
    </row>
    <row r="351" spans="1:8" ht="12.75">
      <c r="A351" s="123"/>
      <c r="B351" s="126"/>
      <c r="C351" s="141" t="s">
        <v>160</v>
      </c>
      <c r="D351" s="126" t="s">
        <v>161</v>
      </c>
      <c r="E351" s="774">
        <v>2529000</v>
      </c>
      <c r="F351" s="774">
        <v>56417</v>
      </c>
      <c r="G351" s="774"/>
      <c r="H351" s="764">
        <f>F351+G351</f>
        <v>56417</v>
      </c>
    </row>
    <row r="352" spans="1:8" ht="12.75">
      <c r="A352" s="123"/>
      <c r="B352" s="133"/>
      <c r="C352" s="780"/>
      <c r="D352" s="133"/>
      <c r="E352" s="774"/>
      <c r="F352" s="774"/>
      <c r="G352" s="774"/>
      <c r="H352" s="764"/>
    </row>
    <row r="353" spans="1:8" ht="13.5" thickBot="1">
      <c r="A353" s="79">
        <v>852</v>
      </c>
      <c r="B353" s="86"/>
      <c r="C353" s="351"/>
      <c r="D353" s="86" t="s">
        <v>162</v>
      </c>
      <c r="E353" s="104" t="e">
        <f>E354+E382+E438+E447+E470+E413+#REF!+#REF!</f>
        <v>#REF!</v>
      </c>
      <c r="F353" s="104">
        <f>F354+F382+F438+F447+F470+F413+F482+F479</f>
        <v>9338767</v>
      </c>
      <c r="G353" s="104">
        <f>G354+G382+G438+G447+G470+G413+G482+G479</f>
        <v>712494</v>
      </c>
      <c r="H353" s="146">
        <f>H354+H382+H438+H447+H470+H413+H482+H479</f>
        <v>10051261</v>
      </c>
    </row>
    <row r="354" spans="1:8" ht="12.75">
      <c r="A354" s="123"/>
      <c r="B354" s="80">
        <v>85201</v>
      </c>
      <c r="C354" s="80"/>
      <c r="D354" s="131" t="s">
        <v>163</v>
      </c>
      <c r="E354" s="773">
        <f>SUM(E355:E380)</f>
        <v>2019498</v>
      </c>
      <c r="F354" s="773">
        <f>SUM(F355:F380)</f>
        <v>2025223</v>
      </c>
      <c r="G354" s="773">
        <f>SUM(G355:G380)</f>
        <v>128957</v>
      </c>
      <c r="H354" s="763">
        <f>SUM(H355:H380)</f>
        <v>2154180</v>
      </c>
    </row>
    <row r="355" spans="1:8" ht="12.75">
      <c r="A355" s="123"/>
      <c r="B355" s="110"/>
      <c r="C355" s="110">
        <v>2310</v>
      </c>
      <c r="D355" s="126" t="s">
        <v>157</v>
      </c>
      <c r="E355" s="774">
        <v>549625</v>
      </c>
      <c r="F355" s="774">
        <v>535125</v>
      </c>
      <c r="G355" s="774">
        <v>49307</v>
      </c>
      <c r="H355" s="764">
        <f>F355+G355</f>
        <v>584432</v>
      </c>
    </row>
    <row r="356" spans="1:8" ht="12.75">
      <c r="A356" s="123"/>
      <c r="B356" s="126"/>
      <c r="C356" s="110">
        <v>3020</v>
      </c>
      <c r="D356" s="126" t="s">
        <v>81</v>
      </c>
      <c r="E356" s="774">
        <v>17800</v>
      </c>
      <c r="F356" s="774">
        <v>16870</v>
      </c>
      <c r="G356" s="774"/>
      <c r="H356" s="764">
        <f aca="true" t="shared" si="14" ref="H356:H380">F356+G356</f>
        <v>16870</v>
      </c>
    </row>
    <row r="357" spans="1:10" ht="12.75">
      <c r="A357" s="123"/>
      <c r="B357" s="126"/>
      <c r="C357" s="110">
        <v>3110</v>
      </c>
      <c r="D357" s="126" t="s">
        <v>164</v>
      </c>
      <c r="E357" s="774">
        <v>98506</v>
      </c>
      <c r="F357" s="774">
        <v>102290</v>
      </c>
      <c r="G357" s="774">
        <v>28000</v>
      </c>
      <c r="H357" s="764">
        <f t="shared" si="14"/>
        <v>130290</v>
      </c>
      <c r="J357" s="91">
        <f>SUM(H358:H362)</f>
        <v>858493</v>
      </c>
    </row>
    <row r="358" spans="1:8" ht="12.75">
      <c r="A358" s="123"/>
      <c r="B358" s="126"/>
      <c r="C358" s="110">
        <v>4010</v>
      </c>
      <c r="D358" s="126" t="s">
        <v>82</v>
      </c>
      <c r="E358" s="774">
        <v>620000</v>
      </c>
      <c r="F358" s="774">
        <v>665770</v>
      </c>
      <c r="G358" s="774">
        <v>7117</v>
      </c>
      <c r="H358" s="764">
        <f t="shared" si="14"/>
        <v>672887</v>
      </c>
    </row>
    <row r="359" spans="1:8" ht="12.75">
      <c r="A359" s="123"/>
      <c r="B359" s="126"/>
      <c r="C359" s="110">
        <v>4040</v>
      </c>
      <c r="D359" s="126" t="s">
        <v>83</v>
      </c>
      <c r="E359" s="774">
        <v>50137</v>
      </c>
      <c r="F359" s="774">
        <v>52337</v>
      </c>
      <c r="G359" s="774">
        <v>-7117</v>
      </c>
      <c r="H359" s="764">
        <f t="shared" si="14"/>
        <v>45220</v>
      </c>
    </row>
    <row r="360" spans="1:10" ht="12.75">
      <c r="A360" s="123"/>
      <c r="B360" s="126"/>
      <c r="C360" s="110">
        <v>4110</v>
      </c>
      <c r="D360" s="126" t="s">
        <v>84</v>
      </c>
      <c r="E360" s="774">
        <v>119392</v>
      </c>
      <c r="F360" s="774">
        <v>122570</v>
      </c>
      <c r="G360" s="774"/>
      <c r="H360" s="764">
        <f t="shared" si="14"/>
        <v>122570</v>
      </c>
      <c r="J360" s="91">
        <f>SUM(F363:F378)+F356+F357</f>
        <v>628405</v>
      </c>
    </row>
    <row r="361" spans="1:8" ht="12.75">
      <c r="A361" s="123"/>
      <c r="B361" s="126"/>
      <c r="C361" s="110">
        <v>4120</v>
      </c>
      <c r="D361" s="126" t="s">
        <v>85</v>
      </c>
      <c r="E361" s="774">
        <v>16497</v>
      </c>
      <c r="F361" s="774">
        <v>17016</v>
      </c>
      <c r="G361" s="774"/>
      <c r="H361" s="764">
        <f t="shared" si="14"/>
        <v>17016</v>
      </c>
    </row>
    <row r="362" spans="1:8" ht="12.75">
      <c r="A362" s="123"/>
      <c r="B362" s="126"/>
      <c r="C362" s="110">
        <v>4170</v>
      </c>
      <c r="D362" s="126" t="s">
        <v>86</v>
      </c>
      <c r="E362" s="774">
        <v>3000</v>
      </c>
      <c r="F362" s="774">
        <v>800</v>
      </c>
      <c r="G362" s="774"/>
      <c r="H362" s="764">
        <f t="shared" si="14"/>
        <v>800</v>
      </c>
    </row>
    <row r="363" spans="1:8" ht="12.75">
      <c r="A363" s="123"/>
      <c r="B363" s="126"/>
      <c r="C363" s="110">
        <v>4210</v>
      </c>
      <c r="D363" s="126" t="s">
        <v>87</v>
      </c>
      <c r="E363" s="774">
        <v>125500</v>
      </c>
      <c r="F363" s="774">
        <v>105736</v>
      </c>
      <c r="G363" s="774">
        <f>29650+2000</f>
        <v>31650</v>
      </c>
      <c r="H363" s="764">
        <f t="shared" si="14"/>
        <v>137386</v>
      </c>
    </row>
    <row r="364" spans="1:8" ht="12.75">
      <c r="A364" s="123"/>
      <c r="B364" s="126"/>
      <c r="C364" s="110">
        <v>4220</v>
      </c>
      <c r="D364" s="126" t="s">
        <v>165</v>
      </c>
      <c r="E364" s="774">
        <v>85180</v>
      </c>
      <c r="F364" s="774">
        <v>71700</v>
      </c>
      <c r="G364" s="774"/>
      <c r="H364" s="764">
        <f t="shared" si="14"/>
        <v>71700</v>
      </c>
    </row>
    <row r="365" spans="1:8" ht="12.75">
      <c r="A365" s="123"/>
      <c r="B365" s="126"/>
      <c r="C365" s="110">
        <v>4240</v>
      </c>
      <c r="D365" s="126" t="s">
        <v>146</v>
      </c>
      <c r="E365" s="774">
        <v>8600</v>
      </c>
      <c r="F365" s="774">
        <v>9450</v>
      </c>
      <c r="G365" s="774">
        <v>2000</v>
      </c>
      <c r="H365" s="764">
        <f t="shared" si="14"/>
        <v>11450</v>
      </c>
    </row>
    <row r="366" spans="1:8" ht="12.75">
      <c r="A366" s="123"/>
      <c r="B366" s="126"/>
      <c r="C366" s="110">
        <v>4260</v>
      </c>
      <c r="D366" s="126" t="s">
        <v>88</v>
      </c>
      <c r="E366" s="774">
        <v>53100</v>
      </c>
      <c r="F366" s="774">
        <v>58000</v>
      </c>
      <c r="G366" s="774"/>
      <c r="H366" s="764">
        <f t="shared" si="14"/>
        <v>58000</v>
      </c>
    </row>
    <row r="367" spans="1:8" ht="12.75">
      <c r="A367" s="123"/>
      <c r="B367" s="126"/>
      <c r="C367" s="110">
        <v>4268</v>
      </c>
      <c r="D367" s="126" t="s">
        <v>88</v>
      </c>
      <c r="E367" s="774"/>
      <c r="F367" s="774">
        <v>1418</v>
      </c>
      <c r="G367" s="774"/>
      <c r="H367" s="764">
        <f t="shared" si="14"/>
        <v>1418</v>
      </c>
    </row>
    <row r="368" spans="1:8" ht="12.75">
      <c r="A368" s="123"/>
      <c r="B368" s="126"/>
      <c r="C368" s="110">
        <v>4269</v>
      </c>
      <c r="D368" s="126" t="s">
        <v>88</v>
      </c>
      <c r="E368" s="774"/>
      <c r="F368" s="774">
        <v>385</v>
      </c>
      <c r="G368" s="774"/>
      <c r="H368" s="764">
        <f t="shared" si="14"/>
        <v>385</v>
      </c>
    </row>
    <row r="369" spans="1:8" ht="12.75">
      <c r="A369" s="123"/>
      <c r="B369" s="126"/>
      <c r="C369" s="110">
        <v>4270</v>
      </c>
      <c r="D369" s="126" t="s">
        <v>89</v>
      </c>
      <c r="E369" s="774">
        <v>103158</v>
      </c>
      <c r="F369" s="774">
        <v>98360</v>
      </c>
      <c r="G369" s="774"/>
      <c r="H369" s="764">
        <f t="shared" si="14"/>
        <v>98360</v>
      </c>
    </row>
    <row r="370" spans="1:8" ht="12.75">
      <c r="A370" s="123"/>
      <c r="B370" s="126"/>
      <c r="C370" s="110">
        <v>4280</v>
      </c>
      <c r="D370" s="126" t="s">
        <v>90</v>
      </c>
      <c r="E370" s="774">
        <v>1100</v>
      </c>
      <c r="F370" s="774">
        <v>1100</v>
      </c>
      <c r="G370" s="774"/>
      <c r="H370" s="764">
        <f t="shared" si="14"/>
        <v>1100</v>
      </c>
    </row>
    <row r="371" spans="1:8" ht="12.75">
      <c r="A371" s="123"/>
      <c r="B371" s="126"/>
      <c r="C371" s="110">
        <v>4300</v>
      </c>
      <c r="D371" s="126" t="s">
        <v>76</v>
      </c>
      <c r="E371" s="774">
        <v>117800</v>
      </c>
      <c r="F371" s="774">
        <v>93300</v>
      </c>
      <c r="G371" s="774">
        <v>16000</v>
      </c>
      <c r="H371" s="764">
        <f t="shared" si="14"/>
        <v>109300</v>
      </c>
    </row>
    <row r="372" spans="1:8" ht="12.75">
      <c r="A372" s="123"/>
      <c r="B372" s="126"/>
      <c r="C372" s="110">
        <v>4350</v>
      </c>
      <c r="D372" s="126" t="s">
        <v>130</v>
      </c>
      <c r="E372" s="774">
        <v>0</v>
      </c>
      <c r="F372" s="774">
        <v>1600</v>
      </c>
      <c r="G372" s="774">
        <v>1000</v>
      </c>
      <c r="H372" s="764">
        <f t="shared" si="14"/>
        <v>2600</v>
      </c>
    </row>
    <row r="373" spans="1:8" ht="12.75">
      <c r="A373" s="123"/>
      <c r="B373" s="126"/>
      <c r="C373" s="110">
        <v>4360</v>
      </c>
      <c r="D373" s="126" t="s">
        <v>92</v>
      </c>
      <c r="E373" s="774">
        <v>0</v>
      </c>
      <c r="F373" s="774">
        <v>3900</v>
      </c>
      <c r="G373" s="774">
        <f>1000+1000</f>
        <v>2000</v>
      </c>
      <c r="H373" s="764">
        <f t="shared" si="14"/>
        <v>5900</v>
      </c>
    </row>
    <row r="374" spans="1:8" ht="12.75">
      <c r="A374" s="123"/>
      <c r="B374" s="126"/>
      <c r="C374" s="110">
        <v>4370</v>
      </c>
      <c r="D374" s="126" t="s">
        <v>93</v>
      </c>
      <c r="E374" s="774">
        <v>0</v>
      </c>
      <c r="F374" s="774">
        <v>17900</v>
      </c>
      <c r="G374" s="774"/>
      <c r="H374" s="764">
        <f t="shared" si="14"/>
        <v>17900</v>
      </c>
    </row>
    <row r="375" spans="1:8" ht="12.75">
      <c r="A375" s="123"/>
      <c r="B375" s="126"/>
      <c r="C375" s="110">
        <v>4410</v>
      </c>
      <c r="D375" s="126" t="s">
        <v>94</v>
      </c>
      <c r="E375" s="774">
        <v>6000</v>
      </c>
      <c r="F375" s="774">
        <v>2500</v>
      </c>
      <c r="G375" s="774"/>
      <c r="H375" s="764">
        <f t="shared" si="14"/>
        <v>2500</v>
      </c>
    </row>
    <row r="376" spans="1:8" ht="12.75">
      <c r="A376" s="123"/>
      <c r="B376" s="126"/>
      <c r="C376" s="110">
        <v>4430</v>
      </c>
      <c r="D376" s="126" t="s">
        <v>95</v>
      </c>
      <c r="E376" s="774">
        <v>7417</v>
      </c>
      <c r="F376" s="774">
        <v>7417</v>
      </c>
      <c r="G376" s="774"/>
      <c r="H376" s="764">
        <f t="shared" si="14"/>
        <v>7417</v>
      </c>
    </row>
    <row r="377" spans="1:8" ht="12.75">
      <c r="A377" s="123"/>
      <c r="B377" s="126"/>
      <c r="C377" s="110">
        <v>4440</v>
      </c>
      <c r="D377" s="126" t="s">
        <v>96</v>
      </c>
      <c r="E377" s="774">
        <v>33901</v>
      </c>
      <c r="F377" s="774">
        <v>33695</v>
      </c>
      <c r="G377" s="774"/>
      <c r="H377" s="764">
        <f t="shared" si="14"/>
        <v>33695</v>
      </c>
    </row>
    <row r="378" spans="1:8" ht="12.75">
      <c r="A378" s="123"/>
      <c r="B378" s="126"/>
      <c r="C378" s="110">
        <v>4480</v>
      </c>
      <c r="D378" s="126" t="s">
        <v>97</v>
      </c>
      <c r="E378" s="774">
        <v>2785</v>
      </c>
      <c r="F378" s="774">
        <v>2784</v>
      </c>
      <c r="G378" s="774"/>
      <c r="H378" s="764">
        <f>F378+G378</f>
        <v>2784</v>
      </c>
    </row>
    <row r="379" spans="1:8" ht="12.75">
      <c r="A379" s="123"/>
      <c r="B379" s="126"/>
      <c r="C379" s="110">
        <v>4740</v>
      </c>
      <c r="D379" s="126" t="s">
        <v>124</v>
      </c>
      <c r="E379" s="774">
        <v>0</v>
      </c>
      <c r="F379" s="774">
        <v>2200</v>
      </c>
      <c r="G379" s="774">
        <v>-1000</v>
      </c>
      <c r="H379" s="764">
        <f t="shared" si="14"/>
        <v>1200</v>
      </c>
    </row>
    <row r="380" spans="1:8" ht="12.75">
      <c r="A380" s="123"/>
      <c r="B380" s="126"/>
      <c r="C380" s="110">
        <v>4750</v>
      </c>
      <c r="D380" s="126" t="s">
        <v>125</v>
      </c>
      <c r="E380" s="774">
        <v>0</v>
      </c>
      <c r="F380" s="774">
        <v>1000</v>
      </c>
      <c r="G380" s="774"/>
      <c r="H380" s="764">
        <f t="shared" si="14"/>
        <v>1000</v>
      </c>
    </row>
    <row r="381" spans="1:8" ht="12.75">
      <c r="A381" s="123"/>
      <c r="B381" s="126"/>
      <c r="C381" s="110"/>
      <c r="D381" s="126"/>
      <c r="E381" s="774"/>
      <c r="F381" s="774"/>
      <c r="G381" s="774"/>
      <c r="H381" s="764"/>
    </row>
    <row r="382" spans="1:8" ht="12.75">
      <c r="A382" s="123"/>
      <c r="B382" s="80">
        <v>85202</v>
      </c>
      <c r="C382" s="80"/>
      <c r="D382" s="131" t="s">
        <v>166</v>
      </c>
      <c r="E382" s="773">
        <f>SUM(E383:E410)</f>
        <v>4256602</v>
      </c>
      <c r="F382" s="773">
        <f>SUM(F383:F411)</f>
        <v>4855721</v>
      </c>
      <c r="G382" s="773">
        <f>SUM(G383:G411)</f>
        <v>239702</v>
      </c>
      <c r="H382" s="763">
        <f>SUM(H383:H411)</f>
        <v>5095423</v>
      </c>
    </row>
    <row r="383" spans="1:8" ht="12.75">
      <c r="A383" s="123"/>
      <c r="B383" s="110"/>
      <c r="C383" s="110">
        <v>3020</v>
      </c>
      <c r="D383" s="126" t="s">
        <v>81</v>
      </c>
      <c r="E383" s="774">
        <v>16260</v>
      </c>
      <c r="F383" s="774">
        <v>28750</v>
      </c>
      <c r="G383" s="774"/>
      <c r="H383" s="764">
        <f>F383+G383</f>
        <v>28750</v>
      </c>
    </row>
    <row r="384" spans="1:10" ht="12.75">
      <c r="A384" s="123"/>
      <c r="B384" s="110"/>
      <c r="C384" s="110">
        <v>4010</v>
      </c>
      <c r="D384" s="126" t="s">
        <v>82</v>
      </c>
      <c r="E384" s="774">
        <v>1881353</v>
      </c>
      <c r="F384" s="774">
        <v>2040201</v>
      </c>
      <c r="G384" s="774">
        <v>32000</v>
      </c>
      <c r="H384" s="764">
        <f aca="true" t="shared" si="15" ref="H384:H411">F384+G384</f>
        <v>2072201</v>
      </c>
      <c r="J384" s="91">
        <f>SUM(H384:H387)</f>
        <v>2646443</v>
      </c>
    </row>
    <row r="385" spans="1:8" ht="12.75">
      <c r="A385" s="123"/>
      <c r="B385" s="110"/>
      <c r="C385" s="110">
        <v>4040</v>
      </c>
      <c r="D385" s="126" t="s">
        <v>83</v>
      </c>
      <c r="E385" s="774">
        <v>149354</v>
      </c>
      <c r="F385" s="774">
        <v>140989</v>
      </c>
      <c r="G385" s="774"/>
      <c r="H385" s="764">
        <f t="shared" si="15"/>
        <v>140989</v>
      </c>
    </row>
    <row r="386" spans="1:8" ht="12.75">
      <c r="A386" s="123"/>
      <c r="B386" s="110"/>
      <c r="C386" s="110">
        <v>4110</v>
      </c>
      <c r="D386" s="126" t="s">
        <v>84</v>
      </c>
      <c r="E386" s="774">
        <v>338302</v>
      </c>
      <c r="F386" s="774">
        <v>360407</v>
      </c>
      <c r="G386" s="774">
        <f>10300+10000</f>
        <v>20300</v>
      </c>
      <c r="H386" s="764">
        <f t="shared" si="15"/>
        <v>380707</v>
      </c>
    </row>
    <row r="387" spans="1:8" ht="12.75">
      <c r="A387" s="123"/>
      <c r="B387" s="110"/>
      <c r="C387" s="110">
        <v>4120</v>
      </c>
      <c r="D387" s="126" t="s">
        <v>85</v>
      </c>
      <c r="E387" s="774">
        <v>48177</v>
      </c>
      <c r="F387" s="774">
        <v>51670</v>
      </c>
      <c r="G387" s="774">
        <f>1200-324</f>
        <v>876</v>
      </c>
      <c r="H387" s="764">
        <f t="shared" si="15"/>
        <v>52546</v>
      </c>
    </row>
    <row r="388" spans="1:8" ht="12.75">
      <c r="A388" s="123"/>
      <c r="B388" s="110"/>
      <c r="C388" s="110">
        <v>4170</v>
      </c>
      <c r="D388" s="126" t="s">
        <v>86</v>
      </c>
      <c r="E388" s="774"/>
      <c r="F388" s="774">
        <v>10500</v>
      </c>
      <c r="G388" s="774"/>
      <c r="H388" s="764">
        <f t="shared" si="15"/>
        <v>10500</v>
      </c>
    </row>
    <row r="389" spans="1:8" ht="12.75">
      <c r="A389" s="123"/>
      <c r="B389" s="110"/>
      <c r="C389" s="110">
        <v>4210</v>
      </c>
      <c r="D389" s="126" t="s">
        <v>87</v>
      </c>
      <c r="E389" s="774">
        <f>465285+50000</f>
        <v>515285</v>
      </c>
      <c r="F389" s="774">
        <v>447538</v>
      </c>
      <c r="G389" s="774">
        <f>17500+90000+23000+43000-24990-45000</f>
        <v>103510</v>
      </c>
      <c r="H389" s="764">
        <f t="shared" si="15"/>
        <v>551048</v>
      </c>
    </row>
    <row r="390" spans="1:8" ht="12.75">
      <c r="A390" s="123"/>
      <c r="B390" s="110"/>
      <c r="C390" s="110">
        <v>4220</v>
      </c>
      <c r="D390" s="126" t="s">
        <v>165</v>
      </c>
      <c r="E390" s="774">
        <f>428038+50000</f>
        <v>478038</v>
      </c>
      <c r="F390" s="774">
        <v>432220</v>
      </c>
      <c r="G390" s="774">
        <f>15000+15000</f>
        <v>30000</v>
      </c>
      <c r="H390" s="764">
        <f t="shared" si="15"/>
        <v>462220</v>
      </c>
    </row>
    <row r="391" spans="1:8" ht="12.75">
      <c r="A391" s="123"/>
      <c r="B391" s="110"/>
      <c r="C391" s="110">
        <v>4230</v>
      </c>
      <c r="D391" s="126" t="s">
        <v>749</v>
      </c>
      <c r="E391" s="774">
        <v>38106</v>
      </c>
      <c r="F391" s="774">
        <v>39428</v>
      </c>
      <c r="G391" s="774"/>
      <c r="H391" s="764">
        <f t="shared" si="15"/>
        <v>39428</v>
      </c>
    </row>
    <row r="392" spans="1:8" ht="12.75">
      <c r="A392" s="123"/>
      <c r="B392" s="110"/>
      <c r="C392" s="110">
        <v>4260</v>
      </c>
      <c r="D392" s="126" t="s">
        <v>88</v>
      </c>
      <c r="E392" s="774">
        <v>139867</v>
      </c>
      <c r="F392" s="774">
        <v>172880</v>
      </c>
      <c r="G392" s="774">
        <v>5220</v>
      </c>
      <c r="H392" s="764">
        <f t="shared" si="15"/>
        <v>178100</v>
      </c>
    </row>
    <row r="393" spans="1:8" ht="12.75">
      <c r="A393" s="123"/>
      <c r="B393" s="110"/>
      <c r="C393" s="110">
        <v>4270</v>
      </c>
      <c r="D393" s="126" t="s">
        <v>89</v>
      </c>
      <c r="E393" s="774">
        <v>291335</v>
      </c>
      <c r="F393" s="774">
        <v>671898</v>
      </c>
      <c r="G393" s="774">
        <v>5000</v>
      </c>
      <c r="H393" s="764">
        <f t="shared" si="15"/>
        <v>676898</v>
      </c>
    </row>
    <row r="394" spans="1:8" ht="12.75">
      <c r="A394" s="123"/>
      <c r="B394" s="110"/>
      <c r="C394" s="110">
        <v>4280</v>
      </c>
      <c r="D394" s="126" t="s">
        <v>90</v>
      </c>
      <c r="E394" s="774">
        <v>1256</v>
      </c>
      <c r="F394" s="774">
        <v>4450</v>
      </c>
      <c r="G394" s="774">
        <v>-280</v>
      </c>
      <c r="H394" s="764">
        <f t="shared" si="15"/>
        <v>4170</v>
      </c>
    </row>
    <row r="395" spans="1:8" ht="12.75">
      <c r="A395" s="123"/>
      <c r="B395" s="110"/>
      <c r="C395" s="110">
        <v>4300</v>
      </c>
      <c r="D395" s="126" t="s">
        <v>76</v>
      </c>
      <c r="E395" s="774">
        <f>128598+58729</f>
        <v>187327</v>
      </c>
      <c r="F395" s="774">
        <v>143681</v>
      </c>
      <c r="G395" s="774">
        <v>15000</v>
      </c>
      <c r="H395" s="764">
        <f t="shared" si="15"/>
        <v>158681</v>
      </c>
    </row>
    <row r="396" spans="1:8" ht="12.75">
      <c r="A396" s="123"/>
      <c r="B396" s="110"/>
      <c r="C396" s="110">
        <v>4350</v>
      </c>
      <c r="D396" s="126" t="s">
        <v>130</v>
      </c>
      <c r="E396" s="774">
        <v>0</v>
      </c>
      <c r="F396" s="774">
        <v>4700</v>
      </c>
      <c r="G396" s="774">
        <v>-64</v>
      </c>
      <c r="H396" s="764">
        <f t="shared" si="15"/>
        <v>4636</v>
      </c>
    </row>
    <row r="397" spans="1:8" ht="12.75">
      <c r="A397" s="123"/>
      <c r="B397" s="110"/>
      <c r="C397" s="110">
        <v>4360</v>
      </c>
      <c r="D397" s="126" t="s">
        <v>131</v>
      </c>
      <c r="E397" s="774">
        <v>0</v>
      </c>
      <c r="F397" s="774">
        <v>1500</v>
      </c>
      <c r="G397" s="774"/>
      <c r="H397" s="764">
        <f t="shared" si="15"/>
        <v>1500</v>
      </c>
    </row>
    <row r="398" spans="1:8" ht="12.75">
      <c r="A398" s="123"/>
      <c r="B398" s="110"/>
      <c r="C398" s="110">
        <v>4370</v>
      </c>
      <c r="D398" s="126" t="s">
        <v>93</v>
      </c>
      <c r="E398" s="774">
        <v>0</v>
      </c>
      <c r="F398" s="774">
        <v>17600</v>
      </c>
      <c r="G398" s="774"/>
      <c r="H398" s="764">
        <f>F398+G398</f>
        <v>17600</v>
      </c>
    </row>
    <row r="399" spans="1:8" ht="12.75">
      <c r="A399" s="123"/>
      <c r="B399" s="110"/>
      <c r="C399" s="110">
        <v>4390</v>
      </c>
      <c r="D399" s="126" t="s">
        <v>167</v>
      </c>
      <c r="E399" s="774">
        <v>0</v>
      </c>
      <c r="F399" s="774">
        <v>2500</v>
      </c>
      <c r="G399" s="774"/>
      <c r="H399" s="764">
        <f t="shared" si="15"/>
        <v>2500</v>
      </c>
    </row>
    <row r="400" spans="1:8" ht="12.75">
      <c r="A400" s="123"/>
      <c r="B400" s="110"/>
      <c r="C400" s="110">
        <v>4410</v>
      </c>
      <c r="D400" s="126" t="s">
        <v>94</v>
      </c>
      <c r="E400" s="774">
        <v>8510</v>
      </c>
      <c r="F400" s="774">
        <v>10800</v>
      </c>
      <c r="G400" s="774">
        <v>-250</v>
      </c>
      <c r="H400" s="764">
        <f t="shared" si="15"/>
        <v>10550</v>
      </c>
    </row>
    <row r="401" spans="1:8" ht="12.75">
      <c r="A401" s="123"/>
      <c r="B401" s="110"/>
      <c r="C401" s="110">
        <v>4430</v>
      </c>
      <c r="D401" s="126" t="s">
        <v>95</v>
      </c>
      <c r="E401" s="774">
        <v>16870</v>
      </c>
      <c r="F401" s="774">
        <v>25803</v>
      </c>
      <c r="G401" s="774"/>
      <c r="H401" s="764">
        <f t="shared" si="15"/>
        <v>25803</v>
      </c>
    </row>
    <row r="402" spans="1:8" ht="12.75">
      <c r="A402" s="123"/>
      <c r="B402" s="110"/>
      <c r="C402" s="110">
        <v>4440</v>
      </c>
      <c r="D402" s="126" t="s">
        <v>96</v>
      </c>
      <c r="E402" s="774">
        <v>79190</v>
      </c>
      <c r="F402" s="774">
        <v>86186</v>
      </c>
      <c r="G402" s="774"/>
      <c r="H402" s="764">
        <f t="shared" si="15"/>
        <v>86186</v>
      </c>
    </row>
    <row r="403" spans="1:8" ht="12.75">
      <c r="A403" s="123"/>
      <c r="B403" s="110"/>
      <c r="C403" s="110">
        <v>4480</v>
      </c>
      <c r="D403" s="126" t="s">
        <v>97</v>
      </c>
      <c r="E403" s="774">
        <v>17322</v>
      </c>
      <c r="F403" s="774">
        <v>16294</v>
      </c>
      <c r="G403" s="774"/>
      <c r="H403" s="764">
        <f t="shared" si="15"/>
        <v>16294</v>
      </c>
    </row>
    <row r="404" spans="1:8" ht="12.75">
      <c r="A404" s="123"/>
      <c r="B404" s="110"/>
      <c r="C404" s="110">
        <v>4510</v>
      </c>
      <c r="D404" s="126" t="s">
        <v>99</v>
      </c>
      <c r="E404" s="774"/>
      <c r="F404" s="774">
        <v>400</v>
      </c>
      <c r="G404" s="774"/>
      <c r="H404" s="764">
        <f t="shared" si="15"/>
        <v>400</v>
      </c>
    </row>
    <row r="405" spans="1:8" ht="12.75">
      <c r="A405" s="123"/>
      <c r="B405" s="110"/>
      <c r="C405" s="110">
        <v>4520</v>
      </c>
      <c r="D405" s="126" t="s">
        <v>168</v>
      </c>
      <c r="E405" s="774">
        <v>50</v>
      </c>
      <c r="F405" s="774">
        <v>50</v>
      </c>
      <c r="G405" s="774"/>
      <c r="H405" s="764">
        <f t="shared" si="15"/>
        <v>50</v>
      </c>
    </row>
    <row r="406" spans="1:8" ht="12.75">
      <c r="A406" s="123"/>
      <c r="B406" s="110"/>
      <c r="C406" s="110">
        <v>4580</v>
      </c>
      <c r="D406" s="126" t="s">
        <v>102</v>
      </c>
      <c r="E406" s="774"/>
      <c r="F406" s="774">
        <v>61</v>
      </c>
      <c r="G406" s="774"/>
      <c r="H406" s="764">
        <f t="shared" si="15"/>
        <v>61</v>
      </c>
    </row>
    <row r="407" spans="1:8" ht="12.75">
      <c r="A407" s="123"/>
      <c r="B407" s="110"/>
      <c r="C407" s="110">
        <v>4700</v>
      </c>
      <c r="D407" s="126" t="s">
        <v>115</v>
      </c>
      <c r="E407" s="774">
        <v>0</v>
      </c>
      <c r="F407" s="774">
        <v>5152</v>
      </c>
      <c r="G407" s="774"/>
      <c r="H407" s="764">
        <f t="shared" si="15"/>
        <v>5152</v>
      </c>
    </row>
    <row r="408" spans="1:8" ht="12.75">
      <c r="A408" s="123"/>
      <c r="B408" s="110"/>
      <c r="C408" s="110">
        <v>4740</v>
      </c>
      <c r="D408" s="126" t="s">
        <v>124</v>
      </c>
      <c r="E408" s="774">
        <v>0</v>
      </c>
      <c r="F408" s="774">
        <v>2108</v>
      </c>
      <c r="G408" s="774">
        <v>-100</v>
      </c>
      <c r="H408" s="764">
        <f t="shared" si="15"/>
        <v>2008</v>
      </c>
    </row>
    <row r="409" spans="1:8" ht="12.75">
      <c r="A409" s="123"/>
      <c r="B409" s="110"/>
      <c r="C409" s="110">
        <v>4750</v>
      </c>
      <c r="D409" s="126" t="s">
        <v>125</v>
      </c>
      <c r="E409" s="774">
        <v>0</v>
      </c>
      <c r="F409" s="774">
        <v>6900</v>
      </c>
      <c r="G409" s="774">
        <f>2000+1500</f>
        <v>3500</v>
      </c>
      <c r="H409" s="764">
        <f t="shared" si="15"/>
        <v>10400</v>
      </c>
    </row>
    <row r="410" spans="1:10" ht="12.75">
      <c r="A410" s="123"/>
      <c r="B410" s="110"/>
      <c r="C410" s="110">
        <v>6050</v>
      </c>
      <c r="D410" s="126" t="s">
        <v>103</v>
      </c>
      <c r="E410" s="774">
        <v>50000</v>
      </c>
      <c r="F410" s="774">
        <v>126500</v>
      </c>
      <c r="G410" s="774"/>
      <c r="H410" s="764">
        <f t="shared" si="15"/>
        <v>126500</v>
      </c>
      <c r="J410" s="91"/>
    </row>
    <row r="411" spans="1:10" ht="12.75">
      <c r="A411" s="123"/>
      <c r="B411" s="110"/>
      <c r="C411" s="110">
        <v>6060</v>
      </c>
      <c r="D411" s="126" t="s">
        <v>104</v>
      </c>
      <c r="E411" s="774"/>
      <c r="F411" s="774">
        <v>4555</v>
      </c>
      <c r="G411" s="774">
        <v>24990</v>
      </c>
      <c r="H411" s="764">
        <f t="shared" si="15"/>
        <v>29545</v>
      </c>
      <c r="J411" s="91"/>
    </row>
    <row r="412" spans="1:10" ht="12.75">
      <c r="A412" s="123"/>
      <c r="B412" s="110"/>
      <c r="C412" s="110"/>
      <c r="D412" s="126"/>
      <c r="E412" s="774"/>
      <c r="F412" s="774"/>
      <c r="G412" s="774"/>
      <c r="H412" s="764"/>
      <c r="J412" s="91"/>
    </row>
    <row r="413" spans="1:10" ht="12.75">
      <c r="A413" s="123"/>
      <c r="B413" s="80">
        <v>85203</v>
      </c>
      <c r="C413" s="80"/>
      <c r="D413" s="131" t="s">
        <v>169</v>
      </c>
      <c r="E413" s="773">
        <f>SUM(E415:E435)</f>
        <v>220593</v>
      </c>
      <c r="F413" s="773">
        <f>SUM(F414:F436)</f>
        <v>288735</v>
      </c>
      <c r="G413" s="773">
        <f>SUM(G414:G436)</f>
        <v>43200</v>
      </c>
      <c r="H413" s="763">
        <f>SUM(H414:H436)</f>
        <v>331935</v>
      </c>
      <c r="J413" s="91"/>
    </row>
    <row r="414" spans="1:10" ht="12.75">
      <c r="A414" s="123"/>
      <c r="B414" s="110"/>
      <c r="C414" s="110">
        <v>3020</v>
      </c>
      <c r="D414" s="126" t="s">
        <v>689</v>
      </c>
      <c r="E414" s="774"/>
      <c r="F414" s="774">
        <v>700</v>
      </c>
      <c r="G414" s="774"/>
      <c r="H414" s="764">
        <f>F414+G414</f>
        <v>700</v>
      </c>
      <c r="J414" s="91"/>
    </row>
    <row r="415" spans="1:10" ht="12.75">
      <c r="A415" s="123"/>
      <c r="B415" s="110"/>
      <c r="C415" s="110">
        <v>4010</v>
      </c>
      <c r="D415" s="126" t="s">
        <v>82</v>
      </c>
      <c r="E415" s="774">
        <v>87750</v>
      </c>
      <c r="F415" s="774">
        <v>119470</v>
      </c>
      <c r="G415" s="774"/>
      <c r="H415" s="764">
        <f aca="true" t="shared" si="16" ref="H415:H436">F415+G415</f>
        <v>119470</v>
      </c>
      <c r="J415" s="91">
        <f>SUM(H415:H418)</f>
        <v>151398</v>
      </c>
    </row>
    <row r="416" spans="1:10" ht="12.75">
      <c r="A416" s="123"/>
      <c r="B416" s="110"/>
      <c r="C416" s="110">
        <v>4040</v>
      </c>
      <c r="D416" s="126" t="s">
        <v>83</v>
      </c>
      <c r="E416" s="774">
        <v>5318</v>
      </c>
      <c r="F416" s="774">
        <v>6811</v>
      </c>
      <c r="G416" s="774"/>
      <c r="H416" s="764">
        <f t="shared" si="16"/>
        <v>6811</v>
      </c>
      <c r="J416" s="91"/>
    </row>
    <row r="417" spans="1:10" ht="12.75">
      <c r="A417" s="123"/>
      <c r="B417" s="110"/>
      <c r="C417" s="110">
        <v>4110</v>
      </c>
      <c r="D417" s="126" t="s">
        <v>84</v>
      </c>
      <c r="E417" s="774">
        <v>15972</v>
      </c>
      <c r="F417" s="774">
        <v>22023</v>
      </c>
      <c r="G417" s="774"/>
      <c r="H417" s="764">
        <f t="shared" si="16"/>
        <v>22023</v>
      </c>
      <c r="J417" s="91"/>
    </row>
    <row r="418" spans="1:10" ht="12.75">
      <c r="A418" s="123"/>
      <c r="B418" s="110"/>
      <c r="C418" s="110">
        <v>4120</v>
      </c>
      <c r="D418" s="126" t="s">
        <v>85</v>
      </c>
      <c r="E418" s="774">
        <v>2651</v>
      </c>
      <c r="F418" s="774">
        <v>3094</v>
      </c>
      <c r="G418" s="774"/>
      <c r="H418" s="764">
        <f t="shared" si="16"/>
        <v>3094</v>
      </c>
      <c r="J418" s="91"/>
    </row>
    <row r="419" spans="1:10" ht="12.75">
      <c r="A419" s="123"/>
      <c r="B419" s="110"/>
      <c r="C419" s="110">
        <v>4170</v>
      </c>
      <c r="D419" s="126" t="s">
        <v>86</v>
      </c>
      <c r="E419" s="774"/>
      <c r="F419" s="774">
        <v>1120</v>
      </c>
      <c r="G419" s="774"/>
      <c r="H419" s="764">
        <f t="shared" si="16"/>
        <v>1120</v>
      </c>
      <c r="J419" s="91"/>
    </row>
    <row r="420" spans="1:10" ht="12.75">
      <c r="A420" s="123"/>
      <c r="B420" s="110"/>
      <c r="C420" s="110">
        <v>4210</v>
      </c>
      <c r="D420" s="126" t="s">
        <v>87</v>
      </c>
      <c r="E420" s="774">
        <v>71019</v>
      </c>
      <c r="F420" s="774">
        <v>68508</v>
      </c>
      <c r="G420" s="774">
        <v>3200</v>
      </c>
      <c r="H420" s="764">
        <f t="shared" si="16"/>
        <v>71708</v>
      </c>
      <c r="J420" s="91"/>
    </row>
    <row r="421" spans="1:10" ht="12.75">
      <c r="A421" s="123"/>
      <c r="B421" s="110"/>
      <c r="C421" s="110">
        <v>4220</v>
      </c>
      <c r="D421" s="126" t="s">
        <v>165</v>
      </c>
      <c r="E421" s="774">
        <v>10470</v>
      </c>
      <c r="F421" s="774">
        <v>20000</v>
      </c>
      <c r="G421" s="774"/>
      <c r="H421" s="764">
        <f t="shared" si="16"/>
        <v>20000</v>
      </c>
      <c r="J421" s="91"/>
    </row>
    <row r="422" spans="1:10" ht="12.75">
      <c r="A422" s="123"/>
      <c r="B422" s="110"/>
      <c r="C422" s="110">
        <v>4230</v>
      </c>
      <c r="D422" s="126" t="s">
        <v>749</v>
      </c>
      <c r="E422" s="774">
        <v>224</v>
      </c>
      <c r="F422" s="774">
        <v>1000</v>
      </c>
      <c r="G422" s="774"/>
      <c r="H422" s="764">
        <f t="shared" si="16"/>
        <v>1000</v>
      </c>
      <c r="J422" s="91"/>
    </row>
    <row r="423" spans="1:10" ht="12.75">
      <c r="A423" s="123"/>
      <c r="B423" s="110"/>
      <c r="C423" s="110">
        <v>4260</v>
      </c>
      <c r="D423" s="126" t="s">
        <v>88</v>
      </c>
      <c r="E423" s="774">
        <v>5500</v>
      </c>
      <c r="F423" s="774">
        <v>5800</v>
      </c>
      <c r="G423" s="774"/>
      <c r="H423" s="764">
        <f t="shared" si="16"/>
        <v>5800</v>
      </c>
      <c r="J423" s="91"/>
    </row>
    <row r="424" spans="1:10" ht="12.75">
      <c r="A424" s="123"/>
      <c r="B424" s="110"/>
      <c r="C424" s="110">
        <v>4270</v>
      </c>
      <c r="D424" s="126" t="s">
        <v>89</v>
      </c>
      <c r="E424" s="774">
        <v>1500</v>
      </c>
      <c r="F424" s="774">
        <v>16956</v>
      </c>
      <c r="G424" s="774">
        <v>37000</v>
      </c>
      <c r="H424" s="764">
        <f t="shared" si="16"/>
        <v>53956</v>
      </c>
      <c r="J424" s="91"/>
    </row>
    <row r="425" spans="1:10" ht="12.75">
      <c r="A425" s="123"/>
      <c r="B425" s="110"/>
      <c r="C425" s="110">
        <v>4280</v>
      </c>
      <c r="D425" s="126" t="s">
        <v>90</v>
      </c>
      <c r="E425" s="774">
        <v>400</v>
      </c>
      <c r="F425" s="774">
        <v>400</v>
      </c>
      <c r="G425" s="774"/>
      <c r="H425" s="764">
        <f t="shared" si="16"/>
        <v>400</v>
      </c>
      <c r="J425" s="91"/>
    </row>
    <row r="426" spans="1:10" ht="12.75">
      <c r="A426" s="123"/>
      <c r="B426" s="110"/>
      <c r="C426" s="110">
        <v>4300</v>
      </c>
      <c r="D426" s="126" t="s">
        <v>76</v>
      </c>
      <c r="E426" s="774">
        <v>9956</v>
      </c>
      <c r="F426" s="774">
        <v>8200</v>
      </c>
      <c r="G426" s="774"/>
      <c r="H426" s="764">
        <f t="shared" si="16"/>
        <v>8200</v>
      </c>
      <c r="J426" s="91"/>
    </row>
    <row r="427" spans="1:10" ht="12.75">
      <c r="A427" s="123"/>
      <c r="B427" s="110"/>
      <c r="C427" s="110">
        <v>4350</v>
      </c>
      <c r="D427" s="126" t="s">
        <v>91</v>
      </c>
      <c r="E427" s="774"/>
      <c r="F427" s="774">
        <v>475</v>
      </c>
      <c r="G427" s="774"/>
      <c r="H427" s="764">
        <f t="shared" si="16"/>
        <v>475</v>
      </c>
      <c r="J427" s="91"/>
    </row>
    <row r="428" spans="1:10" ht="12.75">
      <c r="A428" s="123"/>
      <c r="B428" s="110"/>
      <c r="C428" s="110">
        <v>4360</v>
      </c>
      <c r="D428" s="126" t="s">
        <v>92</v>
      </c>
      <c r="E428" s="774"/>
      <c r="F428" s="774">
        <v>200</v>
      </c>
      <c r="G428" s="774"/>
      <c r="H428" s="764">
        <f t="shared" si="16"/>
        <v>200</v>
      </c>
      <c r="J428" s="91"/>
    </row>
    <row r="429" spans="1:10" ht="12.75">
      <c r="A429" s="123"/>
      <c r="B429" s="110"/>
      <c r="C429" s="110">
        <v>4370</v>
      </c>
      <c r="D429" s="126" t="s">
        <v>93</v>
      </c>
      <c r="E429" s="774">
        <v>0</v>
      </c>
      <c r="F429" s="774">
        <v>1500</v>
      </c>
      <c r="G429" s="774"/>
      <c r="H429" s="764">
        <f t="shared" si="16"/>
        <v>1500</v>
      </c>
      <c r="J429" s="91"/>
    </row>
    <row r="430" spans="1:10" ht="12.75">
      <c r="A430" s="123"/>
      <c r="B430" s="110"/>
      <c r="C430" s="110">
        <v>4410</v>
      </c>
      <c r="D430" s="126" t="s">
        <v>94</v>
      </c>
      <c r="E430" s="774">
        <v>1500</v>
      </c>
      <c r="F430" s="774">
        <v>1500</v>
      </c>
      <c r="G430" s="774"/>
      <c r="H430" s="764">
        <f t="shared" si="16"/>
        <v>1500</v>
      </c>
      <c r="J430" s="91"/>
    </row>
    <row r="431" spans="1:10" ht="12.75">
      <c r="A431" s="123"/>
      <c r="B431" s="110"/>
      <c r="C431" s="110">
        <v>4430</v>
      </c>
      <c r="D431" s="126" t="s">
        <v>95</v>
      </c>
      <c r="E431" s="774">
        <v>3200</v>
      </c>
      <c r="F431" s="774">
        <v>1796</v>
      </c>
      <c r="G431" s="774"/>
      <c r="H431" s="764">
        <f t="shared" si="16"/>
        <v>1796</v>
      </c>
      <c r="J431" s="91"/>
    </row>
    <row r="432" spans="1:10" ht="12.75">
      <c r="A432" s="123"/>
      <c r="B432" s="110"/>
      <c r="C432" s="110">
        <v>4440</v>
      </c>
      <c r="D432" s="126" t="s">
        <v>96</v>
      </c>
      <c r="E432" s="774">
        <v>5133</v>
      </c>
      <c r="F432" s="774">
        <v>5632</v>
      </c>
      <c r="G432" s="774"/>
      <c r="H432" s="764">
        <f t="shared" si="16"/>
        <v>5632</v>
      </c>
      <c r="J432" s="91"/>
    </row>
    <row r="433" spans="1:10" ht="12.75">
      <c r="A433" s="123"/>
      <c r="B433" s="110"/>
      <c r="C433" s="110">
        <v>4510</v>
      </c>
      <c r="D433" s="126" t="s">
        <v>99</v>
      </c>
      <c r="E433" s="774"/>
      <c r="F433" s="774">
        <v>50</v>
      </c>
      <c r="G433" s="774"/>
      <c r="H433" s="764">
        <f t="shared" si="16"/>
        <v>50</v>
      </c>
      <c r="J433" s="91"/>
    </row>
    <row r="434" spans="1:10" ht="12.75">
      <c r="A434" s="123"/>
      <c r="B434" s="110"/>
      <c r="C434" s="110">
        <v>4700</v>
      </c>
      <c r="D434" s="126" t="s">
        <v>115</v>
      </c>
      <c r="E434" s="774">
        <v>0</v>
      </c>
      <c r="F434" s="774">
        <v>3000</v>
      </c>
      <c r="G434" s="774"/>
      <c r="H434" s="764">
        <f t="shared" si="16"/>
        <v>3000</v>
      </c>
      <c r="J434" s="91"/>
    </row>
    <row r="435" spans="1:10" ht="12.75">
      <c r="A435" s="123"/>
      <c r="B435" s="110"/>
      <c r="C435" s="110">
        <v>4740</v>
      </c>
      <c r="D435" s="126" t="s">
        <v>124</v>
      </c>
      <c r="E435" s="774">
        <v>0</v>
      </c>
      <c r="F435" s="774">
        <v>500</v>
      </c>
      <c r="G435" s="774"/>
      <c r="H435" s="764">
        <f t="shared" si="16"/>
        <v>500</v>
      </c>
      <c r="J435" s="91"/>
    </row>
    <row r="436" spans="1:10" ht="12.75">
      <c r="A436" s="123"/>
      <c r="B436" s="110"/>
      <c r="C436" s="110">
        <v>4750</v>
      </c>
      <c r="D436" s="126" t="s">
        <v>125</v>
      </c>
      <c r="E436" s="774"/>
      <c r="F436" s="774">
        <v>0</v>
      </c>
      <c r="G436" s="774">
        <v>3000</v>
      </c>
      <c r="H436" s="764">
        <f t="shared" si="16"/>
        <v>3000</v>
      </c>
      <c r="J436" s="91"/>
    </row>
    <row r="437" spans="1:8" ht="12.75">
      <c r="A437" s="123"/>
      <c r="B437" s="110"/>
      <c r="C437" s="110"/>
      <c r="D437" s="126"/>
      <c r="E437" s="774"/>
      <c r="F437" s="774"/>
      <c r="G437" s="774"/>
      <c r="H437" s="764"/>
    </row>
    <row r="438" spans="1:8" ht="12.75">
      <c r="A438" s="123"/>
      <c r="B438" s="80">
        <v>85204</v>
      </c>
      <c r="C438" s="80"/>
      <c r="D438" s="131" t="s">
        <v>171</v>
      </c>
      <c r="E438" s="773">
        <f>SUM(E439:E445)</f>
        <v>1496800</v>
      </c>
      <c r="F438" s="773">
        <f>SUM(F439:F445)</f>
        <v>1235208</v>
      </c>
      <c r="G438" s="773">
        <f>SUM(G439:G445)</f>
        <v>172787</v>
      </c>
      <c r="H438" s="763">
        <f>SUM(H439:H445)</f>
        <v>1407995</v>
      </c>
    </row>
    <row r="439" spans="1:8" ht="12.75">
      <c r="A439" s="123"/>
      <c r="B439" s="110"/>
      <c r="C439" s="110">
        <v>2310</v>
      </c>
      <c r="D439" s="126" t="s">
        <v>157</v>
      </c>
      <c r="E439" s="774">
        <v>120000</v>
      </c>
      <c r="F439" s="774">
        <v>116987</v>
      </c>
      <c r="G439" s="774">
        <v>-24591</v>
      </c>
      <c r="H439" s="764">
        <f aca="true" t="shared" si="17" ref="H439:H445">F439+G439</f>
        <v>92396</v>
      </c>
    </row>
    <row r="440" spans="1:8" ht="12.75">
      <c r="A440" s="123"/>
      <c r="B440" s="110"/>
      <c r="C440" s="110">
        <v>3110</v>
      </c>
      <c r="D440" s="126" t="s">
        <v>164</v>
      </c>
      <c r="E440" s="774">
        <f>1176058+150000</f>
        <v>1326058</v>
      </c>
      <c r="F440" s="774">
        <v>1061089</v>
      </c>
      <c r="G440" s="774">
        <v>199438</v>
      </c>
      <c r="H440" s="764">
        <f t="shared" si="17"/>
        <v>1260527</v>
      </c>
    </row>
    <row r="441" spans="1:8" ht="12.75">
      <c r="A441" s="123"/>
      <c r="B441" s="110"/>
      <c r="C441" s="110">
        <v>4110</v>
      </c>
      <c r="D441" s="126" t="s">
        <v>84</v>
      </c>
      <c r="E441" s="774">
        <v>3716</v>
      </c>
      <c r="F441" s="774">
        <v>3214</v>
      </c>
      <c r="G441" s="774"/>
      <c r="H441" s="764">
        <f t="shared" si="17"/>
        <v>3214</v>
      </c>
    </row>
    <row r="442" spans="1:8" ht="12.75">
      <c r="A442" s="123"/>
      <c r="B442" s="110"/>
      <c r="C442" s="110">
        <v>4120</v>
      </c>
      <c r="D442" s="126" t="s">
        <v>85</v>
      </c>
      <c r="E442" s="774">
        <v>561</v>
      </c>
      <c r="F442" s="774">
        <v>484</v>
      </c>
      <c r="G442" s="774"/>
      <c r="H442" s="764">
        <f t="shared" si="17"/>
        <v>484</v>
      </c>
    </row>
    <row r="443" spans="1:8" ht="12.75">
      <c r="A443" s="123"/>
      <c r="B443" s="110"/>
      <c r="C443" s="110">
        <v>4170</v>
      </c>
      <c r="D443" s="126" t="s">
        <v>690</v>
      </c>
      <c r="E443" s="774"/>
      <c r="F443" s="774">
        <v>19764</v>
      </c>
      <c r="G443" s="774"/>
      <c r="H443" s="764">
        <f t="shared" si="17"/>
        <v>19764</v>
      </c>
    </row>
    <row r="444" spans="1:8" ht="12.75">
      <c r="A444" s="123"/>
      <c r="B444" s="110"/>
      <c r="C444" s="110">
        <v>4210</v>
      </c>
      <c r="D444" s="126" t="s">
        <v>87</v>
      </c>
      <c r="E444" s="774"/>
      <c r="F444" s="774">
        <v>2000</v>
      </c>
      <c r="G444" s="774"/>
      <c r="H444" s="764">
        <f t="shared" si="17"/>
        <v>2000</v>
      </c>
    </row>
    <row r="445" spans="1:8" ht="12.75">
      <c r="A445" s="123"/>
      <c r="B445" s="110"/>
      <c r="C445" s="110">
        <v>4300</v>
      </c>
      <c r="D445" s="126" t="s">
        <v>76</v>
      </c>
      <c r="E445" s="774">
        <v>46465</v>
      </c>
      <c r="F445" s="774">
        <v>31670</v>
      </c>
      <c r="G445" s="774">
        <v>-2060</v>
      </c>
      <c r="H445" s="764">
        <f t="shared" si="17"/>
        <v>29610</v>
      </c>
    </row>
    <row r="446" spans="1:8" ht="12.75">
      <c r="A446" s="123"/>
      <c r="B446" s="110"/>
      <c r="C446" s="110"/>
      <c r="D446" s="126"/>
      <c r="E446" s="774"/>
      <c r="F446" s="774"/>
      <c r="G446" s="774"/>
      <c r="H446" s="764"/>
    </row>
    <row r="447" spans="1:8" ht="12.75">
      <c r="A447" s="123"/>
      <c r="B447" s="80">
        <v>85218</v>
      </c>
      <c r="C447" s="80"/>
      <c r="D447" s="131" t="s">
        <v>172</v>
      </c>
      <c r="E447" s="773">
        <f>SUM(E448:E468)</f>
        <v>548716</v>
      </c>
      <c r="F447" s="773">
        <f>SUM(F448:F468)</f>
        <v>614668</v>
      </c>
      <c r="G447" s="773">
        <f>SUM(G448:G468)</f>
        <v>38322</v>
      </c>
      <c r="H447" s="763">
        <f>SUM(H448:H468)</f>
        <v>652990</v>
      </c>
    </row>
    <row r="448" spans="1:10" ht="12.75">
      <c r="A448" s="123"/>
      <c r="B448" s="110"/>
      <c r="C448" s="110">
        <v>4010</v>
      </c>
      <c r="D448" s="126" t="s">
        <v>82</v>
      </c>
      <c r="E448" s="774">
        <v>302701</v>
      </c>
      <c r="F448" s="774">
        <v>367534</v>
      </c>
      <c r="G448" s="774">
        <v>-7680</v>
      </c>
      <c r="H448" s="764">
        <f>F448+G448</f>
        <v>359854</v>
      </c>
      <c r="J448" s="91">
        <f>SUM(H448:H451)</f>
        <v>463365</v>
      </c>
    </row>
    <row r="449" spans="1:8" ht="12.75">
      <c r="A449" s="123"/>
      <c r="B449" s="110"/>
      <c r="C449" s="110">
        <v>4040</v>
      </c>
      <c r="D449" s="126" t="s">
        <v>83</v>
      </c>
      <c r="E449" s="774">
        <v>23898</v>
      </c>
      <c r="F449" s="774">
        <v>24153</v>
      </c>
      <c r="G449" s="774"/>
      <c r="H449" s="764">
        <f aca="true" t="shared" si="18" ref="H449:H468">F449+G449</f>
        <v>24153</v>
      </c>
    </row>
    <row r="450" spans="1:8" ht="12.75">
      <c r="A450" s="123"/>
      <c r="B450" s="110"/>
      <c r="C450" s="110">
        <v>4110</v>
      </c>
      <c r="D450" s="126" t="s">
        <v>84</v>
      </c>
      <c r="E450" s="774">
        <v>62672</v>
      </c>
      <c r="F450" s="774">
        <v>69715</v>
      </c>
      <c r="G450" s="774"/>
      <c r="H450" s="764">
        <f t="shared" si="18"/>
        <v>69715</v>
      </c>
    </row>
    <row r="451" spans="1:8" ht="12.75">
      <c r="A451" s="123"/>
      <c r="B451" s="110"/>
      <c r="C451" s="110">
        <v>4120</v>
      </c>
      <c r="D451" s="126" t="s">
        <v>85</v>
      </c>
      <c r="E451" s="774">
        <v>8578</v>
      </c>
      <c r="F451" s="774">
        <v>9643</v>
      </c>
      <c r="G451" s="774"/>
      <c r="H451" s="764">
        <f t="shared" si="18"/>
        <v>9643</v>
      </c>
    </row>
    <row r="452" spans="1:8" ht="12.75">
      <c r="A452" s="123"/>
      <c r="B452" s="110"/>
      <c r="C452" s="110">
        <v>4170</v>
      </c>
      <c r="D452" s="126" t="s">
        <v>690</v>
      </c>
      <c r="E452" s="774"/>
      <c r="F452" s="774">
        <v>16514</v>
      </c>
      <c r="G452" s="774">
        <f>2000+6000+2000</f>
        <v>10000</v>
      </c>
      <c r="H452" s="764">
        <f t="shared" si="18"/>
        <v>26514</v>
      </c>
    </row>
    <row r="453" spans="1:8" ht="12.75">
      <c r="A453" s="123"/>
      <c r="B453" s="110"/>
      <c r="C453" s="110">
        <v>4210</v>
      </c>
      <c r="D453" s="126" t="s">
        <v>87</v>
      </c>
      <c r="E453" s="774">
        <v>39900</v>
      </c>
      <c r="F453" s="774">
        <v>29174</v>
      </c>
      <c r="G453" s="774">
        <f>20400-500+3000-3000+4000</f>
        <v>23900</v>
      </c>
      <c r="H453" s="764">
        <f t="shared" si="18"/>
        <v>53074</v>
      </c>
    </row>
    <row r="454" spans="1:8" ht="12.75">
      <c r="A454" s="123"/>
      <c r="B454" s="110"/>
      <c r="C454" s="110">
        <v>4260</v>
      </c>
      <c r="D454" s="126" t="s">
        <v>88</v>
      </c>
      <c r="E454" s="774">
        <v>29601</v>
      </c>
      <c r="F454" s="774">
        <v>27360</v>
      </c>
      <c r="G454" s="774"/>
      <c r="H454" s="764">
        <f t="shared" si="18"/>
        <v>27360</v>
      </c>
    </row>
    <row r="455" spans="1:8" ht="12.75">
      <c r="A455" s="123"/>
      <c r="B455" s="110"/>
      <c r="C455" s="110">
        <v>4270</v>
      </c>
      <c r="D455" s="126" t="s">
        <v>89</v>
      </c>
      <c r="E455" s="774">
        <v>2431</v>
      </c>
      <c r="F455" s="774">
        <v>2512</v>
      </c>
      <c r="G455" s="774">
        <f>6800+3680</f>
        <v>10480</v>
      </c>
      <c r="H455" s="764">
        <f t="shared" si="18"/>
        <v>12992</v>
      </c>
    </row>
    <row r="456" spans="1:8" ht="12.75">
      <c r="A456" s="123"/>
      <c r="B456" s="110"/>
      <c r="C456" s="110">
        <v>4280</v>
      </c>
      <c r="D456" s="126" t="s">
        <v>90</v>
      </c>
      <c r="E456" s="774">
        <v>210</v>
      </c>
      <c r="F456" s="774">
        <v>176</v>
      </c>
      <c r="G456" s="774"/>
      <c r="H456" s="764">
        <f t="shared" si="18"/>
        <v>176</v>
      </c>
    </row>
    <row r="457" spans="1:8" ht="12.75">
      <c r="A457" s="123"/>
      <c r="B457" s="110"/>
      <c r="C457" s="110">
        <v>4300</v>
      </c>
      <c r="D457" s="126" t="s">
        <v>76</v>
      </c>
      <c r="E457" s="774">
        <v>65600</v>
      </c>
      <c r="F457" s="774">
        <v>27154</v>
      </c>
      <c r="G457" s="774">
        <f>3000-1000</f>
        <v>2000</v>
      </c>
      <c r="H457" s="764">
        <f t="shared" si="18"/>
        <v>29154</v>
      </c>
    </row>
    <row r="458" spans="1:8" ht="12.75">
      <c r="A458" s="123"/>
      <c r="B458" s="110"/>
      <c r="C458" s="110">
        <v>4350</v>
      </c>
      <c r="D458" s="126" t="s">
        <v>130</v>
      </c>
      <c r="E458" s="774">
        <v>0</v>
      </c>
      <c r="F458" s="774">
        <v>322</v>
      </c>
      <c r="G458" s="774">
        <v>500</v>
      </c>
      <c r="H458" s="764">
        <f t="shared" si="18"/>
        <v>822</v>
      </c>
    </row>
    <row r="459" spans="1:8" ht="12.75">
      <c r="A459" s="123"/>
      <c r="B459" s="110"/>
      <c r="C459" s="110">
        <v>4360</v>
      </c>
      <c r="D459" s="126" t="s">
        <v>92</v>
      </c>
      <c r="E459" s="774">
        <v>0</v>
      </c>
      <c r="F459" s="774">
        <v>540</v>
      </c>
      <c r="G459" s="774"/>
      <c r="H459" s="764">
        <f t="shared" si="18"/>
        <v>540</v>
      </c>
    </row>
    <row r="460" spans="1:8" ht="12.75">
      <c r="A460" s="123"/>
      <c r="B460" s="110"/>
      <c r="C460" s="110">
        <v>4370</v>
      </c>
      <c r="D460" s="126" t="s">
        <v>93</v>
      </c>
      <c r="E460" s="774">
        <v>0</v>
      </c>
      <c r="F460" s="774">
        <v>9288</v>
      </c>
      <c r="G460" s="774">
        <v>-1000</v>
      </c>
      <c r="H460" s="764">
        <f t="shared" si="18"/>
        <v>8288</v>
      </c>
    </row>
    <row r="461" spans="1:8" ht="12.75">
      <c r="A461" s="123"/>
      <c r="B461" s="110"/>
      <c r="C461" s="110">
        <v>4410</v>
      </c>
      <c r="D461" s="126" t="s">
        <v>94</v>
      </c>
      <c r="E461" s="774">
        <v>1000</v>
      </c>
      <c r="F461" s="774">
        <v>1500</v>
      </c>
      <c r="G461" s="774"/>
      <c r="H461" s="764">
        <f t="shared" si="18"/>
        <v>1500</v>
      </c>
    </row>
    <row r="462" spans="1:8" ht="12.75">
      <c r="A462" s="123"/>
      <c r="B462" s="110"/>
      <c r="C462" s="110">
        <v>4430</v>
      </c>
      <c r="D462" s="126" t="s">
        <v>95</v>
      </c>
      <c r="E462" s="774">
        <v>4100</v>
      </c>
      <c r="F462" s="774">
        <v>4100</v>
      </c>
      <c r="G462" s="774"/>
      <c r="H462" s="764">
        <f t="shared" si="18"/>
        <v>4100</v>
      </c>
    </row>
    <row r="463" spans="1:8" ht="12.75">
      <c r="A463" s="123"/>
      <c r="B463" s="110"/>
      <c r="C463" s="110">
        <v>4440</v>
      </c>
      <c r="D463" s="126" t="s">
        <v>96</v>
      </c>
      <c r="E463" s="774">
        <v>8025</v>
      </c>
      <c r="F463" s="774">
        <v>9897</v>
      </c>
      <c r="G463" s="774">
        <v>-1569</v>
      </c>
      <c r="H463" s="764">
        <f t="shared" si="18"/>
        <v>8328</v>
      </c>
    </row>
    <row r="464" spans="1:8" ht="12.75">
      <c r="A464" s="123"/>
      <c r="B464" s="110"/>
      <c r="C464" s="110">
        <v>4480</v>
      </c>
      <c r="D464" s="126" t="s">
        <v>97</v>
      </c>
      <c r="E464" s="774">
        <v>0</v>
      </c>
      <c r="F464" s="774">
        <v>1542</v>
      </c>
      <c r="G464" s="774"/>
      <c r="H464" s="764">
        <f t="shared" si="18"/>
        <v>1542</v>
      </c>
    </row>
    <row r="465" spans="1:8" ht="12.75">
      <c r="A465" s="123"/>
      <c r="B465" s="110"/>
      <c r="C465" s="110">
        <v>4510</v>
      </c>
      <c r="D465" s="126" t="s">
        <v>99</v>
      </c>
      <c r="E465" s="774"/>
      <c r="F465" s="774">
        <v>900</v>
      </c>
      <c r="G465" s="774"/>
      <c r="H465" s="764">
        <f t="shared" si="18"/>
        <v>900</v>
      </c>
    </row>
    <row r="466" spans="1:8" ht="12.75">
      <c r="A466" s="123"/>
      <c r="B466" s="110"/>
      <c r="C466" s="110">
        <v>4700</v>
      </c>
      <c r="D466" s="126" t="s">
        <v>115</v>
      </c>
      <c r="E466" s="774">
        <v>0</v>
      </c>
      <c r="F466" s="774">
        <v>5000</v>
      </c>
      <c r="G466" s="774">
        <v>-1000</v>
      </c>
      <c r="H466" s="764">
        <f t="shared" si="18"/>
        <v>4000</v>
      </c>
    </row>
    <row r="467" spans="1:8" ht="12.75">
      <c r="A467" s="123"/>
      <c r="B467" s="110"/>
      <c r="C467" s="110">
        <v>4740</v>
      </c>
      <c r="D467" s="126" t="s">
        <v>124</v>
      </c>
      <c r="E467" s="774">
        <v>0</v>
      </c>
      <c r="F467" s="774">
        <v>2344</v>
      </c>
      <c r="G467" s="774">
        <f>622-431</f>
        <v>191</v>
      </c>
      <c r="H467" s="764">
        <f>F467+G467</f>
        <v>2535</v>
      </c>
    </row>
    <row r="468" spans="1:8" ht="12.75">
      <c r="A468" s="123"/>
      <c r="B468" s="110"/>
      <c r="C468" s="110">
        <v>4750</v>
      </c>
      <c r="D468" s="126" t="s">
        <v>125</v>
      </c>
      <c r="E468" s="774">
        <v>0</v>
      </c>
      <c r="F468" s="774">
        <v>5300</v>
      </c>
      <c r="G468" s="774">
        <v>2500</v>
      </c>
      <c r="H468" s="764">
        <f t="shared" si="18"/>
        <v>7800</v>
      </c>
    </row>
    <row r="469" spans="1:8" ht="12.75">
      <c r="A469" s="123"/>
      <c r="B469" s="126"/>
      <c r="C469" s="141"/>
      <c r="D469" s="126"/>
      <c r="E469" s="774"/>
      <c r="F469" s="774"/>
      <c r="G469" s="774"/>
      <c r="H469" s="764"/>
    </row>
    <row r="470" spans="1:8" ht="12.75">
      <c r="A470" s="123"/>
      <c r="B470" s="80">
        <v>85220</v>
      </c>
      <c r="C470" s="80"/>
      <c r="D470" s="131" t="s">
        <v>173</v>
      </c>
      <c r="E470" s="773">
        <f>SUM(E471:E476)</f>
        <v>134216</v>
      </c>
      <c r="F470" s="773">
        <f>SUM(F471:F477)</f>
        <v>21112</v>
      </c>
      <c r="G470" s="773">
        <f>SUM(G471:G477)</f>
        <v>0</v>
      </c>
      <c r="H470" s="773">
        <f>SUM(H471:H477)</f>
        <v>21112</v>
      </c>
    </row>
    <row r="471" spans="1:8" ht="12.75">
      <c r="A471" s="123"/>
      <c r="B471" s="110"/>
      <c r="C471" s="110">
        <v>4210</v>
      </c>
      <c r="D471" s="126" t="s">
        <v>87</v>
      </c>
      <c r="E471" s="774">
        <v>8252</v>
      </c>
      <c r="F471" s="774">
        <v>6420</v>
      </c>
      <c r="G471" s="774"/>
      <c r="H471" s="764">
        <f aca="true" t="shared" si="19" ref="H471:H477">F471+G471</f>
        <v>6420</v>
      </c>
    </row>
    <row r="472" spans="1:8" ht="12.75">
      <c r="A472" s="123"/>
      <c r="B472" s="110"/>
      <c r="C472" s="110">
        <v>4220</v>
      </c>
      <c r="D472" s="126" t="s">
        <v>165</v>
      </c>
      <c r="E472" s="774">
        <v>9464</v>
      </c>
      <c r="F472" s="774">
        <v>9464</v>
      </c>
      <c r="G472" s="774"/>
      <c r="H472" s="764">
        <f t="shared" si="19"/>
        <v>9464</v>
      </c>
    </row>
    <row r="473" spans="1:8" ht="12.75">
      <c r="A473" s="123"/>
      <c r="B473" s="110"/>
      <c r="C473" s="110">
        <v>4230</v>
      </c>
      <c r="D473" s="126" t="s">
        <v>749</v>
      </c>
      <c r="E473" s="774">
        <v>1000</v>
      </c>
      <c r="F473" s="774">
        <v>460</v>
      </c>
      <c r="G473" s="774"/>
      <c r="H473" s="764">
        <f t="shared" si="19"/>
        <v>460</v>
      </c>
    </row>
    <row r="474" spans="1:8" ht="12.75">
      <c r="A474" s="123"/>
      <c r="B474" s="126"/>
      <c r="C474" s="141" t="s">
        <v>174</v>
      </c>
      <c r="D474" s="126" t="s">
        <v>88</v>
      </c>
      <c r="E474" s="774">
        <v>1500</v>
      </c>
      <c r="F474" s="774">
        <v>3240</v>
      </c>
      <c r="G474" s="774"/>
      <c r="H474" s="764">
        <f t="shared" si="19"/>
        <v>3240</v>
      </c>
    </row>
    <row r="475" spans="1:8" ht="12.75">
      <c r="A475" s="123"/>
      <c r="B475" s="126"/>
      <c r="C475" s="141" t="s">
        <v>175</v>
      </c>
      <c r="D475" s="126" t="s">
        <v>89</v>
      </c>
      <c r="E475" s="774">
        <v>113000</v>
      </c>
      <c r="F475" s="774">
        <v>1028</v>
      </c>
      <c r="G475" s="774"/>
      <c r="H475" s="764">
        <f t="shared" si="19"/>
        <v>1028</v>
      </c>
    </row>
    <row r="476" spans="1:8" ht="12.75">
      <c r="A476" s="123"/>
      <c r="B476" s="126"/>
      <c r="C476" s="141" t="s">
        <v>75</v>
      </c>
      <c r="D476" s="126" t="s">
        <v>76</v>
      </c>
      <c r="E476" s="774">
        <v>1000</v>
      </c>
      <c r="F476" s="774">
        <v>200</v>
      </c>
      <c r="G476" s="774"/>
      <c r="H476" s="764">
        <f t="shared" si="19"/>
        <v>200</v>
      </c>
    </row>
    <row r="477" spans="1:8" ht="12.75">
      <c r="A477" s="123"/>
      <c r="B477" s="126"/>
      <c r="C477" s="141" t="s">
        <v>700</v>
      </c>
      <c r="D477" s="126" t="s">
        <v>92</v>
      </c>
      <c r="E477" s="774"/>
      <c r="F477" s="774">
        <v>300</v>
      </c>
      <c r="G477" s="774"/>
      <c r="H477" s="764">
        <f t="shared" si="19"/>
        <v>300</v>
      </c>
    </row>
    <row r="478" spans="1:8" ht="12.75">
      <c r="A478" s="123"/>
      <c r="B478" s="126"/>
      <c r="C478" s="141"/>
      <c r="D478" s="126"/>
      <c r="E478" s="774"/>
      <c r="F478" s="774"/>
      <c r="G478" s="774"/>
      <c r="H478" s="764"/>
    </row>
    <row r="479" spans="1:8" ht="12.75">
      <c r="A479" s="123"/>
      <c r="B479" s="131">
        <v>85233</v>
      </c>
      <c r="C479" s="60"/>
      <c r="D479" s="131" t="s">
        <v>715</v>
      </c>
      <c r="E479" s="773"/>
      <c r="F479" s="773">
        <f>F480</f>
        <v>3100</v>
      </c>
      <c r="G479" s="773">
        <f>G480</f>
        <v>0</v>
      </c>
      <c r="H479" s="763">
        <f>H480</f>
        <v>3100</v>
      </c>
    </row>
    <row r="480" spans="1:8" ht="12.75">
      <c r="A480" s="123"/>
      <c r="B480" s="126"/>
      <c r="C480" s="141" t="s">
        <v>75</v>
      </c>
      <c r="D480" s="126" t="s">
        <v>76</v>
      </c>
      <c r="E480" s="774"/>
      <c r="F480" s="774">
        <v>3100</v>
      </c>
      <c r="G480" s="774"/>
      <c r="H480" s="764">
        <f>F480+G480</f>
        <v>3100</v>
      </c>
    </row>
    <row r="481" spans="1:8" ht="12.75">
      <c r="A481" s="123"/>
      <c r="B481" s="126"/>
      <c r="C481" s="141"/>
      <c r="D481" s="126"/>
      <c r="E481" s="774"/>
      <c r="F481" s="774"/>
      <c r="G481" s="774"/>
      <c r="H481" s="764"/>
    </row>
    <row r="482" spans="1:8" ht="12.75">
      <c r="A482" s="123"/>
      <c r="B482" s="131">
        <v>85295</v>
      </c>
      <c r="C482" s="60"/>
      <c r="D482" s="131" t="s">
        <v>60</v>
      </c>
      <c r="E482" s="773"/>
      <c r="F482" s="773">
        <f>SUM(F483:F486)</f>
        <v>295000</v>
      </c>
      <c r="G482" s="773">
        <f>SUM(G483:G486)</f>
        <v>89526</v>
      </c>
      <c r="H482" s="763">
        <f>SUM(H483:H486)</f>
        <v>384526</v>
      </c>
    </row>
    <row r="483" spans="1:8" ht="12.75">
      <c r="A483" s="123"/>
      <c r="B483" s="126"/>
      <c r="C483" s="141" t="s">
        <v>110</v>
      </c>
      <c r="D483" s="126" t="s">
        <v>87</v>
      </c>
      <c r="E483" s="774"/>
      <c r="F483" s="774">
        <v>17190</v>
      </c>
      <c r="G483" s="774">
        <v>50000</v>
      </c>
      <c r="H483" s="764">
        <f>F483+G483</f>
        <v>67190</v>
      </c>
    </row>
    <row r="484" spans="1:8" ht="12.75">
      <c r="A484" s="123"/>
      <c r="B484" s="126"/>
      <c r="C484" s="141" t="s">
        <v>175</v>
      </c>
      <c r="D484" s="126" t="s">
        <v>89</v>
      </c>
      <c r="E484" s="774"/>
      <c r="F484" s="774">
        <v>274002</v>
      </c>
      <c r="G484" s="774">
        <v>39526</v>
      </c>
      <c r="H484" s="764">
        <f>F484+G484</f>
        <v>313528</v>
      </c>
    </row>
    <row r="485" spans="1:8" ht="12.75">
      <c r="A485" s="123"/>
      <c r="B485" s="126"/>
      <c r="C485" s="141" t="s">
        <v>75</v>
      </c>
      <c r="D485" s="126" t="s">
        <v>76</v>
      </c>
      <c r="E485" s="774"/>
      <c r="F485" s="774">
        <v>3498</v>
      </c>
      <c r="G485" s="774"/>
      <c r="H485" s="764">
        <f>F485+G485</f>
        <v>3498</v>
      </c>
    </row>
    <row r="486" spans="1:8" ht="12.75">
      <c r="A486" s="123"/>
      <c r="B486" s="126"/>
      <c r="C486" s="141" t="s">
        <v>389</v>
      </c>
      <c r="D486" s="126" t="s">
        <v>125</v>
      </c>
      <c r="E486" s="774"/>
      <c r="F486" s="774">
        <v>310</v>
      </c>
      <c r="G486" s="774"/>
      <c r="H486" s="764">
        <f>F486+G486</f>
        <v>310</v>
      </c>
    </row>
    <row r="487" spans="1:8" ht="12.75">
      <c r="A487" s="123"/>
      <c r="B487" s="126"/>
      <c r="C487" s="141"/>
      <c r="D487" s="126"/>
      <c r="E487" s="774"/>
      <c r="F487" s="774"/>
      <c r="G487" s="774"/>
      <c r="H487" s="764"/>
    </row>
    <row r="488" spans="1:8" ht="13.5" thickBot="1">
      <c r="A488" s="79">
        <v>853</v>
      </c>
      <c r="B488" s="129"/>
      <c r="C488" s="129"/>
      <c r="D488" s="86" t="s">
        <v>176</v>
      </c>
      <c r="E488" s="104" t="e">
        <f>E493+E514+E518+#REF!</f>
        <v>#REF!</v>
      </c>
      <c r="F488" s="104">
        <f>F493+F514+F518+F489</f>
        <v>1605228</v>
      </c>
      <c r="G488" s="104">
        <f>G493+G514+G518+G489</f>
        <v>0</v>
      </c>
      <c r="H488" s="104">
        <f>H493+H514+H518+H489</f>
        <v>1605228</v>
      </c>
    </row>
    <row r="489" spans="1:8" ht="12.75">
      <c r="A489" s="105"/>
      <c r="B489" s="121">
        <v>85311</v>
      </c>
      <c r="C489" s="121"/>
      <c r="D489" s="87" t="s">
        <v>766</v>
      </c>
      <c r="E489" s="779"/>
      <c r="F489" s="779">
        <f>F490</f>
        <v>60010</v>
      </c>
      <c r="G489" s="779">
        <f>G490</f>
        <v>0</v>
      </c>
      <c r="H489" s="765">
        <f>H490</f>
        <v>60010</v>
      </c>
    </row>
    <row r="490" spans="1:8" ht="12.75">
      <c r="A490" s="105"/>
      <c r="B490" s="110"/>
      <c r="C490" s="110">
        <v>2580</v>
      </c>
      <c r="D490" s="126" t="s">
        <v>767</v>
      </c>
      <c r="E490" s="774"/>
      <c r="F490" s="774">
        <v>60010</v>
      </c>
      <c r="G490" s="774"/>
      <c r="H490" s="764">
        <f>F490+G490</f>
        <v>60010</v>
      </c>
    </row>
    <row r="491" spans="1:8" ht="12.75">
      <c r="A491" s="105"/>
      <c r="B491" s="110"/>
      <c r="C491" s="110"/>
      <c r="D491" s="126" t="s">
        <v>768</v>
      </c>
      <c r="E491" s="774"/>
      <c r="F491" s="774"/>
      <c r="G491" s="774"/>
      <c r="H491" s="764"/>
    </row>
    <row r="492" spans="1:8" ht="12.75">
      <c r="A492" s="105"/>
      <c r="B492" s="110"/>
      <c r="C492" s="110"/>
      <c r="D492" s="126"/>
      <c r="E492" s="774"/>
      <c r="F492" s="774"/>
      <c r="G492" s="774"/>
      <c r="H492" s="764"/>
    </row>
    <row r="493" spans="1:8" ht="12.75">
      <c r="A493" s="105"/>
      <c r="B493" s="80">
        <v>85321</v>
      </c>
      <c r="C493" s="80"/>
      <c r="D493" s="131" t="s">
        <v>177</v>
      </c>
      <c r="E493" s="773">
        <f>SUM(E494:E512)</f>
        <v>274325</v>
      </c>
      <c r="F493" s="773">
        <f>SUM(F494:F512)</f>
        <v>332175</v>
      </c>
      <c r="G493" s="773">
        <f>SUM(G494:G512)</f>
        <v>0</v>
      </c>
      <c r="H493" s="763">
        <f>SUM(H494:H512)</f>
        <v>332175</v>
      </c>
    </row>
    <row r="494" spans="1:10" ht="12.75">
      <c r="A494" s="105"/>
      <c r="B494" s="110"/>
      <c r="C494" s="110">
        <v>4010</v>
      </c>
      <c r="D494" s="126" t="s">
        <v>82</v>
      </c>
      <c r="E494" s="774">
        <v>66887</v>
      </c>
      <c r="F494" s="774">
        <v>80175</v>
      </c>
      <c r="G494" s="774">
        <v>-1500</v>
      </c>
      <c r="H494" s="764">
        <f>F494+G494</f>
        <v>78675</v>
      </c>
      <c r="J494" s="91">
        <f>SUM(H494:H497)</f>
        <v>102826</v>
      </c>
    </row>
    <row r="495" spans="1:8" ht="12.75">
      <c r="A495" s="105"/>
      <c r="B495" s="110"/>
      <c r="C495" s="110">
        <v>4040</v>
      </c>
      <c r="D495" s="126" t="s">
        <v>83</v>
      </c>
      <c r="E495" s="774">
        <v>4431</v>
      </c>
      <c r="F495" s="774">
        <v>4510</v>
      </c>
      <c r="G495" s="774"/>
      <c r="H495" s="764">
        <f aca="true" t="shared" si="20" ref="H495:H512">F495+G495</f>
        <v>4510</v>
      </c>
    </row>
    <row r="496" spans="1:8" ht="12.75">
      <c r="A496" s="105"/>
      <c r="B496" s="110"/>
      <c r="C496" s="110">
        <v>4110</v>
      </c>
      <c r="D496" s="126" t="s">
        <v>84</v>
      </c>
      <c r="E496" s="774">
        <v>11860</v>
      </c>
      <c r="F496" s="774">
        <v>14599</v>
      </c>
      <c r="G496" s="774">
        <v>3000</v>
      </c>
      <c r="H496" s="764">
        <f t="shared" si="20"/>
        <v>17599</v>
      </c>
    </row>
    <row r="497" spans="1:8" ht="12.75">
      <c r="A497" s="105"/>
      <c r="B497" s="110"/>
      <c r="C497" s="110">
        <v>4120</v>
      </c>
      <c r="D497" s="126" t="s">
        <v>85</v>
      </c>
      <c r="E497" s="774">
        <v>1394</v>
      </c>
      <c r="F497" s="774">
        <v>2042</v>
      </c>
      <c r="G497" s="774"/>
      <c r="H497" s="764">
        <f t="shared" si="20"/>
        <v>2042</v>
      </c>
    </row>
    <row r="498" spans="1:8" ht="12.75">
      <c r="A498" s="105"/>
      <c r="B498" s="110"/>
      <c r="C498" s="110">
        <v>4170</v>
      </c>
      <c r="D498" s="126" t="s">
        <v>86</v>
      </c>
      <c r="E498" s="774"/>
      <c r="F498" s="774">
        <v>40300</v>
      </c>
      <c r="G498" s="774"/>
      <c r="H498" s="764">
        <f t="shared" si="20"/>
        <v>40300</v>
      </c>
    </row>
    <row r="499" spans="1:8" ht="12.75">
      <c r="A499" s="105"/>
      <c r="B499" s="110"/>
      <c r="C499" s="110">
        <v>4210</v>
      </c>
      <c r="D499" s="126" t="s">
        <v>87</v>
      </c>
      <c r="E499" s="774">
        <v>18900</v>
      </c>
      <c r="F499" s="774">
        <v>17625</v>
      </c>
      <c r="G499" s="774">
        <f>-3000+3000</f>
        <v>0</v>
      </c>
      <c r="H499" s="764">
        <f t="shared" si="20"/>
        <v>17625</v>
      </c>
    </row>
    <row r="500" spans="1:8" ht="12.75">
      <c r="A500" s="105"/>
      <c r="B500" s="110"/>
      <c r="C500" s="110">
        <v>4260</v>
      </c>
      <c r="D500" s="126" t="s">
        <v>88</v>
      </c>
      <c r="E500" s="774">
        <v>11020</v>
      </c>
      <c r="F500" s="774">
        <v>11640</v>
      </c>
      <c r="G500" s="774"/>
      <c r="H500" s="764">
        <f t="shared" si="20"/>
        <v>11640</v>
      </c>
    </row>
    <row r="501" spans="1:8" ht="12.75">
      <c r="A501" s="105"/>
      <c r="B501" s="110"/>
      <c r="C501" s="110">
        <v>4270</v>
      </c>
      <c r="D501" s="126" t="s">
        <v>89</v>
      </c>
      <c r="E501" s="774">
        <v>5600</v>
      </c>
      <c r="F501" s="774">
        <v>2254</v>
      </c>
      <c r="G501" s="774"/>
      <c r="H501" s="764">
        <f t="shared" si="20"/>
        <v>2254</v>
      </c>
    </row>
    <row r="502" spans="1:8" ht="12.75">
      <c r="A502" s="105"/>
      <c r="B502" s="110"/>
      <c r="C502" s="110">
        <v>4280</v>
      </c>
      <c r="D502" s="126" t="s">
        <v>90</v>
      </c>
      <c r="E502" s="774">
        <v>100</v>
      </c>
      <c r="F502" s="774">
        <v>100</v>
      </c>
      <c r="G502" s="774"/>
      <c r="H502" s="764">
        <f t="shared" si="20"/>
        <v>100</v>
      </c>
    </row>
    <row r="503" spans="1:8" ht="12.75">
      <c r="A503" s="105"/>
      <c r="B503" s="110"/>
      <c r="C503" s="110">
        <v>4300</v>
      </c>
      <c r="D503" s="126" t="s">
        <v>76</v>
      </c>
      <c r="E503" s="774">
        <v>148254</v>
      </c>
      <c r="F503" s="774">
        <v>140920</v>
      </c>
      <c r="G503" s="774"/>
      <c r="H503" s="764">
        <f t="shared" si="20"/>
        <v>140920</v>
      </c>
    </row>
    <row r="504" spans="1:8" ht="12.75">
      <c r="A504" s="105"/>
      <c r="B504" s="110"/>
      <c r="C504" s="110">
        <v>4370</v>
      </c>
      <c r="D504" s="126" t="s">
        <v>93</v>
      </c>
      <c r="E504" s="774">
        <v>0</v>
      </c>
      <c r="F504" s="774">
        <v>4800</v>
      </c>
      <c r="G504" s="774"/>
      <c r="H504" s="764">
        <f t="shared" si="20"/>
        <v>4800</v>
      </c>
    </row>
    <row r="505" spans="1:8" ht="12.75">
      <c r="A505" s="105"/>
      <c r="B505" s="110"/>
      <c r="C505" s="110">
        <v>4410</v>
      </c>
      <c r="D505" s="126" t="s">
        <v>94</v>
      </c>
      <c r="E505" s="774">
        <v>3000</v>
      </c>
      <c r="F505" s="774">
        <v>3000</v>
      </c>
      <c r="G505" s="774"/>
      <c r="H505" s="764">
        <f t="shared" si="20"/>
        <v>3000</v>
      </c>
    </row>
    <row r="506" spans="1:8" ht="12.75">
      <c r="A506" s="105"/>
      <c r="B506" s="110"/>
      <c r="C506" s="110">
        <v>4430</v>
      </c>
      <c r="D506" s="126" t="s">
        <v>95</v>
      </c>
      <c r="E506" s="774">
        <v>972</v>
      </c>
      <c r="F506" s="774">
        <v>700</v>
      </c>
      <c r="G506" s="774"/>
      <c r="H506" s="764">
        <f t="shared" si="20"/>
        <v>700</v>
      </c>
    </row>
    <row r="507" spans="1:8" ht="12.75">
      <c r="A507" s="105"/>
      <c r="B507" s="110"/>
      <c r="C507" s="110">
        <v>4440</v>
      </c>
      <c r="D507" s="126" t="s">
        <v>96</v>
      </c>
      <c r="E507" s="774">
        <v>1907</v>
      </c>
      <c r="F507" s="774">
        <v>2897</v>
      </c>
      <c r="G507" s="774"/>
      <c r="H507" s="764">
        <f t="shared" si="20"/>
        <v>2897</v>
      </c>
    </row>
    <row r="508" spans="1:8" ht="12.75">
      <c r="A508" s="105"/>
      <c r="B508" s="110"/>
      <c r="C508" s="110">
        <v>4480</v>
      </c>
      <c r="D508" s="126" t="s">
        <v>97</v>
      </c>
      <c r="E508" s="774"/>
      <c r="F508" s="774">
        <v>463</v>
      </c>
      <c r="G508" s="774"/>
      <c r="H508" s="764">
        <f t="shared" si="20"/>
        <v>463</v>
      </c>
    </row>
    <row r="509" spans="1:8" ht="12.75">
      <c r="A509" s="105"/>
      <c r="B509" s="110"/>
      <c r="C509" s="110">
        <v>4510</v>
      </c>
      <c r="D509" s="126" t="s">
        <v>99</v>
      </c>
      <c r="E509" s="774"/>
      <c r="F509" s="774">
        <v>150</v>
      </c>
      <c r="G509" s="774"/>
      <c r="H509" s="764">
        <f t="shared" si="20"/>
        <v>150</v>
      </c>
    </row>
    <row r="510" spans="1:8" ht="12.75">
      <c r="A510" s="105"/>
      <c r="B510" s="110"/>
      <c r="C510" s="110">
        <v>4700</v>
      </c>
      <c r="D510" s="126" t="s">
        <v>115</v>
      </c>
      <c r="E510" s="774">
        <v>0</v>
      </c>
      <c r="F510" s="774">
        <v>1500</v>
      </c>
      <c r="G510" s="774">
        <v>-1500</v>
      </c>
      <c r="H510" s="764">
        <f t="shared" si="20"/>
        <v>0</v>
      </c>
    </row>
    <row r="511" spans="1:8" ht="12.75">
      <c r="A511" s="105"/>
      <c r="B511" s="110"/>
      <c r="C511" s="110">
        <v>4740</v>
      </c>
      <c r="D511" s="126" t="s">
        <v>124</v>
      </c>
      <c r="E511" s="774">
        <v>0</v>
      </c>
      <c r="F511" s="774">
        <v>1500</v>
      </c>
      <c r="G511" s="774"/>
      <c r="H511" s="764">
        <f t="shared" si="20"/>
        <v>1500</v>
      </c>
    </row>
    <row r="512" spans="1:8" ht="12.75">
      <c r="A512" s="105"/>
      <c r="B512" s="110"/>
      <c r="C512" s="110">
        <v>4750</v>
      </c>
      <c r="D512" s="126" t="s">
        <v>125</v>
      </c>
      <c r="E512" s="774">
        <v>0</v>
      </c>
      <c r="F512" s="774">
        <v>3000</v>
      </c>
      <c r="G512" s="774"/>
      <c r="H512" s="764">
        <f t="shared" si="20"/>
        <v>3000</v>
      </c>
    </row>
    <row r="513" spans="1:8" ht="12.75">
      <c r="A513" s="105"/>
      <c r="B513" s="110"/>
      <c r="C513" s="110"/>
      <c r="D513" s="126"/>
      <c r="E513" s="774"/>
      <c r="F513" s="774"/>
      <c r="G513" s="774"/>
      <c r="H513" s="764"/>
    </row>
    <row r="514" spans="1:8" ht="12.75">
      <c r="A514" s="114"/>
      <c r="B514" s="80">
        <v>85333</v>
      </c>
      <c r="C514" s="80"/>
      <c r="D514" s="131" t="s">
        <v>178</v>
      </c>
      <c r="E514" s="773">
        <f>SUM(E515:E516)</f>
        <v>87217</v>
      </c>
      <c r="F514" s="773">
        <f>SUM(F515:F516)</f>
        <v>656809</v>
      </c>
      <c r="G514" s="773">
        <f>SUM(G515:G516)</f>
        <v>0</v>
      </c>
      <c r="H514" s="763">
        <f>SUM(H515:H516)</f>
        <v>656809</v>
      </c>
    </row>
    <row r="515" spans="1:8" ht="12.75">
      <c r="A515" s="114"/>
      <c r="B515" s="110"/>
      <c r="C515" s="110">
        <v>2310</v>
      </c>
      <c r="D515" s="126" t="s">
        <v>157</v>
      </c>
      <c r="E515" s="774">
        <v>0</v>
      </c>
      <c r="F515" s="774">
        <v>616103</v>
      </c>
      <c r="G515" s="774"/>
      <c r="H515" s="764">
        <f>F515+G515</f>
        <v>616103</v>
      </c>
    </row>
    <row r="516" spans="1:8" ht="12.75">
      <c r="A516" s="114"/>
      <c r="B516" s="110"/>
      <c r="C516" s="110">
        <v>4300</v>
      </c>
      <c r="D516" s="126" t="s">
        <v>76</v>
      </c>
      <c r="E516" s="774">
        <v>87217</v>
      </c>
      <c r="F516" s="774">
        <v>40706</v>
      </c>
      <c r="G516" s="774"/>
      <c r="H516" s="764">
        <f>F516+G516</f>
        <v>40706</v>
      </c>
    </row>
    <row r="517" spans="1:8" ht="12.75">
      <c r="A517" s="114"/>
      <c r="B517" s="110"/>
      <c r="C517" s="110"/>
      <c r="D517" s="126"/>
      <c r="E517" s="774"/>
      <c r="F517" s="774"/>
      <c r="G517" s="774"/>
      <c r="H517" s="764"/>
    </row>
    <row r="518" spans="1:8" ht="12.75">
      <c r="A518" s="114"/>
      <c r="B518" s="80">
        <v>85395</v>
      </c>
      <c r="C518" s="80"/>
      <c r="D518" s="131" t="s">
        <v>60</v>
      </c>
      <c r="E518" s="773">
        <f>SUM(E520:E525)</f>
        <v>715961</v>
      </c>
      <c r="F518" s="773">
        <f>SUM(F519:F525)</f>
        <v>556234</v>
      </c>
      <c r="G518" s="773">
        <f>SUM(G519:G525)</f>
        <v>0</v>
      </c>
      <c r="H518" s="763">
        <f>SUM(H519:H525)</f>
        <v>556234</v>
      </c>
    </row>
    <row r="519" spans="1:8" ht="12.75">
      <c r="A519" s="114"/>
      <c r="B519" s="110"/>
      <c r="C519" s="110">
        <v>3110</v>
      </c>
      <c r="D519" s="126" t="s">
        <v>179</v>
      </c>
      <c r="E519" s="774"/>
      <c r="F519" s="774">
        <v>197474</v>
      </c>
      <c r="G519" s="774"/>
      <c r="H519" s="764">
        <f aca="true" t="shared" si="21" ref="H519:H525">F519+G519</f>
        <v>197474</v>
      </c>
    </row>
    <row r="520" spans="1:8" ht="12.75">
      <c r="A520" s="114"/>
      <c r="B520" s="110"/>
      <c r="C520" s="110">
        <v>3118</v>
      </c>
      <c r="D520" s="126" t="s">
        <v>179</v>
      </c>
      <c r="E520" s="774">
        <v>426475</v>
      </c>
      <c r="F520" s="774">
        <v>179527</v>
      </c>
      <c r="G520" s="774"/>
      <c r="H520" s="764">
        <f t="shared" si="21"/>
        <v>179527</v>
      </c>
    </row>
    <row r="521" spans="1:8" ht="12.75">
      <c r="A521" s="114"/>
      <c r="B521" s="110"/>
      <c r="C521" s="110">
        <v>3119</v>
      </c>
      <c r="D521" s="126" t="s">
        <v>179</v>
      </c>
      <c r="E521" s="774">
        <v>0</v>
      </c>
      <c r="F521" s="774">
        <v>39911</v>
      </c>
      <c r="G521" s="774"/>
      <c r="H521" s="764">
        <f t="shared" si="21"/>
        <v>39911</v>
      </c>
    </row>
    <row r="522" spans="1:8" ht="12.75">
      <c r="A522" s="114"/>
      <c r="B522" s="110"/>
      <c r="C522" s="110">
        <v>4118</v>
      </c>
      <c r="D522" s="126" t="s">
        <v>84</v>
      </c>
      <c r="E522" s="774">
        <v>35871</v>
      </c>
      <c r="F522" s="774">
        <v>109568</v>
      </c>
      <c r="G522" s="774"/>
      <c r="H522" s="764">
        <f t="shared" si="21"/>
        <v>109568</v>
      </c>
    </row>
    <row r="523" spans="1:8" ht="12.75">
      <c r="A523" s="114"/>
      <c r="B523" s="110"/>
      <c r="C523" s="110">
        <v>4219</v>
      </c>
      <c r="D523" s="126" t="s">
        <v>87</v>
      </c>
      <c r="E523" s="774"/>
      <c r="F523" s="774">
        <v>10000</v>
      </c>
      <c r="G523" s="774"/>
      <c r="H523" s="764">
        <f t="shared" si="21"/>
        <v>10000</v>
      </c>
    </row>
    <row r="524" spans="1:8" ht="12.75">
      <c r="A524" s="114"/>
      <c r="B524" s="110"/>
      <c r="C524" s="110">
        <v>4288</v>
      </c>
      <c r="D524" s="126" t="s">
        <v>90</v>
      </c>
      <c r="E524" s="774"/>
      <c r="F524" s="774">
        <v>1888</v>
      </c>
      <c r="G524" s="774"/>
      <c r="H524" s="764">
        <f t="shared" si="21"/>
        <v>1888</v>
      </c>
    </row>
    <row r="525" spans="1:8" ht="12.75">
      <c r="A525" s="114"/>
      <c r="B525" s="110"/>
      <c r="C525" s="110">
        <v>4308</v>
      </c>
      <c r="D525" s="126" t="s">
        <v>76</v>
      </c>
      <c r="E525" s="774">
        <v>253615</v>
      </c>
      <c r="F525" s="774">
        <v>17866</v>
      </c>
      <c r="G525" s="774"/>
      <c r="H525" s="764">
        <f t="shared" si="21"/>
        <v>17866</v>
      </c>
    </row>
    <row r="526" spans="1:8" ht="12.75">
      <c r="A526" s="123"/>
      <c r="B526" s="110"/>
      <c r="C526" s="110"/>
      <c r="D526" s="126"/>
      <c r="E526" s="774"/>
      <c r="F526" s="774"/>
      <c r="G526" s="774"/>
      <c r="H526" s="764"/>
    </row>
    <row r="527" spans="1:8" ht="13.5" thickBot="1">
      <c r="A527" s="79">
        <v>854</v>
      </c>
      <c r="B527" s="129"/>
      <c r="C527" s="129"/>
      <c r="D527" s="86" t="s">
        <v>180</v>
      </c>
      <c r="E527" s="104" t="e">
        <f>E528+E539+E563+E581+E630+E599+#REF!</f>
        <v>#REF!</v>
      </c>
      <c r="F527" s="104">
        <f>F528+F539+F563+F581+F630+F599+F625</f>
        <v>3561734</v>
      </c>
      <c r="G527" s="104">
        <f>G528+G539+G563+G581+G630+G599+G625</f>
        <v>29455</v>
      </c>
      <c r="H527" s="146">
        <f>H528+H539+H563+H581+H630+H599+H625</f>
        <v>3591189</v>
      </c>
    </row>
    <row r="528" spans="1:8" ht="12.75">
      <c r="A528" s="114"/>
      <c r="B528" s="80">
        <v>85401</v>
      </c>
      <c r="C528" s="80"/>
      <c r="D528" s="131" t="s">
        <v>181</v>
      </c>
      <c r="E528" s="773">
        <f>SUM(E529:E536)</f>
        <v>43170</v>
      </c>
      <c r="F528" s="773">
        <f>SUM(F529:F537)</f>
        <v>53472</v>
      </c>
      <c r="G528" s="773">
        <f>SUM(G529:G537)</f>
        <v>3120</v>
      </c>
      <c r="H528" s="763">
        <f>SUM(H529:H537)</f>
        <v>56592</v>
      </c>
    </row>
    <row r="529" spans="1:8" ht="12.75">
      <c r="A529" s="114"/>
      <c r="B529" s="110"/>
      <c r="C529" s="110">
        <v>3020</v>
      </c>
      <c r="D529" s="126" t="s">
        <v>81</v>
      </c>
      <c r="E529" s="774">
        <v>0</v>
      </c>
      <c r="F529" s="774">
        <v>63</v>
      </c>
      <c r="G529" s="774"/>
      <c r="H529" s="764">
        <f>F529+G529</f>
        <v>63</v>
      </c>
    </row>
    <row r="530" spans="1:10" ht="12.75">
      <c r="A530" s="114"/>
      <c r="B530" s="110"/>
      <c r="C530" s="110">
        <v>4010</v>
      </c>
      <c r="D530" s="126" t="s">
        <v>82</v>
      </c>
      <c r="E530" s="774">
        <v>30166</v>
      </c>
      <c r="F530" s="774">
        <v>36786</v>
      </c>
      <c r="G530" s="774">
        <v>3000</v>
      </c>
      <c r="H530" s="764">
        <f aca="true" t="shared" si="22" ref="H530:H537">F530+G530</f>
        <v>39786</v>
      </c>
      <c r="J530" s="91">
        <f>SUM(H530:H533)</f>
        <v>49779</v>
      </c>
    </row>
    <row r="531" spans="1:8" ht="12.75">
      <c r="A531" s="114"/>
      <c r="B531" s="110"/>
      <c r="C531" s="110">
        <v>4040</v>
      </c>
      <c r="D531" s="126" t="s">
        <v>83</v>
      </c>
      <c r="E531" s="774">
        <v>2410</v>
      </c>
      <c r="F531" s="774">
        <v>2580</v>
      </c>
      <c r="G531" s="774"/>
      <c r="H531" s="764">
        <f t="shared" si="22"/>
        <v>2580</v>
      </c>
    </row>
    <row r="532" spans="1:8" ht="12.75">
      <c r="A532" s="114"/>
      <c r="B532" s="110"/>
      <c r="C532" s="110">
        <v>4110</v>
      </c>
      <c r="D532" s="126" t="s">
        <v>84</v>
      </c>
      <c r="E532" s="774">
        <v>5837</v>
      </c>
      <c r="F532" s="774">
        <v>6407</v>
      </c>
      <c r="G532" s="774">
        <v>100</v>
      </c>
      <c r="H532" s="764">
        <f t="shared" si="22"/>
        <v>6507</v>
      </c>
    </row>
    <row r="533" spans="1:8" ht="12.75">
      <c r="A533" s="114"/>
      <c r="B533" s="110"/>
      <c r="C533" s="110">
        <v>4120</v>
      </c>
      <c r="D533" s="126" t="s">
        <v>85</v>
      </c>
      <c r="E533" s="774">
        <v>911</v>
      </c>
      <c r="F533" s="774">
        <v>886</v>
      </c>
      <c r="G533" s="774">
        <v>20</v>
      </c>
      <c r="H533" s="764">
        <f t="shared" si="22"/>
        <v>906</v>
      </c>
    </row>
    <row r="534" spans="1:8" ht="12.75">
      <c r="A534" s="114"/>
      <c r="B534" s="110"/>
      <c r="C534" s="110">
        <v>4210</v>
      </c>
      <c r="D534" s="126" t="s">
        <v>87</v>
      </c>
      <c r="E534" s="774">
        <v>0</v>
      </c>
      <c r="F534" s="774">
        <v>2000</v>
      </c>
      <c r="G534" s="774">
        <v>-147</v>
      </c>
      <c r="H534" s="764">
        <f t="shared" si="22"/>
        <v>1853</v>
      </c>
    </row>
    <row r="535" spans="1:8" ht="12.75">
      <c r="A535" s="114"/>
      <c r="B535" s="110"/>
      <c r="C535" s="110">
        <v>4260</v>
      </c>
      <c r="D535" s="126" t="s">
        <v>88</v>
      </c>
      <c r="E535" s="774">
        <v>0</v>
      </c>
      <c r="F535" s="774">
        <v>800</v>
      </c>
      <c r="G535" s="774"/>
      <c r="H535" s="764">
        <f t="shared" si="22"/>
        <v>800</v>
      </c>
    </row>
    <row r="536" spans="1:8" ht="12.75">
      <c r="A536" s="114"/>
      <c r="B536" s="110"/>
      <c r="C536" s="110">
        <v>4440</v>
      </c>
      <c r="D536" s="126" t="s">
        <v>96</v>
      </c>
      <c r="E536" s="774">
        <v>3846</v>
      </c>
      <c r="F536" s="774">
        <v>3950</v>
      </c>
      <c r="G536" s="774"/>
      <c r="H536" s="764">
        <f t="shared" si="22"/>
        <v>3950</v>
      </c>
    </row>
    <row r="537" spans="1:8" ht="12.75">
      <c r="A537" s="114"/>
      <c r="B537" s="110"/>
      <c r="C537" s="110">
        <v>4750</v>
      </c>
      <c r="D537" s="126" t="s">
        <v>125</v>
      </c>
      <c r="E537" s="774"/>
      <c r="F537" s="774">
        <v>0</v>
      </c>
      <c r="G537" s="774">
        <v>147</v>
      </c>
      <c r="H537" s="764">
        <f t="shared" si="22"/>
        <v>147</v>
      </c>
    </row>
    <row r="538" spans="1:8" ht="14.25" customHeight="1">
      <c r="A538" s="114"/>
      <c r="B538" s="110"/>
      <c r="C538" s="110"/>
      <c r="D538" s="126"/>
      <c r="E538" s="774"/>
      <c r="F538" s="774"/>
      <c r="G538" s="774"/>
      <c r="H538" s="764"/>
    </row>
    <row r="539" spans="1:8" ht="12.75">
      <c r="A539" s="114"/>
      <c r="B539" s="80">
        <v>85406</v>
      </c>
      <c r="C539" s="80"/>
      <c r="D539" s="131" t="s">
        <v>182</v>
      </c>
      <c r="E539" s="773">
        <f>SUM(E540:E561)</f>
        <v>603699</v>
      </c>
      <c r="F539" s="773">
        <f>SUM(F540:F561)</f>
        <v>627287</v>
      </c>
      <c r="G539" s="773">
        <f>SUM(G540:G561)</f>
        <v>5535</v>
      </c>
      <c r="H539" s="763">
        <f>SUM(H540:H561)</f>
        <v>632822</v>
      </c>
    </row>
    <row r="540" spans="1:9" ht="12.75">
      <c r="A540" s="114"/>
      <c r="B540" s="110"/>
      <c r="C540" s="110">
        <v>2310</v>
      </c>
      <c r="D540" s="126" t="s">
        <v>157</v>
      </c>
      <c r="E540" s="774">
        <v>120000</v>
      </c>
      <c r="F540" s="774">
        <v>124800</v>
      </c>
      <c r="G540" s="774"/>
      <c r="H540" s="764">
        <f>F540+G540</f>
        <v>124800</v>
      </c>
      <c r="I540" s="91"/>
    </row>
    <row r="541" spans="1:8" ht="12.75">
      <c r="A541" s="114"/>
      <c r="B541" s="110"/>
      <c r="C541" s="110">
        <v>3020</v>
      </c>
      <c r="D541" s="126" t="s">
        <v>81</v>
      </c>
      <c r="E541" s="774">
        <v>919</v>
      </c>
      <c r="F541" s="774">
        <v>101</v>
      </c>
      <c r="G541" s="774"/>
      <c r="H541" s="764">
        <f aca="true" t="shared" si="23" ref="H541:H561">F541+G541</f>
        <v>101</v>
      </c>
    </row>
    <row r="542" spans="1:10" ht="12.75">
      <c r="A542" s="114"/>
      <c r="B542" s="110"/>
      <c r="C542" s="110">
        <v>4010</v>
      </c>
      <c r="D542" s="126" t="s">
        <v>82</v>
      </c>
      <c r="E542" s="774">
        <v>317392</v>
      </c>
      <c r="F542" s="774">
        <v>334814</v>
      </c>
      <c r="G542" s="774"/>
      <c r="H542" s="764">
        <f t="shared" si="23"/>
        <v>334814</v>
      </c>
      <c r="J542" s="91">
        <f>SUM(H542:H545)</f>
        <v>437077</v>
      </c>
    </row>
    <row r="543" spans="1:8" ht="12.75">
      <c r="A543" s="114"/>
      <c r="B543" s="110"/>
      <c r="C543" s="110">
        <v>4040</v>
      </c>
      <c r="D543" s="126" t="s">
        <v>83</v>
      </c>
      <c r="E543" s="774">
        <v>24151</v>
      </c>
      <c r="F543" s="774">
        <v>25578</v>
      </c>
      <c r="G543" s="774"/>
      <c r="H543" s="764">
        <f t="shared" si="23"/>
        <v>25578</v>
      </c>
    </row>
    <row r="544" spans="1:8" ht="12.75">
      <c r="A544" s="114"/>
      <c r="B544" s="110"/>
      <c r="C544" s="110">
        <v>4110</v>
      </c>
      <c r="D544" s="126" t="s">
        <v>84</v>
      </c>
      <c r="E544" s="774">
        <v>58876</v>
      </c>
      <c r="F544" s="774">
        <v>60464</v>
      </c>
      <c r="G544" s="774">
        <v>642</v>
      </c>
      <c r="H544" s="764">
        <f t="shared" si="23"/>
        <v>61106</v>
      </c>
    </row>
    <row r="545" spans="1:8" ht="12.75">
      <c r="A545" s="114"/>
      <c r="B545" s="110"/>
      <c r="C545" s="110">
        <v>4120</v>
      </c>
      <c r="D545" s="126" t="s">
        <v>85</v>
      </c>
      <c r="E545" s="774">
        <v>8222</v>
      </c>
      <c r="F545" s="774">
        <v>15488</v>
      </c>
      <c r="G545" s="774">
        <v>91</v>
      </c>
      <c r="H545" s="764">
        <f t="shared" si="23"/>
        <v>15579</v>
      </c>
    </row>
    <row r="546" spans="1:8" ht="12.75">
      <c r="A546" s="114"/>
      <c r="B546" s="110"/>
      <c r="C546" s="110">
        <v>4170</v>
      </c>
      <c r="D546" s="126" t="s">
        <v>86</v>
      </c>
      <c r="E546" s="774"/>
      <c r="F546" s="774">
        <v>0</v>
      </c>
      <c r="G546" s="774">
        <v>3679</v>
      </c>
      <c r="H546" s="764">
        <f t="shared" si="23"/>
        <v>3679</v>
      </c>
    </row>
    <row r="547" spans="1:8" ht="12.75">
      <c r="A547" s="114"/>
      <c r="B547" s="110"/>
      <c r="C547" s="110">
        <v>4210</v>
      </c>
      <c r="D547" s="126" t="s">
        <v>87</v>
      </c>
      <c r="E547" s="774">
        <v>7409</v>
      </c>
      <c r="F547" s="774">
        <v>13050</v>
      </c>
      <c r="G547" s="774">
        <f>-730+100</f>
        <v>-630</v>
      </c>
      <c r="H547" s="764">
        <f t="shared" si="23"/>
        <v>12420</v>
      </c>
    </row>
    <row r="548" spans="1:8" ht="12.75">
      <c r="A548" s="114"/>
      <c r="B548" s="110"/>
      <c r="C548" s="110">
        <v>4240</v>
      </c>
      <c r="D548" s="126" t="s">
        <v>146</v>
      </c>
      <c r="E548" s="774">
        <v>21916</v>
      </c>
      <c r="F548" s="774">
        <v>1916</v>
      </c>
      <c r="G548" s="774">
        <f>144+30</f>
        <v>174</v>
      </c>
      <c r="H548" s="764">
        <f t="shared" si="23"/>
        <v>2090</v>
      </c>
    </row>
    <row r="549" spans="1:8" ht="12.75">
      <c r="A549" s="114"/>
      <c r="B549" s="110"/>
      <c r="C549" s="110">
        <v>4260</v>
      </c>
      <c r="D549" s="126" t="s">
        <v>88</v>
      </c>
      <c r="E549" s="774">
        <v>8931</v>
      </c>
      <c r="F549" s="774">
        <v>10000</v>
      </c>
      <c r="G549" s="774"/>
      <c r="H549" s="764">
        <f t="shared" si="23"/>
        <v>10000</v>
      </c>
    </row>
    <row r="550" spans="1:8" ht="12.75">
      <c r="A550" s="114"/>
      <c r="B550" s="110"/>
      <c r="C550" s="110">
        <v>4270</v>
      </c>
      <c r="D550" s="126" t="s">
        <v>89</v>
      </c>
      <c r="E550" s="774">
        <v>2880</v>
      </c>
      <c r="F550" s="774">
        <v>3250</v>
      </c>
      <c r="G550" s="774"/>
      <c r="H550" s="764">
        <f t="shared" si="23"/>
        <v>3250</v>
      </c>
    </row>
    <row r="551" spans="1:8" ht="12.75">
      <c r="A551" s="114"/>
      <c r="B551" s="126"/>
      <c r="C551" s="110">
        <v>4280</v>
      </c>
      <c r="D551" s="126" t="s">
        <v>90</v>
      </c>
      <c r="E551" s="774">
        <v>40</v>
      </c>
      <c r="F551" s="774">
        <v>164</v>
      </c>
      <c r="G551" s="774"/>
      <c r="H551" s="764">
        <f t="shared" si="23"/>
        <v>164</v>
      </c>
    </row>
    <row r="552" spans="1:8" ht="12.75">
      <c r="A552" s="114"/>
      <c r="B552" s="126"/>
      <c r="C552" s="110">
        <v>4300</v>
      </c>
      <c r="D552" s="126" t="s">
        <v>76</v>
      </c>
      <c r="E552" s="774">
        <v>9565</v>
      </c>
      <c r="F552" s="774">
        <v>4100</v>
      </c>
      <c r="G552" s="774">
        <f>586+20</f>
        <v>606</v>
      </c>
      <c r="H552" s="764">
        <f t="shared" si="23"/>
        <v>4706</v>
      </c>
    </row>
    <row r="553" spans="1:8" ht="12.75">
      <c r="A553" s="114"/>
      <c r="B553" s="126"/>
      <c r="C553" s="110">
        <v>4350</v>
      </c>
      <c r="D553" s="126" t="s">
        <v>130</v>
      </c>
      <c r="E553" s="774">
        <v>68</v>
      </c>
      <c r="F553" s="774">
        <v>100</v>
      </c>
      <c r="G553" s="774"/>
      <c r="H553" s="764">
        <f t="shared" si="23"/>
        <v>100</v>
      </c>
    </row>
    <row r="554" spans="1:8" ht="12.75">
      <c r="A554" s="114"/>
      <c r="B554" s="126"/>
      <c r="C554" s="110">
        <v>4370</v>
      </c>
      <c r="D554" s="126" t="s">
        <v>93</v>
      </c>
      <c r="E554" s="774">
        <v>0</v>
      </c>
      <c r="F554" s="774">
        <v>3200</v>
      </c>
      <c r="G554" s="774"/>
      <c r="H554" s="764">
        <f t="shared" si="23"/>
        <v>3200</v>
      </c>
    </row>
    <row r="555" spans="1:8" ht="12.75">
      <c r="A555" s="114"/>
      <c r="B555" s="126"/>
      <c r="C555" s="110">
        <v>4400</v>
      </c>
      <c r="D555" s="126" t="s">
        <v>750</v>
      </c>
      <c r="E555" s="774">
        <v>0</v>
      </c>
      <c r="F555" s="774">
        <v>2158</v>
      </c>
      <c r="G555" s="774"/>
      <c r="H555" s="764">
        <f>F555+G555</f>
        <v>2158</v>
      </c>
    </row>
    <row r="556" spans="1:8" ht="12.75">
      <c r="A556" s="114"/>
      <c r="B556" s="126"/>
      <c r="C556" s="110">
        <v>4410</v>
      </c>
      <c r="D556" s="126" t="s">
        <v>94</v>
      </c>
      <c r="E556" s="774">
        <v>2105</v>
      </c>
      <c r="F556" s="774">
        <v>1874</v>
      </c>
      <c r="G556" s="774"/>
      <c r="H556" s="764">
        <f t="shared" si="23"/>
        <v>1874</v>
      </c>
    </row>
    <row r="557" spans="1:8" ht="12.75">
      <c r="A557" s="114"/>
      <c r="B557" s="126"/>
      <c r="C557" s="110">
        <v>4430</v>
      </c>
      <c r="D557" s="126" t="s">
        <v>95</v>
      </c>
      <c r="E557" s="774">
        <v>412</v>
      </c>
      <c r="F557" s="774">
        <v>2000</v>
      </c>
      <c r="G557" s="774"/>
      <c r="H557" s="764">
        <f t="shared" si="23"/>
        <v>2000</v>
      </c>
    </row>
    <row r="558" spans="1:8" ht="12.75">
      <c r="A558" s="114"/>
      <c r="B558" s="126"/>
      <c r="C558" s="110">
        <v>4440</v>
      </c>
      <c r="D558" s="126" t="s">
        <v>96</v>
      </c>
      <c r="E558" s="774">
        <v>20813</v>
      </c>
      <c r="F558" s="774">
        <v>21500</v>
      </c>
      <c r="G558" s="774"/>
      <c r="H558" s="764">
        <f t="shared" si="23"/>
        <v>21500</v>
      </c>
    </row>
    <row r="559" spans="1:8" ht="12.75">
      <c r="A559" s="114"/>
      <c r="B559" s="126"/>
      <c r="C559" s="110">
        <v>4700</v>
      </c>
      <c r="D559" s="126" t="s">
        <v>115</v>
      </c>
      <c r="E559" s="774">
        <v>0</v>
      </c>
      <c r="F559" s="774">
        <v>330</v>
      </c>
      <c r="G559" s="774"/>
      <c r="H559" s="764">
        <f t="shared" si="23"/>
        <v>330</v>
      </c>
    </row>
    <row r="560" spans="1:8" ht="12.75">
      <c r="A560" s="114"/>
      <c r="B560" s="126"/>
      <c r="C560" s="110">
        <v>4740</v>
      </c>
      <c r="D560" s="126" t="s">
        <v>124</v>
      </c>
      <c r="E560" s="774">
        <v>0</v>
      </c>
      <c r="F560" s="774">
        <v>600</v>
      </c>
      <c r="G560" s="774">
        <v>273</v>
      </c>
      <c r="H560" s="764">
        <f t="shared" si="23"/>
        <v>873</v>
      </c>
    </row>
    <row r="561" spans="1:8" ht="12.75">
      <c r="A561" s="114"/>
      <c r="B561" s="126"/>
      <c r="C561" s="110">
        <v>4750</v>
      </c>
      <c r="D561" s="126" t="s">
        <v>125</v>
      </c>
      <c r="E561" s="774">
        <v>0</v>
      </c>
      <c r="F561" s="774">
        <v>1800</v>
      </c>
      <c r="G561" s="774">
        <v>700</v>
      </c>
      <c r="H561" s="764">
        <f t="shared" si="23"/>
        <v>2500</v>
      </c>
    </row>
    <row r="562" spans="1:8" ht="12.75">
      <c r="A562" s="114"/>
      <c r="B562" s="126"/>
      <c r="C562" s="110"/>
      <c r="D562" s="126"/>
      <c r="E562" s="774"/>
      <c r="F562" s="774"/>
      <c r="G562" s="774"/>
      <c r="H562" s="764"/>
    </row>
    <row r="563" spans="1:8" ht="12.75">
      <c r="A563" s="123"/>
      <c r="B563" s="80">
        <v>85410</v>
      </c>
      <c r="C563" s="80"/>
      <c r="D563" s="131" t="s">
        <v>183</v>
      </c>
      <c r="E563" s="773">
        <f>SUM(E564:E579)</f>
        <v>235468</v>
      </c>
      <c r="F563" s="773">
        <f>SUM(F564:F579)</f>
        <v>293877</v>
      </c>
      <c r="G563" s="773">
        <f>SUM(G564:G579)</f>
        <v>0</v>
      </c>
      <c r="H563" s="763">
        <f>SUM(H564:H579)</f>
        <v>293877</v>
      </c>
    </row>
    <row r="564" spans="1:8" ht="12.75">
      <c r="A564" s="123"/>
      <c r="B564" s="126"/>
      <c r="C564" s="110">
        <v>3020</v>
      </c>
      <c r="D564" s="126" t="s">
        <v>81</v>
      </c>
      <c r="E564" s="774">
        <v>136</v>
      </c>
      <c r="F564" s="774">
        <v>157</v>
      </c>
      <c r="G564" s="774"/>
      <c r="H564" s="764">
        <f>F564+G564</f>
        <v>157</v>
      </c>
    </row>
    <row r="565" spans="1:10" ht="12.75">
      <c r="A565" s="123"/>
      <c r="B565" s="126"/>
      <c r="C565" s="110">
        <v>4010</v>
      </c>
      <c r="D565" s="126" t="s">
        <v>82</v>
      </c>
      <c r="E565" s="774">
        <v>70638</v>
      </c>
      <c r="F565" s="774">
        <v>105896</v>
      </c>
      <c r="G565" s="774"/>
      <c r="H565" s="764">
        <f aca="true" t="shared" si="24" ref="H565:H579">F565+G565</f>
        <v>105896</v>
      </c>
      <c r="J565" s="91">
        <f>SUM(H565:H568)</f>
        <v>131928</v>
      </c>
    </row>
    <row r="566" spans="1:8" ht="12.75">
      <c r="A566" s="123"/>
      <c r="B566" s="126"/>
      <c r="C566" s="110">
        <v>4040</v>
      </c>
      <c r="D566" s="126" t="s">
        <v>83</v>
      </c>
      <c r="E566" s="774">
        <v>5128</v>
      </c>
      <c r="F566" s="774">
        <v>5509</v>
      </c>
      <c r="G566" s="774"/>
      <c r="H566" s="764">
        <f t="shared" si="24"/>
        <v>5509</v>
      </c>
    </row>
    <row r="567" spans="1:8" ht="12.75">
      <c r="A567" s="123"/>
      <c r="B567" s="126"/>
      <c r="C567" s="110">
        <v>4110</v>
      </c>
      <c r="D567" s="126" t="s">
        <v>84</v>
      </c>
      <c r="E567" s="774">
        <v>15696</v>
      </c>
      <c r="F567" s="774">
        <v>17968</v>
      </c>
      <c r="G567" s="774"/>
      <c r="H567" s="764">
        <f t="shared" si="24"/>
        <v>17968</v>
      </c>
    </row>
    <row r="568" spans="1:8" ht="12.75">
      <c r="A568" s="123"/>
      <c r="B568" s="126"/>
      <c r="C568" s="110">
        <v>4120</v>
      </c>
      <c r="D568" s="126" t="s">
        <v>85</v>
      </c>
      <c r="E568" s="774">
        <v>1914</v>
      </c>
      <c r="F568" s="774">
        <v>2555</v>
      </c>
      <c r="G568" s="774"/>
      <c r="H568" s="764">
        <f t="shared" si="24"/>
        <v>2555</v>
      </c>
    </row>
    <row r="569" spans="1:8" ht="12.75">
      <c r="A569" s="123"/>
      <c r="B569" s="126"/>
      <c r="C569" s="110">
        <v>4210</v>
      </c>
      <c r="D569" s="126" t="s">
        <v>87</v>
      </c>
      <c r="E569" s="774">
        <v>57960</v>
      </c>
      <c r="F569" s="774">
        <v>74000</v>
      </c>
      <c r="G569" s="774">
        <v>-141</v>
      </c>
      <c r="H569" s="764">
        <f t="shared" si="24"/>
        <v>73859</v>
      </c>
    </row>
    <row r="570" spans="1:8" ht="12.75">
      <c r="A570" s="123"/>
      <c r="B570" s="126"/>
      <c r="C570" s="110">
        <v>4220</v>
      </c>
      <c r="D570" s="126" t="s">
        <v>165</v>
      </c>
      <c r="E570" s="774">
        <v>55548</v>
      </c>
      <c r="F570" s="774">
        <v>57542</v>
      </c>
      <c r="G570" s="774"/>
      <c r="H570" s="764">
        <f t="shared" si="24"/>
        <v>57542</v>
      </c>
    </row>
    <row r="571" spans="1:8" ht="12.75">
      <c r="A571" s="123"/>
      <c r="B571" s="126"/>
      <c r="C571" s="110">
        <v>4260</v>
      </c>
      <c r="D571" s="126" t="s">
        <v>88</v>
      </c>
      <c r="E571" s="774">
        <v>10000</v>
      </c>
      <c r="F571" s="774">
        <v>12000</v>
      </c>
      <c r="G571" s="774"/>
      <c r="H571" s="764">
        <f t="shared" si="24"/>
        <v>12000</v>
      </c>
    </row>
    <row r="572" spans="1:8" ht="12.75">
      <c r="A572" s="123"/>
      <c r="B572" s="126"/>
      <c r="C572" s="110">
        <v>4270</v>
      </c>
      <c r="D572" s="126" t="s">
        <v>89</v>
      </c>
      <c r="E572" s="774">
        <v>2000</v>
      </c>
      <c r="F572" s="774">
        <v>500</v>
      </c>
      <c r="G572" s="774"/>
      <c r="H572" s="764">
        <f t="shared" si="24"/>
        <v>500</v>
      </c>
    </row>
    <row r="573" spans="1:8" ht="12.75">
      <c r="A573" s="123"/>
      <c r="B573" s="126"/>
      <c r="C573" s="110">
        <v>4280</v>
      </c>
      <c r="D573" s="126" t="s">
        <v>90</v>
      </c>
      <c r="E573" s="774">
        <v>150</v>
      </c>
      <c r="F573" s="774">
        <v>150</v>
      </c>
      <c r="G573" s="774"/>
      <c r="H573" s="764">
        <f t="shared" si="24"/>
        <v>150</v>
      </c>
    </row>
    <row r="574" spans="1:8" ht="12.75">
      <c r="A574" s="123"/>
      <c r="B574" s="126"/>
      <c r="C574" s="110">
        <v>4300</v>
      </c>
      <c r="D574" s="126" t="s">
        <v>76</v>
      </c>
      <c r="E574" s="774">
        <v>2940</v>
      </c>
      <c r="F574" s="774">
        <v>5000</v>
      </c>
      <c r="G574" s="774"/>
      <c r="H574" s="764">
        <f t="shared" si="24"/>
        <v>5000</v>
      </c>
    </row>
    <row r="575" spans="1:8" ht="12.75">
      <c r="A575" s="123"/>
      <c r="B575" s="126"/>
      <c r="C575" s="110">
        <v>4370</v>
      </c>
      <c r="D575" s="126" t="s">
        <v>93</v>
      </c>
      <c r="E575" s="774">
        <v>0</v>
      </c>
      <c r="F575" s="774">
        <v>2500</v>
      </c>
      <c r="G575" s="774"/>
      <c r="H575" s="764">
        <f t="shared" si="24"/>
        <v>2500</v>
      </c>
    </row>
    <row r="576" spans="1:8" ht="12.75">
      <c r="A576" s="123"/>
      <c r="B576" s="126"/>
      <c r="C576" s="110">
        <v>4410</v>
      </c>
      <c r="D576" s="126" t="s">
        <v>94</v>
      </c>
      <c r="E576" s="774"/>
      <c r="F576" s="774">
        <v>0</v>
      </c>
      <c r="G576" s="774">
        <v>250</v>
      </c>
      <c r="H576" s="764">
        <f t="shared" si="24"/>
        <v>250</v>
      </c>
    </row>
    <row r="577" spans="1:8" ht="12.75">
      <c r="A577" s="123"/>
      <c r="B577" s="126"/>
      <c r="C577" s="110">
        <v>4430</v>
      </c>
      <c r="D577" s="126" t="s">
        <v>756</v>
      </c>
      <c r="E577" s="774"/>
      <c r="F577" s="774">
        <v>218</v>
      </c>
      <c r="G577" s="774">
        <v>-109</v>
      </c>
      <c r="H577" s="764">
        <f t="shared" si="24"/>
        <v>109</v>
      </c>
    </row>
    <row r="578" spans="1:8" ht="12.75">
      <c r="A578" s="123"/>
      <c r="B578" s="126"/>
      <c r="C578" s="110">
        <v>4440</v>
      </c>
      <c r="D578" s="126" t="s">
        <v>96</v>
      </c>
      <c r="E578" s="774">
        <v>5358</v>
      </c>
      <c r="F578" s="774">
        <v>5862</v>
      </c>
      <c r="G578" s="774"/>
      <c r="H578" s="764">
        <f t="shared" si="24"/>
        <v>5862</v>
      </c>
    </row>
    <row r="579" spans="1:8" ht="12.75">
      <c r="A579" s="123"/>
      <c r="B579" s="126"/>
      <c r="C579" s="110">
        <v>4530</v>
      </c>
      <c r="D579" s="126" t="s">
        <v>184</v>
      </c>
      <c r="E579" s="774">
        <v>8000</v>
      </c>
      <c r="F579" s="774">
        <v>4020</v>
      </c>
      <c r="G579" s="774"/>
      <c r="H579" s="764">
        <f t="shared" si="24"/>
        <v>4020</v>
      </c>
    </row>
    <row r="580" spans="1:8" ht="12.75">
      <c r="A580" s="123"/>
      <c r="B580" s="126"/>
      <c r="C580" s="110"/>
      <c r="D580" s="126"/>
      <c r="E580" s="774"/>
      <c r="F580" s="774"/>
      <c r="G580" s="774"/>
      <c r="H580" s="764"/>
    </row>
    <row r="581" spans="1:8" ht="12.75">
      <c r="A581" s="123"/>
      <c r="B581" s="131">
        <v>85415</v>
      </c>
      <c r="C581" s="80"/>
      <c r="D581" s="131" t="s">
        <v>185</v>
      </c>
      <c r="E581" s="773">
        <f>SUM(E582:E595)</f>
        <v>765283</v>
      </c>
      <c r="F581" s="773">
        <f>SUM(F582:F597)</f>
        <v>400400</v>
      </c>
      <c r="G581" s="773">
        <f>SUM(G582:G597)</f>
        <v>20800</v>
      </c>
      <c r="H581" s="763">
        <f>SUM(H582:H597)</f>
        <v>421200</v>
      </c>
    </row>
    <row r="582" spans="1:8" ht="12.75">
      <c r="A582" s="123"/>
      <c r="B582" s="126"/>
      <c r="C582" s="110">
        <v>3240</v>
      </c>
      <c r="D582" s="126" t="s">
        <v>186</v>
      </c>
      <c r="E582" s="774">
        <v>333300</v>
      </c>
      <c r="F582" s="774">
        <v>240765</v>
      </c>
      <c r="G582" s="774">
        <v>20800</v>
      </c>
      <c r="H582" s="764">
        <f>F582+G582</f>
        <v>261565</v>
      </c>
    </row>
    <row r="583" spans="1:8" ht="12.75">
      <c r="A583" s="123"/>
      <c r="B583" s="126"/>
      <c r="C583" s="110">
        <v>3248</v>
      </c>
      <c r="D583" s="126" t="s">
        <v>187</v>
      </c>
      <c r="E583" s="774">
        <v>261328</v>
      </c>
      <c r="F583" s="774">
        <v>98736</v>
      </c>
      <c r="G583" s="774"/>
      <c r="H583" s="764">
        <f aca="true" t="shared" si="25" ref="H583:H597">F583+G583</f>
        <v>98736</v>
      </c>
    </row>
    <row r="584" spans="1:8" ht="13.5" customHeight="1">
      <c r="A584" s="123"/>
      <c r="B584" s="126"/>
      <c r="C584" s="110">
        <v>3249</v>
      </c>
      <c r="D584" s="126" t="s">
        <v>187</v>
      </c>
      <c r="E584" s="774">
        <v>123754</v>
      </c>
      <c r="F584" s="774">
        <v>46464</v>
      </c>
      <c r="G584" s="774"/>
      <c r="H584" s="764">
        <f t="shared" si="25"/>
        <v>46464</v>
      </c>
    </row>
    <row r="585" spans="1:10" ht="12.75">
      <c r="A585" s="123"/>
      <c r="B585" s="126"/>
      <c r="C585" s="110">
        <v>4118</v>
      </c>
      <c r="D585" s="126" t="s">
        <v>84</v>
      </c>
      <c r="E585" s="774">
        <v>119</v>
      </c>
      <c r="F585" s="774">
        <v>119</v>
      </c>
      <c r="G585" s="774"/>
      <c r="H585" s="764">
        <f t="shared" si="25"/>
        <v>119</v>
      </c>
      <c r="J585" s="91"/>
    </row>
    <row r="586" spans="1:10" ht="12.75">
      <c r="A586" s="123"/>
      <c r="B586" s="126"/>
      <c r="C586" s="110">
        <v>4119</v>
      </c>
      <c r="D586" s="126" t="s">
        <v>84</v>
      </c>
      <c r="E586" s="774">
        <v>56</v>
      </c>
      <c r="F586" s="774">
        <v>56</v>
      </c>
      <c r="G586" s="774"/>
      <c r="H586" s="764">
        <f t="shared" si="25"/>
        <v>56</v>
      </c>
      <c r="J586" s="91"/>
    </row>
    <row r="587" spans="1:8" ht="12.75">
      <c r="A587" s="123"/>
      <c r="B587" s="126"/>
      <c r="C587" s="110">
        <v>4128</v>
      </c>
      <c r="D587" s="126" t="s">
        <v>85</v>
      </c>
      <c r="E587" s="774">
        <v>17</v>
      </c>
      <c r="F587" s="774">
        <v>17</v>
      </c>
      <c r="G587" s="774"/>
      <c r="H587" s="764">
        <f t="shared" si="25"/>
        <v>17</v>
      </c>
    </row>
    <row r="588" spans="1:8" ht="12.75">
      <c r="A588" s="123"/>
      <c r="B588" s="126"/>
      <c r="C588" s="110">
        <v>4129</v>
      </c>
      <c r="D588" s="126" t="s">
        <v>85</v>
      </c>
      <c r="E588" s="774">
        <v>8</v>
      </c>
      <c r="F588" s="774">
        <v>8</v>
      </c>
      <c r="G588" s="774"/>
      <c r="H588" s="764">
        <f t="shared" si="25"/>
        <v>8</v>
      </c>
    </row>
    <row r="589" spans="1:8" ht="12.75">
      <c r="A589" s="123"/>
      <c r="B589" s="126"/>
      <c r="C589" s="110">
        <v>4178</v>
      </c>
      <c r="D589" s="126" t="s">
        <v>86</v>
      </c>
      <c r="E589" s="774">
        <v>2720</v>
      </c>
      <c r="F589" s="774">
        <f>1632+680</f>
        <v>2312</v>
      </c>
      <c r="G589" s="774"/>
      <c r="H589" s="764">
        <f t="shared" si="25"/>
        <v>2312</v>
      </c>
    </row>
    <row r="590" spans="1:8" ht="12.75">
      <c r="A590" s="123"/>
      <c r="B590" s="126"/>
      <c r="C590" s="110">
        <v>4179</v>
      </c>
      <c r="D590" s="126" t="s">
        <v>86</v>
      </c>
      <c r="E590" s="774">
        <v>1280</v>
      </c>
      <c r="F590" s="774">
        <f>768+320</f>
        <v>1088</v>
      </c>
      <c r="G590" s="774"/>
      <c r="H590" s="764">
        <f t="shared" si="25"/>
        <v>1088</v>
      </c>
    </row>
    <row r="591" spans="1:8" ht="12.75">
      <c r="A591" s="123"/>
      <c r="B591" s="126"/>
      <c r="C591" s="110">
        <v>4218</v>
      </c>
      <c r="D591" s="126" t="s">
        <v>87</v>
      </c>
      <c r="E591" s="774"/>
      <c r="F591" s="774">
        <v>3218</v>
      </c>
      <c r="G591" s="774"/>
      <c r="H591" s="764">
        <f t="shared" si="25"/>
        <v>3218</v>
      </c>
    </row>
    <row r="592" spans="1:8" ht="12.75">
      <c r="A592" s="123"/>
      <c r="B592" s="126"/>
      <c r="C592" s="110">
        <v>4219</v>
      </c>
      <c r="D592" s="126" t="s">
        <v>87</v>
      </c>
      <c r="E592" s="774"/>
      <c r="F592" s="774">
        <v>1514</v>
      </c>
      <c r="G592" s="774"/>
      <c r="H592" s="764">
        <f t="shared" si="25"/>
        <v>1514</v>
      </c>
    </row>
    <row r="593" spans="1:8" ht="12.75">
      <c r="A593" s="123"/>
      <c r="B593" s="126"/>
      <c r="C593" s="110">
        <v>4300</v>
      </c>
      <c r="D593" s="126" t="s">
        <v>76</v>
      </c>
      <c r="E593" s="774">
        <v>36196</v>
      </c>
      <c r="F593" s="774">
        <v>3400</v>
      </c>
      <c r="G593" s="774"/>
      <c r="H593" s="764">
        <f t="shared" si="25"/>
        <v>3400</v>
      </c>
    </row>
    <row r="594" spans="1:8" ht="12.75">
      <c r="A594" s="123"/>
      <c r="B594" s="126"/>
      <c r="C594" s="110">
        <v>4308</v>
      </c>
      <c r="D594" s="126" t="s">
        <v>76</v>
      </c>
      <c r="E594" s="774">
        <v>4956</v>
      </c>
      <c r="F594" s="774">
        <v>1659</v>
      </c>
      <c r="G594" s="774"/>
      <c r="H594" s="764">
        <f t="shared" si="25"/>
        <v>1659</v>
      </c>
    </row>
    <row r="595" spans="1:8" ht="12.75">
      <c r="A595" s="123"/>
      <c r="B595" s="126"/>
      <c r="C595" s="110">
        <v>4309</v>
      </c>
      <c r="D595" s="126" t="s">
        <v>76</v>
      </c>
      <c r="E595" s="774">
        <v>1549</v>
      </c>
      <c r="F595" s="774">
        <v>781</v>
      </c>
      <c r="G595" s="774"/>
      <c r="H595" s="764">
        <f t="shared" si="25"/>
        <v>781</v>
      </c>
    </row>
    <row r="596" spans="1:8" ht="12.75">
      <c r="A596" s="123"/>
      <c r="B596" s="126"/>
      <c r="C596" s="110">
        <v>4748</v>
      </c>
      <c r="D596" s="126" t="s">
        <v>124</v>
      </c>
      <c r="E596" s="774"/>
      <c r="F596" s="774">
        <v>179</v>
      </c>
      <c r="G596" s="774"/>
      <c r="H596" s="764">
        <f t="shared" si="25"/>
        <v>179</v>
      </c>
    </row>
    <row r="597" spans="1:8" ht="12.75">
      <c r="A597" s="123"/>
      <c r="B597" s="126"/>
      <c r="C597" s="110">
        <v>4749</v>
      </c>
      <c r="D597" s="126" t="s">
        <v>124</v>
      </c>
      <c r="E597" s="774"/>
      <c r="F597" s="774">
        <v>84</v>
      </c>
      <c r="G597" s="774"/>
      <c r="H597" s="764">
        <f t="shared" si="25"/>
        <v>84</v>
      </c>
    </row>
    <row r="598" spans="1:8" ht="12.75">
      <c r="A598" s="123"/>
      <c r="B598" s="126"/>
      <c r="C598" s="110"/>
      <c r="D598" s="126"/>
      <c r="E598" s="774"/>
      <c r="F598" s="774"/>
      <c r="G598" s="774"/>
      <c r="H598" s="764"/>
    </row>
    <row r="599" spans="1:8" ht="12.75">
      <c r="A599" s="123"/>
      <c r="B599" s="131">
        <v>85420</v>
      </c>
      <c r="C599" s="80"/>
      <c r="D599" s="131" t="s">
        <v>188</v>
      </c>
      <c r="E599" s="773">
        <f>SUM(E600:E622)</f>
        <v>1988771</v>
      </c>
      <c r="F599" s="773">
        <f>SUM(F600:F623)</f>
        <v>2175389</v>
      </c>
      <c r="G599" s="773">
        <f>SUM(G600:G623)</f>
        <v>0</v>
      </c>
      <c r="H599" s="763">
        <f>SUM(H600:H623)</f>
        <v>2175389</v>
      </c>
    </row>
    <row r="600" spans="1:8" ht="12.75">
      <c r="A600" s="123"/>
      <c r="B600" s="126"/>
      <c r="C600" s="110">
        <v>3020</v>
      </c>
      <c r="D600" s="126" t="s">
        <v>81</v>
      </c>
      <c r="E600" s="774">
        <v>63016</v>
      </c>
      <c r="F600" s="774">
        <v>60000</v>
      </c>
      <c r="G600" s="774"/>
      <c r="H600" s="764">
        <f>F600+G600</f>
        <v>60000</v>
      </c>
    </row>
    <row r="601" spans="1:8" ht="12.75">
      <c r="A601" s="123"/>
      <c r="B601" s="126"/>
      <c r="C601" s="110">
        <v>3110</v>
      </c>
      <c r="D601" s="126" t="s">
        <v>164</v>
      </c>
      <c r="E601" s="774">
        <v>1000</v>
      </c>
      <c r="F601" s="774">
        <v>3000</v>
      </c>
      <c r="G601" s="774"/>
      <c r="H601" s="764">
        <f aca="true" t="shared" si="26" ref="H601:H623">F601+G601</f>
        <v>3000</v>
      </c>
    </row>
    <row r="602" spans="1:10" ht="12.75">
      <c r="A602" s="123"/>
      <c r="B602" s="126"/>
      <c r="C602" s="110">
        <v>4010</v>
      </c>
      <c r="D602" s="126" t="s">
        <v>82</v>
      </c>
      <c r="E602" s="774">
        <v>945195</v>
      </c>
      <c r="F602" s="774">
        <v>1019017</v>
      </c>
      <c r="G602" s="774"/>
      <c r="H602" s="764">
        <f t="shared" si="26"/>
        <v>1019017</v>
      </c>
      <c r="J602" s="91">
        <f>SUM(H602:H606)</f>
        <v>1323403</v>
      </c>
    </row>
    <row r="603" spans="1:8" ht="12.75">
      <c r="A603" s="123"/>
      <c r="B603" s="126"/>
      <c r="C603" s="110">
        <v>4040</v>
      </c>
      <c r="D603" s="126" t="s">
        <v>83</v>
      </c>
      <c r="E603" s="774">
        <v>67815</v>
      </c>
      <c r="F603" s="774">
        <v>75237</v>
      </c>
      <c r="G603" s="774"/>
      <c r="H603" s="764">
        <f t="shared" si="26"/>
        <v>75237</v>
      </c>
    </row>
    <row r="604" spans="1:8" ht="12.75">
      <c r="A604" s="123"/>
      <c r="B604" s="126"/>
      <c r="C604" s="110">
        <v>4110</v>
      </c>
      <c r="D604" s="126" t="s">
        <v>84</v>
      </c>
      <c r="E604" s="774">
        <v>175108</v>
      </c>
      <c r="F604" s="774">
        <v>195744</v>
      </c>
      <c r="G604" s="774"/>
      <c r="H604" s="764">
        <f t="shared" si="26"/>
        <v>195744</v>
      </c>
    </row>
    <row r="605" spans="1:8" ht="12.75">
      <c r="A605" s="123"/>
      <c r="B605" s="126"/>
      <c r="C605" s="110">
        <v>4120</v>
      </c>
      <c r="D605" s="126" t="s">
        <v>85</v>
      </c>
      <c r="E605" s="774">
        <v>24702</v>
      </c>
      <c r="F605" s="774">
        <v>27387</v>
      </c>
      <c r="G605" s="774"/>
      <c r="H605" s="764">
        <f t="shared" si="26"/>
        <v>27387</v>
      </c>
    </row>
    <row r="606" spans="1:8" ht="12.75">
      <c r="A606" s="123"/>
      <c r="B606" s="126"/>
      <c r="C606" s="110">
        <v>4170</v>
      </c>
      <c r="D606" s="126" t="s">
        <v>86</v>
      </c>
      <c r="E606" s="774">
        <v>3000</v>
      </c>
      <c r="F606" s="774">
        <v>6018</v>
      </c>
      <c r="G606" s="774"/>
      <c r="H606" s="764">
        <f t="shared" si="26"/>
        <v>6018</v>
      </c>
    </row>
    <row r="607" spans="1:8" ht="12.75">
      <c r="A607" s="123"/>
      <c r="B607" s="126"/>
      <c r="C607" s="110">
        <v>4210</v>
      </c>
      <c r="D607" s="126" t="s">
        <v>87</v>
      </c>
      <c r="E607" s="774">
        <v>298619</v>
      </c>
      <c r="F607" s="774">
        <v>271991</v>
      </c>
      <c r="G607" s="774"/>
      <c r="H607" s="764">
        <f t="shared" si="26"/>
        <v>271991</v>
      </c>
    </row>
    <row r="608" spans="1:8" ht="12.75">
      <c r="A608" s="123"/>
      <c r="B608" s="126"/>
      <c r="C608" s="110">
        <v>4220</v>
      </c>
      <c r="D608" s="126" t="s">
        <v>165</v>
      </c>
      <c r="E608" s="774">
        <v>5000</v>
      </c>
      <c r="F608" s="774">
        <v>6100</v>
      </c>
      <c r="G608" s="774"/>
      <c r="H608" s="764">
        <f t="shared" si="26"/>
        <v>6100</v>
      </c>
    </row>
    <row r="609" spans="1:8" ht="12.75">
      <c r="A609" s="123"/>
      <c r="B609" s="126"/>
      <c r="C609" s="110">
        <v>4260</v>
      </c>
      <c r="D609" s="126" t="s">
        <v>88</v>
      </c>
      <c r="E609" s="774">
        <v>40121</v>
      </c>
      <c r="F609" s="774">
        <v>42000</v>
      </c>
      <c r="G609" s="774"/>
      <c r="H609" s="764">
        <f t="shared" si="26"/>
        <v>42000</v>
      </c>
    </row>
    <row r="610" spans="1:8" ht="12.75">
      <c r="A610" s="123"/>
      <c r="B610" s="126"/>
      <c r="C610" s="110">
        <v>4270</v>
      </c>
      <c r="D610" s="126" t="s">
        <v>89</v>
      </c>
      <c r="E610" s="774">
        <v>2947</v>
      </c>
      <c r="F610" s="774">
        <v>117784</v>
      </c>
      <c r="G610" s="774"/>
      <c r="H610" s="764">
        <f t="shared" si="26"/>
        <v>117784</v>
      </c>
    </row>
    <row r="611" spans="1:8" ht="12.75">
      <c r="A611" s="123"/>
      <c r="B611" s="126"/>
      <c r="C611" s="110">
        <v>4300</v>
      </c>
      <c r="D611" s="126" t="s">
        <v>76</v>
      </c>
      <c r="E611" s="774">
        <v>264492</v>
      </c>
      <c r="F611" s="774">
        <v>216500</v>
      </c>
      <c r="G611" s="774"/>
      <c r="H611" s="764">
        <f t="shared" si="26"/>
        <v>216500</v>
      </c>
    </row>
    <row r="612" spans="1:8" ht="12.75">
      <c r="A612" s="123"/>
      <c r="B612" s="126"/>
      <c r="C612" s="110">
        <v>4350</v>
      </c>
      <c r="D612" s="126" t="s">
        <v>130</v>
      </c>
      <c r="E612" s="774">
        <v>0</v>
      </c>
      <c r="F612" s="774">
        <v>3000</v>
      </c>
      <c r="G612" s="774"/>
      <c r="H612" s="764">
        <f t="shared" si="26"/>
        <v>3000</v>
      </c>
    </row>
    <row r="613" spans="1:8" ht="12.75">
      <c r="A613" s="123"/>
      <c r="B613" s="126"/>
      <c r="C613" s="110">
        <v>4360</v>
      </c>
      <c r="D613" s="126" t="s">
        <v>92</v>
      </c>
      <c r="E613" s="774">
        <v>0</v>
      </c>
      <c r="F613" s="774">
        <v>3000</v>
      </c>
      <c r="G613" s="774"/>
      <c r="H613" s="764">
        <f t="shared" si="26"/>
        <v>3000</v>
      </c>
    </row>
    <row r="614" spans="1:8" ht="12.75">
      <c r="A614" s="123"/>
      <c r="B614" s="126"/>
      <c r="C614" s="110">
        <v>4370</v>
      </c>
      <c r="D614" s="126" t="s">
        <v>93</v>
      </c>
      <c r="E614" s="774">
        <v>0</v>
      </c>
      <c r="F614" s="774">
        <v>6000</v>
      </c>
      <c r="G614" s="774"/>
      <c r="H614" s="764">
        <f t="shared" si="26"/>
        <v>6000</v>
      </c>
    </row>
    <row r="615" spans="1:8" ht="12.75">
      <c r="A615" s="123"/>
      <c r="B615" s="126"/>
      <c r="C615" s="110">
        <v>4390</v>
      </c>
      <c r="D615" s="126" t="s">
        <v>120</v>
      </c>
      <c r="E615" s="774">
        <v>0</v>
      </c>
      <c r="F615" s="774">
        <v>5000</v>
      </c>
      <c r="G615" s="774"/>
      <c r="H615" s="764">
        <f t="shared" si="26"/>
        <v>5000</v>
      </c>
    </row>
    <row r="616" spans="1:8" ht="12.75">
      <c r="A616" s="123"/>
      <c r="B616" s="126"/>
      <c r="C616" s="110">
        <v>4410</v>
      </c>
      <c r="D616" s="126" t="s">
        <v>94</v>
      </c>
      <c r="E616" s="774">
        <v>3172</v>
      </c>
      <c r="F616" s="774">
        <v>3500</v>
      </c>
      <c r="G616" s="774"/>
      <c r="H616" s="764">
        <f>F616+G616</f>
        <v>3500</v>
      </c>
    </row>
    <row r="617" spans="1:8" ht="12.75">
      <c r="A617" s="123"/>
      <c r="B617" s="126"/>
      <c r="C617" s="110">
        <v>4420</v>
      </c>
      <c r="D617" s="126" t="s">
        <v>128</v>
      </c>
      <c r="E617" s="774">
        <v>1850</v>
      </c>
      <c r="F617" s="774">
        <v>1500</v>
      </c>
      <c r="G617" s="774"/>
      <c r="H617" s="764">
        <f t="shared" si="26"/>
        <v>1500</v>
      </c>
    </row>
    <row r="618" spans="1:8" ht="12.75">
      <c r="A618" s="123"/>
      <c r="B618" s="126"/>
      <c r="C618" s="110">
        <v>4430</v>
      </c>
      <c r="D618" s="126" t="s">
        <v>95</v>
      </c>
      <c r="E618" s="774">
        <v>10242</v>
      </c>
      <c r="F618" s="774">
        <v>10700</v>
      </c>
      <c r="G618" s="774"/>
      <c r="H618" s="764">
        <f t="shared" si="26"/>
        <v>10700</v>
      </c>
    </row>
    <row r="619" spans="1:8" ht="12.75">
      <c r="A619" s="123"/>
      <c r="B619" s="126"/>
      <c r="C619" s="110">
        <v>4440</v>
      </c>
      <c r="D619" s="126" t="s">
        <v>96</v>
      </c>
      <c r="E619" s="774">
        <v>82492</v>
      </c>
      <c r="F619" s="774">
        <v>90911</v>
      </c>
      <c r="G619" s="774"/>
      <c r="H619" s="764">
        <f t="shared" si="26"/>
        <v>90911</v>
      </c>
    </row>
    <row r="620" spans="1:8" ht="12.75">
      <c r="A620" s="123"/>
      <c r="B620" s="126"/>
      <c r="C620" s="110">
        <v>4530</v>
      </c>
      <c r="D620" s="126" t="s">
        <v>101</v>
      </c>
      <c r="E620" s="774"/>
      <c r="F620" s="774">
        <v>4500</v>
      </c>
      <c r="G620" s="774"/>
      <c r="H620" s="764">
        <f t="shared" si="26"/>
        <v>4500</v>
      </c>
    </row>
    <row r="621" spans="1:8" ht="12.75">
      <c r="A621" s="123"/>
      <c r="B621" s="126"/>
      <c r="C621" s="110">
        <v>4700</v>
      </c>
      <c r="D621" s="126" t="s">
        <v>718</v>
      </c>
      <c r="E621" s="774"/>
      <c r="F621" s="774">
        <v>2000</v>
      </c>
      <c r="G621" s="774"/>
      <c r="H621" s="764">
        <f t="shared" si="26"/>
        <v>2000</v>
      </c>
    </row>
    <row r="622" spans="1:8" ht="12.75">
      <c r="A622" s="123"/>
      <c r="B622" s="126"/>
      <c r="C622" s="110">
        <v>4740</v>
      </c>
      <c r="D622" s="126" t="s">
        <v>124</v>
      </c>
      <c r="E622" s="774">
        <v>0</v>
      </c>
      <c r="F622" s="774">
        <v>2000</v>
      </c>
      <c r="G622" s="774"/>
      <c r="H622" s="764">
        <f t="shared" si="26"/>
        <v>2000</v>
      </c>
    </row>
    <row r="623" spans="1:8" ht="12.75">
      <c r="A623" s="123"/>
      <c r="B623" s="126"/>
      <c r="C623" s="110">
        <v>4750</v>
      </c>
      <c r="D623" s="126" t="s">
        <v>125</v>
      </c>
      <c r="E623" s="774"/>
      <c r="F623" s="774">
        <v>2500</v>
      </c>
      <c r="G623" s="774"/>
      <c r="H623" s="764">
        <f t="shared" si="26"/>
        <v>2500</v>
      </c>
    </row>
    <row r="624" spans="1:8" ht="12.75">
      <c r="A624" s="123"/>
      <c r="B624" s="126"/>
      <c r="C624" s="110"/>
      <c r="D624" s="126"/>
      <c r="E624" s="774"/>
      <c r="F624" s="774"/>
      <c r="G624" s="774"/>
      <c r="H624" s="764"/>
    </row>
    <row r="625" spans="1:8" ht="12.75">
      <c r="A625" s="123"/>
      <c r="B625" s="131">
        <v>85446</v>
      </c>
      <c r="C625" s="80"/>
      <c r="D625" s="131" t="s">
        <v>150</v>
      </c>
      <c r="E625" s="773"/>
      <c r="F625" s="773">
        <f>SUM(F626:F628)</f>
        <v>4615</v>
      </c>
      <c r="G625" s="773">
        <f>SUM(G626:G628)</f>
        <v>0</v>
      </c>
      <c r="H625" s="763">
        <f>SUM(H626:H628)</f>
        <v>4615</v>
      </c>
    </row>
    <row r="626" spans="1:8" ht="12.75">
      <c r="A626" s="123"/>
      <c r="B626" s="126"/>
      <c r="C626" s="110">
        <v>4300</v>
      </c>
      <c r="D626" s="126" t="s">
        <v>76</v>
      </c>
      <c r="E626" s="774"/>
      <c r="F626" s="774">
        <v>2350</v>
      </c>
      <c r="G626" s="774"/>
      <c r="H626" s="764">
        <f>F626+G626</f>
        <v>2350</v>
      </c>
    </row>
    <row r="627" spans="1:8" ht="12.75">
      <c r="A627" s="123"/>
      <c r="B627" s="126"/>
      <c r="C627" s="110">
        <v>4410</v>
      </c>
      <c r="D627" s="126" t="s">
        <v>94</v>
      </c>
      <c r="E627" s="774"/>
      <c r="F627" s="774">
        <v>765</v>
      </c>
      <c r="G627" s="774"/>
      <c r="H627" s="764">
        <f>F627+G627</f>
        <v>765</v>
      </c>
    </row>
    <row r="628" spans="1:8" ht="12.75">
      <c r="A628" s="123"/>
      <c r="B628" s="126"/>
      <c r="C628" s="110">
        <v>4700</v>
      </c>
      <c r="D628" s="126" t="s">
        <v>718</v>
      </c>
      <c r="E628" s="774"/>
      <c r="F628" s="774">
        <v>1500</v>
      </c>
      <c r="G628" s="774"/>
      <c r="H628" s="764">
        <f>F628+G628</f>
        <v>1500</v>
      </c>
    </row>
    <row r="629" spans="1:8" ht="12.75">
      <c r="A629" s="123"/>
      <c r="B629" s="126"/>
      <c r="C629" s="110"/>
      <c r="D629" s="126"/>
      <c r="E629" s="774"/>
      <c r="F629" s="774"/>
      <c r="G629" s="774"/>
      <c r="H629" s="764"/>
    </row>
    <row r="630" spans="1:8" ht="12.75">
      <c r="A630" s="123"/>
      <c r="B630" s="131">
        <v>85495</v>
      </c>
      <c r="C630" s="80"/>
      <c r="D630" s="131" t="s">
        <v>60</v>
      </c>
      <c r="E630" s="773">
        <f>SUM(E631)</f>
        <v>6619</v>
      </c>
      <c r="F630" s="773">
        <f>SUM(F631)</f>
        <v>6694</v>
      </c>
      <c r="G630" s="773">
        <f>SUM(G631)</f>
        <v>0</v>
      </c>
      <c r="H630" s="763">
        <f>SUM(H631)</f>
        <v>6694</v>
      </c>
    </row>
    <row r="631" spans="1:8" ht="12.75">
      <c r="A631" s="123"/>
      <c r="B631" s="126"/>
      <c r="C631" s="110">
        <v>4440</v>
      </c>
      <c r="D631" s="126" t="s">
        <v>96</v>
      </c>
      <c r="E631" s="774">
        <v>6619</v>
      </c>
      <c r="F631" s="774">
        <v>6694</v>
      </c>
      <c r="G631" s="774"/>
      <c r="H631" s="764">
        <f>F631+G631</f>
        <v>6694</v>
      </c>
    </row>
    <row r="632" spans="1:8" ht="12.75">
      <c r="A632" s="114"/>
      <c r="B632" s="110"/>
      <c r="C632" s="110"/>
      <c r="D632" s="126"/>
      <c r="E632" s="774"/>
      <c r="F632" s="774"/>
      <c r="G632" s="774"/>
      <c r="H632" s="764"/>
    </row>
    <row r="633" spans="1:8" ht="13.5" thickBot="1">
      <c r="A633" s="79">
        <v>921</v>
      </c>
      <c r="B633" s="129"/>
      <c r="C633" s="129"/>
      <c r="D633" s="86" t="s">
        <v>189</v>
      </c>
      <c r="E633" s="104">
        <f>E634+E642</f>
        <v>55000</v>
      </c>
      <c r="F633" s="104">
        <f>F634+F642</f>
        <v>55000</v>
      </c>
      <c r="G633" s="104">
        <f>G634+G642</f>
        <v>0</v>
      </c>
      <c r="H633" s="146">
        <f>H634+H642</f>
        <v>55000</v>
      </c>
    </row>
    <row r="634" spans="1:8" ht="12.75">
      <c r="A634" s="114"/>
      <c r="B634" s="80">
        <v>92105</v>
      </c>
      <c r="C634" s="80"/>
      <c r="D634" s="131" t="s">
        <v>190</v>
      </c>
      <c r="E634" s="773">
        <f>SUM(E635:E640)</f>
        <v>20000</v>
      </c>
      <c r="F634" s="773">
        <f>SUM(F635:F640)</f>
        <v>20000</v>
      </c>
      <c r="G634" s="773">
        <f>SUM(G635:G640)</f>
        <v>0</v>
      </c>
      <c r="H634" s="763">
        <f>SUM(H635:H640)</f>
        <v>20000</v>
      </c>
    </row>
    <row r="635" spans="1:9" ht="12.75">
      <c r="A635" s="114"/>
      <c r="B635" s="110"/>
      <c r="C635" s="141" t="s">
        <v>107</v>
      </c>
      <c r="D635" s="126" t="s">
        <v>108</v>
      </c>
      <c r="E635" s="774">
        <v>4000</v>
      </c>
      <c r="F635" s="774">
        <v>3000</v>
      </c>
      <c r="G635" s="774"/>
      <c r="H635" s="764">
        <f>F635+G635</f>
        <v>3000</v>
      </c>
      <c r="I635" s="91"/>
    </row>
    <row r="636" spans="1:9" ht="12.75">
      <c r="A636" s="114"/>
      <c r="B636" s="110"/>
      <c r="C636" s="141"/>
      <c r="D636" s="126" t="s">
        <v>109</v>
      </c>
      <c r="E636" s="774"/>
      <c r="F636" s="774"/>
      <c r="G636" s="774"/>
      <c r="H636" s="764"/>
      <c r="I636" s="91"/>
    </row>
    <row r="637" spans="1:8" ht="12.75">
      <c r="A637" s="114"/>
      <c r="B637" s="110"/>
      <c r="C637" s="110">
        <v>3020</v>
      </c>
      <c r="D637" s="126" t="s">
        <v>81</v>
      </c>
      <c r="E637" s="774">
        <v>5000</v>
      </c>
      <c r="F637" s="774">
        <v>5000</v>
      </c>
      <c r="G637" s="774"/>
      <c r="H637" s="764">
        <f>F637+G637</f>
        <v>5000</v>
      </c>
    </row>
    <row r="638" spans="1:8" ht="12.75">
      <c r="A638" s="114"/>
      <c r="B638" s="110"/>
      <c r="C638" s="110">
        <v>4170</v>
      </c>
      <c r="D638" s="126" t="s">
        <v>86</v>
      </c>
      <c r="E638" s="774"/>
      <c r="F638" s="774">
        <v>3123</v>
      </c>
      <c r="G638" s="774"/>
      <c r="H638" s="764">
        <f>F638+G638</f>
        <v>3123</v>
      </c>
    </row>
    <row r="639" spans="1:8" ht="12.75">
      <c r="A639" s="114"/>
      <c r="B639" s="110"/>
      <c r="C639" s="110">
        <v>4210</v>
      </c>
      <c r="D639" s="126" t="s">
        <v>87</v>
      </c>
      <c r="E639" s="774">
        <v>1840</v>
      </c>
      <c r="F639" s="774">
        <v>3000</v>
      </c>
      <c r="G639" s="774"/>
      <c r="H639" s="764">
        <f>F639+G639</f>
        <v>3000</v>
      </c>
    </row>
    <row r="640" spans="1:8" ht="12.75">
      <c r="A640" s="114"/>
      <c r="B640" s="110"/>
      <c r="C640" s="110">
        <v>4300</v>
      </c>
      <c r="D640" s="126" t="s">
        <v>76</v>
      </c>
      <c r="E640" s="774">
        <v>9160</v>
      </c>
      <c r="F640" s="774">
        <v>5877</v>
      </c>
      <c r="G640" s="774"/>
      <c r="H640" s="764">
        <f>F640+G640</f>
        <v>5877</v>
      </c>
    </row>
    <row r="641" spans="1:8" ht="12.75">
      <c r="A641" s="114"/>
      <c r="B641" s="110"/>
      <c r="C641" s="110"/>
      <c r="D641" s="126"/>
      <c r="E641" s="774"/>
      <c r="F641" s="774"/>
      <c r="G641" s="774"/>
      <c r="H641" s="764"/>
    </row>
    <row r="642" spans="1:8" ht="12.75">
      <c r="A642" s="114"/>
      <c r="B642" s="80">
        <v>92116</v>
      </c>
      <c r="C642" s="80"/>
      <c r="D642" s="131" t="s">
        <v>191</v>
      </c>
      <c r="E642" s="773">
        <f>E643</f>
        <v>35000</v>
      </c>
      <c r="F642" s="773">
        <f>F643</f>
        <v>35000</v>
      </c>
      <c r="G642" s="773">
        <f>G643</f>
        <v>0</v>
      </c>
      <c r="H642" s="763">
        <f>H643</f>
        <v>35000</v>
      </c>
    </row>
    <row r="643" spans="1:9" ht="12.75">
      <c r="A643" s="114"/>
      <c r="B643" s="110"/>
      <c r="C643" s="110">
        <v>2310</v>
      </c>
      <c r="D643" s="126" t="s">
        <v>157</v>
      </c>
      <c r="E643" s="774">
        <v>35000</v>
      </c>
      <c r="F643" s="774">
        <v>35000</v>
      </c>
      <c r="G643" s="774"/>
      <c r="H643" s="764">
        <f>F643+G643</f>
        <v>35000</v>
      </c>
      <c r="I643" s="91"/>
    </row>
    <row r="644" spans="1:8" ht="12.75">
      <c r="A644" s="114"/>
      <c r="B644" s="110"/>
      <c r="C644" s="110"/>
      <c r="D644" s="126"/>
      <c r="E644" s="774"/>
      <c r="F644" s="774"/>
      <c r="G644" s="774"/>
      <c r="H644" s="764"/>
    </row>
    <row r="645" spans="1:8" ht="13.5" thickBot="1">
      <c r="A645" s="79">
        <v>926</v>
      </c>
      <c r="B645" s="129"/>
      <c r="C645" s="129"/>
      <c r="D645" s="86" t="s">
        <v>192</v>
      </c>
      <c r="E645" s="104">
        <f>E646</f>
        <v>94700</v>
      </c>
      <c r="F645" s="104">
        <f>F646</f>
        <v>100000</v>
      </c>
      <c r="G645" s="104">
        <f>G646</f>
        <v>0</v>
      </c>
      <c r="H645" s="146">
        <f>H646</f>
        <v>100000</v>
      </c>
    </row>
    <row r="646" spans="1:8" ht="12.75">
      <c r="A646" s="114"/>
      <c r="B646" s="80">
        <v>92605</v>
      </c>
      <c r="C646" s="80"/>
      <c r="D646" s="131" t="s">
        <v>193</v>
      </c>
      <c r="E646" s="773">
        <f>SUM(E647:E651)</f>
        <v>94700</v>
      </c>
      <c r="F646" s="773">
        <f>SUM(F647:F651)</f>
        <v>100000</v>
      </c>
      <c r="G646" s="773">
        <f>SUM(G647:G651)</f>
        <v>0</v>
      </c>
      <c r="H646" s="763">
        <f>SUM(H647:H651)</f>
        <v>100000</v>
      </c>
    </row>
    <row r="647" spans="1:9" ht="12.75">
      <c r="A647" s="114"/>
      <c r="B647" s="110"/>
      <c r="C647" s="141" t="s">
        <v>107</v>
      </c>
      <c r="D647" s="126" t="s">
        <v>108</v>
      </c>
      <c r="E647" s="774">
        <v>64000</v>
      </c>
      <c r="F647" s="774">
        <v>70000</v>
      </c>
      <c r="G647" s="774"/>
      <c r="H647" s="764">
        <f>F647+G647</f>
        <v>70000</v>
      </c>
      <c r="I647" s="91"/>
    </row>
    <row r="648" spans="1:9" ht="12.75">
      <c r="A648" s="114"/>
      <c r="B648" s="110"/>
      <c r="C648" s="141"/>
      <c r="D648" s="126" t="s">
        <v>693</v>
      </c>
      <c r="E648" s="774"/>
      <c r="F648" s="774"/>
      <c r="G648" s="774"/>
      <c r="H648" s="764"/>
      <c r="I648" s="91"/>
    </row>
    <row r="649" spans="1:8" ht="12.75">
      <c r="A649" s="114"/>
      <c r="B649" s="110"/>
      <c r="C649" s="110">
        <v>3020</v>
      </c>
      <c r="D649" s="126" t="s">
        <v>194</v>
      </c>
      <c r="E649" s="774">
        <v>10000</v>
      </c>
      <c r="F649" s="774">
        <v>10000</v>
      </c>
      <c r="G649" s="774"/>
      <c r="H649" s="764">
        <f>F649+G649</f>
        <v>10000</v>
      </c>
    </row>
    <row r="650" spans="1:8" ht="12.75">
      <c r="A650" s="114"/>
      <c r="B650" s="110"/>
      <c r="C650" s="110">
        <v>4210</v>
      </c>
      <c r="D650" s="126" t="s">
        <v>87</v>
      </c>
      <c r="E650" s="774">
        <v>5700</v>
      </c>
      <c r="F650" s="774">
        <v>5000</v>
      </c>
      <c r="G650" s="774"/>
      <c r="H650" s="764">
        <f>F650+G650</f>
        <v>5000</v>
      </c>
    </row>
    <row r="651" spans="1:8" ht="12.75">
      <c r="A651" s="114"/>
      <c r="B651" s="110"/>
      <c r="C651" s="110">
        <v>4300</v>
      </c>
      <c r="D651" s="126" t="s">
        <v>76</v>
      </c>
      <c r="E651" s="774">
        <v>15000</v>
      </c>
      <c r="F651" s="774">
        <v>15000</v>
      </c>
      <c r="G651" s="774"/>
      <c r="H651" s="764">
        <f>F651+G651</f>
        <v>15000</v>
      </c>
    </row>
    <row r="652" spans="1:8" ht="13.5" thickBot="1">
      <c r="A652" s="114"/>
      <c r="B652" s="110"/>
      <c r="C652" s="110"/>
      <c r="D652" s="126"/>
      <c r="E652" s="774"/>
      <c r="F652" s="774"/>
      <c r="G652" s="784"/>
      <c r="H652" s="764"/>
    </row>
    <row r="653" spans="1:8" ht="17.25" customHeight="1" thickBot="1">
      <c r="A653" s="929" t="s">
        <v>195</v>
      </c>
      <c r="B653" s="930"/>
      <c r="C653" s="930"/>
      <c r="D653" s="930"/>
      <c r="E653" s="781" t="e">
        <f>E645+E633+E527+E488+E353+E335+E317+E212+E208+E202+E192+E106+E78+E66+E59+E30+E23+E15+#REF!</f>
        <v>#REF!</v>
      </c>
      <c r="F653" s="781">
        <f>F645+F633+F527+F488+F353+F335+F317+F212+F208+F202+F192+F106+F78+F66+F59+F30+F23+F15+F185</f>
        <v>33142123</v>
      </c>
      <c r="G653" s="781">
        <f>G645+G633+G527+G488+G353+G335+G317+G212+G208+G202+G192+G106+G78+G66+G59+G30+G23+G15+G185</f>
        <v>831372</v>
      </c>
      <c r="H653" s="766">
        <f>H645+H633+H527+H488+H353+H335+H317+H212+H208+H202+H192+H106+H78+H66+H59+H30+H23+H15+H185</f>
        <v>33973495</v>
      </c>
    </row>
    <row r="654" spans="5:7" ht="12.75">
      <c r="E654" s="116"/>
      <c r="G654" s="785"/>
    </row>
    <row r="655" spans="5:12" ht="12.75">
      <c r="E655" s="116" t="s">
        <v>196</v>
      </c>
      <c r="G655" s="785"/>
      <c r="I655" s="135"/>
      <c r="J655" s="135"/>
      <c r="K655" s="135"/>
      <c r="L655" s="135"/>
    </row>
    <row r="656" spans="5:12" ht="12.75">
      <c r="E656" s="116" t="s">
        <v>2</v>
      </c>
      <c r="G656" s="785"/>
      <c r="H656" s="136"/>
      <c r="I656" s="91"/>
      <c r="K656" s="135"/>
      <c r="L656" s="135"/>
    </row>
    <row r="657" spans="5:12" ht="12.75">
      <c r="E657" s="116" t="s">
        <v>197</v>
      </c>
      <c r="G657" s="785"/>
      <c r="H657" s="136"/>
      <c r="I657" s="136"/>
      <c r="J657" s="137"/>
      <c r="K657" s="135"/>
      <c r="L657" s="135"/>
    </row>
    <row r="658" spans="5:11" ht="12.75">
      <c r="E658" s="116" t="s">
        <v>198</v>
      </c>
      <c r="G658" s="785"/>
      <c r="H658" s="136"/>
      <c r="I658" s="136"/>
      <c r="J658" s="137"/>
      <c r="K658" s="92"/>
    </row>
    <row r="659" spans="5:11" ht="12.75">
      <c r="E659" s="116" t="s">
        <v>199</v>
      </c>
      <c r="G659" s="785"/>
      <c r="H659" s="136"/>
      <c r="I659" s="136"/>
      <c r="J659" s="137"/>
      <c r="K659" s="92"/>
    </row>
    <row r="660" spans="5:11" ht="12.75">
      <c r="E660" s="116"/>
      <c r="G660" s="785"/>
      <c r="K660" s="92"/>
    </row>
    <row r="661" spans="5:7" ht="12.75">
      <c r="E661" s="116"/>
      <c r="G661" s="785"/>
    </row>
    <row r="662" spans="5:7" ht="12.75">
      <c r="E662" s="116"/>
      <c r="G662" s="785"/>
    </row>
    <row r="663" spans="5:7" ht="12.75">
      <c r="E663" s="116"/>
      <c r="G663" s="785"/>
    </row>
    <row r="664" spans="5:7" ht="12.75">
      <c r="E664" s="116"/>
      <c r="G664" s="785"/>
    </row>
    <row r="665" spans="5:7" ht="12.75">
      <c r="E665" s="116"/>
      <c r="G665" s="785"/>
    </row>
    <row r="666" spans="5:7" ht="12.75">
      <c r="E666" s="116"/>
      <c r="G666" s="785"/>
    </row>
    <row r="667" spans="5:7" ht="12.75">
      <c r="E667" s="116"/>
      <c r="G667" s="785"/>
    </row>
    <row r="668" spans="5:7" ht="12.75">
      <c r="E668" s="116"/>
      <c r="G668" s="785"/>
    </row>
    <row r="669" spans="5:7" ht="12.75">
      <c r="E669" s="116"/>
      <c r="G669" s="785"/>
    </row>
    <row r="670" spans="5:7" ht="12.75">
      <c r="E670" s="116"/>
      <c r="G670" s="785"/>
    </row>
    <row r="671" spans="5:7" ht="12.75">
      <c r="E671" s="116"/>
      <c r="G671" s="785"/>
    </row>
    <row r="672" spans="5:7" ht="12.75">
      <c r="E672" s="116"/>
      <c r="G672" s="785"/>
    </row>
    <row r="673" spans="5:7" ht="12.75">
      <c r="E673" s="116"/>
      <c r="G673" s="785"/>
    </row>
    <row r="674" spans="5:7" ht="12.75">
      <c r="E674" s="116"/>
      <c r="G674" s="785"/>
    </row>
    <row r="675" spans="5:7" ht="12.75">
      <c r="E675" s="116"/>
      <c r="G675" s="785"/>
    </row>
    <row r="676" spans="5:7" ht="12.75">
      <c r="E676" s="116"/>
      <c r="G676" s="785"/>
    </row>
    <row r="677" spans="5:7" ht="12.75">
      <c r="E677" s="116"/>
      <c r="G677" s="785"/>
    </row>
    <row r="678" spans="5:7" ht="12.75">
      <c r="E678" s="116"/>
      <c r="G678" s="785"/>
    </row>
    <row r="679" spans="5:7" ht="12.75">
      <c r="E679" s="116"/>
      <c r="G679" s="785"/>
    </row>
    <row r="680" spans="5:7" ht="12.75">
      <c r="E680" s="116"/>
      <c r="G680" s="785"/>
    </row>
    <row r="681" spans="5:7" ht="12.75">
      <c r="E681" s="116"/>
      <c r="G681" s="785"/>
    </row>
    <row r="682" spans="5:7" ht="12.75">
      <c r="E682" s="116"/>
      <c r="G682" s="785"/>
    </row>
    <row r="683" spans="5:7" ht="12.75">
      <c r="E683" s="116"/>
      <c r="G683" s="785"/>
    </row>
    <row r="684" spans="5:7" ht="12.75">
      <c r="E684" s="116"/>
      <c r="G684" s="785"/>
    </row>
    <row r="685" spans="5:7" ht="12.75">
      <c r="E685" s="116"/>
      <c r="G685" s="785"/>
    </row>
    <row r="686" spans="5:7" ht="12.75">
      <c r="E686" s="116"/>
      <c r="G686" s="785"/>
    </row>
    <row r="687" spans="5:7" ht="12.75">
      <c r="E687" s="116"/>
      <c r="G687" s="785"/>
    </row>
    <row r="688" spans="5:7" ht="12.75">
      <c r="E688" s="116"/>
      <c r="G688" s="785"/>
    </row>
    <row r="689" spans="5:7" ht="12.75">
      <c r="E689" s="116"/>
      <c r="G689" s="785"/>
    </row>
    <row r="690" spans="5:7" ht="12.75">
      <c r="E690" s="116"/>
      <c r="G690" s="785"/>
    </row>
    <row r="691" spans="5:7" ht="12.75">
      <c r="E691" s="116"/>
      <c r="G691" s="785"/>
    </row>
    <row r="692" spans="5:7" ht="12.75">
      <c r="E692" s="116"/>
      <c r="G692" s="785"/>
    </row>
    <row r="693" spans="5:7" ht="12.75">
      <c r="E693" s="116"/>
      <c r="G693" s="785"/>
    </row>
    <row r="694" spans="5:7" ht="12.75">
      <c r="E694" s="116"/>
      <c r="G694" s="785"/>
    </row>
    <row r="695" spans="5:7" ht="12.75">
      <c r="E695" s="116"/>
      <c r="G695" s="785"/>
    </row>
    <row r="696" spans="5:7" ht="12.75">
      <c r="E696" s="116"/>
      <c r="G696" s="785"/>
    </row>
    <row r="697" spans="5:7" ht="12.75">
      <c r="E697" s="116"/>
      <c r="G697" s="785"/>
    </row>
    <row r="698" spans="5:7" ht="12.75">
      <c r="E698" s="116"/>
      <c r="G698" s="785"/>
    </row>
    <row r="699" spans="5:7" ht="12.75">
      <c r="E699" s="116"/>
      <c r="G699" s="785"/>
    </row>
    <row r="700" spans="5:7" ht="12.75">
      <c r="E700" s="116"/>
      <c r="G700" s="785"/>
    </row>
    <row r="701" spans="5:7" ht="12.75">
      <c r="E701" s="116"/>
      <c r="G701" s="785"/>
    </row>
    <row r="702" spans="5:7" ht="12.75">
      <c r="E702" s="116"/>
      <c r="G702" s="785"/>
    </row>
    <row r="703" spans="5:7" ht="12.75">
      <c r="E703" s="116"/>
      <c r="G703" s="785"/>
    </row>
    <row r="704" spans="5:7" ht="12.75">
      <c r="E704" s="116"/>
      <c r="G704" s="785"/>
    </row>
    <row r="705" spans="5:7" ht="12.75">
      <c r="E705" s="116"/>
      <c r="G705" s="785"/>
    </row>
    <row r="706" spans="5:7" ht="12.75">
      <c r="E706" s="116"/>
      <c r="G706" s="785"/>
    </row>
    <row r="707" spans="5:7" ht="12.75">
      <c r="E707" s="116"/>
      <c r="G707" s="785"/>
    </row>
    <row r="708" spans="5:7" ht="12.75">
      <c r="E708" s="116"/>
      <c r="G708" s="785"/>
    </row>
    <row r="709" spans="5:7" ht="12.75">
      <c r="E709" s="116"/>
      <c r="G709" s="785"/>
    </row>
    <row r="710" spans="5:7" ht="12.75">
      <c r="E710" s="116"/>
      <c r="G710" s="785"/>
    </row>
    <row r="711" spans="5:7" ht="12.75">
      <c r="E711" s="116"/>
      <c r="G711" s="785"/>
    </row>
    <row r="712" spans="5:7" ht="12.75">
      <c r="E712" s="116"/>
      <c r="G712" s="785"/>
    </row>
    <row r="713" spans="5:7" ht="12.75">
      <c r="E713" s="116"/>
      <c r="G713" s="785"/>
    </row>
    <row r="714" spans="5:7" ht="12.75">
      <c r="E714" s="116"/>
      <c r="G714" s="785"/>
    </row>
    <row r="715" spans="5:7" ht="12.75">
      <c r="E715" s="116"/>
      <c r="G715" s="785"/>
    </row>
    <row r="716" spans="5:7" ht="12.75">
      <c r="E716" s="116"/>
      <c r="G716" s="785"/>
    </row>
    <row r="717" spans="5:7" ht="12.75">
      <c r="E717" s="116"/>
      <c r="G717" s="785"/>
    </row>
    <row r="718" spans="5:7" ht="12.75">
      <c r="E718" s="116"/>
      <c r="G718" s="785"/>
    </row>
    <row r="719" spans="5:7" ht="12.75">
      <c r="E719" s="116"/>
      <c r="G719" s="785"/>
    </row>
    <row r="720" spans="5:7" ht="12.75">
      <c r="E720" s="116"/>
      <c r="G720" s="785"/>
    </row>
    <row r="721" spans="5:7" ht="12.75">
      <c r="E721" s="116"/>
      <c r="G721" s="785"/>
    </row>
    <row r="722" ht="12.75">
      <c r="E722" s="116"/>
    </row>
    <row r="723" ht="12.75">
      <c r="E723" s="116"/>
    </row>
    <row r="724" ht="12.75">
      <c r="E724" s="116"/>
    </row>
    <row r="725" ht="12.75">
      <c r="E725" s="116"/>
    </row>
    <row r="726" ht="12.75">
      <c r="E726" s="116"/>
    </row>
    <row r="727" ht="12.75">
      <c r="E727" s="116"/>
    </row>
    <row r="728" ht="12.75">
      <c r="E728" s="116"/>
    </row>
    <row r="729" ht="12.75">
      <c r="E729" s="116"/>
    </row>
    <row r="730" ht="12.75">
      <c r="E730" s="116"/>
    </row>
    <row r="731" ht="12.75">
      <c r="E731" s="116"/>
    </row>
    <row r="732" ht="12.75">
      <c r="E732" s="116"/>
    </row>
    <row r="733" ht="12.75">
      <c r="E733" s="116"/>
    </row>
    <row r="734" ht="12.75">
      <c r="E734" s="116"/>
    </row>
    <row r="735" ht="12.75">
      <c r="E735" s="116"/>
    </row>
    <row r="736" ht="12.75">
      <c r="E736" s="116"/>
    </row>
    <row r="737" ht="12.75">
      <c r="E737" s="116"/>
    </row>
    <row r="738" ht="12.75">
      <c r="E738" s="116"/>
    </row>
    <row r="739" ht="12.75">
      <c r="E739" s="116"/>
    </row>
    <row r="740" ht="12.75">
      <c r="E740" s="116"/>
    </row>
    <row r="741" ht="12.75">
      <c r="E741" s="116"/>
    </row>
    <row r="742" ht="12.75">
      <c r="E742" s="116"/>
    </row>
    <row r="743" ht="12.75">
      <c r="E743" s="116"/>
    </row>
    <row r="744" ht="12.75">
      <c r="E744" s="116"/>
    </row>
    <row r="745" ht="12.75">
      <c r="E745" s="116"/>
    </row>
    <row r="746" ht="12.75">
      <c r="E746" s="116"/>
    </row>
    <row r="747" ht="12.75">
      <c r="E747" s="116"/>
    </row>
    <row r="748" ht="12.75">
      <c r="E748" s="116"/>
    </row>
    <row r="749" ht="12.75">
      <c r="E749" s="116"/>
    </row>
    <row r="750" ht="12.75">
      <c r="E750" s="116"/>
    </row>
    <row r="751" ht="12.75">
      <c r="E751" s="116"/>
    </row>
    <row r="752" ht="12.75">
      <c r="E752" s="116"/>
    </row>
    <row r="753" ht="12.75">
      <c r="E753" s="116"/>
    </row>
    <row r="754" ht="12.75">
      <c r="E754" s="116"/>
    </row>
    <row r="755" ht="12.75">
      <c r="E755" s="116"/>
    </row>
    <row r="756" ht="12.75">
      <c r="E756" s="116"/>
    </row>
    <row r="757" ht="12.75">
      <c r="E757" s="116"/>
    </row>
    <row r="758" ht="12.75">
      <c r="E758" s="116"/>
    </row>
    <row r="759" ht="12.75">
      <c r="E759" s="116"/>
    </row>
    <row r="760" ht="12.75">
      <c r="E760" s="116"/>
    </row>
    <row r="761" ht="12.75">
      <c r="E761" s="116"/>
    </row>
    <row r="762" ht="12.75">
      <c r="E762" s="116"/>
    </row>
    <row r="763" ht="12.75">
      <c r="E763" s="116"/>
    </row>
    <row r="764" ht="12.75">
      <c r="E764" s="116"/>
    </row>
    <row r="765" ht="12.75">
      <c r="E765" s="116"/>
    </row>
    <row r="766" ht="12.75">
      <c r="E766" s="116"/>
    </row>
    <row r="767" ht="12.75">
      <c r="E767" s="116"/>
    </row>
    <row r="768" ht="12.75">
      <c r="E768" s="116"/>
    </row>
    <row r="769" ht="12.75">
      <c r="E769" s="116"/>
    </row>
    <row r="770" ht="12.75">
      <c r="E770" s="116"/>
    </row>
    <row r="771" ht="12.75">
      <c r="E771" s="116"/>
    </row>
    <row r="772" ht="12.75">
      <c r="E772" s="116"/>
    </row>
    <row r="773" ht="12.75">
      <c r="E773" s="116"/>
    </row>
    <row r="774" ht="12.75">
      <c r="E774" s="116"/>
    </row>
    <row r="775" ht="12.75">
      <c r="E775" s="116"/>
    </row>
    <row r="776" ht="12.75">
      <c r="E776" s="116"/>
    </row>
    <row r="777" ht="12.75">
      <c r="E777" s="116"/>
    </row>
    <row r="778" ht="12.75">
      <c r="E778" s="116"/>
    </row>
    <row r="779" ht="12.75">
      <c r="E779" s="116"/>
    </row>
    <row r="780" ht="12.75">
      <c r="E780" s="116"/>
    </row>
    <row r="781" ht="12.75">
      <c r="E781" s="116"/>
    </row>
    <row r="782" ht="12.75">
      <c r="E782" s="116"/>
    </row>
    <row r="783" ht="12.75">
      <c r="E783" s="116"/>
    </row>
    <row r="784" ht="12.75">
      <c r="E784" s="116"/>
    </row>
    <row r="785" ht="12.75">
      <c r="E785" s="116"/>
    </row>
    <row r="786" ht="12.75">
      <c r="E786" s="116"/>
    </row>
    <row r="787" ht="12.75">
      <c r="E787" s="116"/>
    </row>
    <row r="788" ht="12.75">
      <c r="E788" s="116"/>
    </row>
    <row r="789" ht="12.75">
      <c r="E789" s="116"/>
    </row>
    <row r="790" ht="12.75">
      <c r="E790" s="116"/>
    </row>
    <row r="791" ht="12.75">
      <c r="E791" s="116"/>
    </row>
    <row r="792" ht="12.75">
      <c r="E792" s="116"/>
    </row>
    <row r="793" ht="12.75">
      <c r="E793" s="116"/>
    </row>
    <row r="794" ht="12.75">
      <c r="E794" s="116"/>
    </row>
    <row r="795" ht="12.75">
      <c r="E795" s="116"/>
    </row>
    <row r="796" ht="12.75">
      <c r="E796" s="116"/>
    </row>
    <row r="797" ht="12.75">
      <c r="E797" s="116"/>
    </row>
    <row r="798" ht="12.75">
      <c r="E798" s="116"/>
    </row>
    <row r="799" ht="12.75">
      <c r="E799" s="116"/>
    </row>
    <row r="800" ht="12.75">
      <c r="E800" s="116"/>
    </row>
    <row r="801" ht="12.75">
      <c r="E801" s="116"/>
    </row>
    <row r="802" ht="12.75">
      <c r="E802" s="116"/>
    </row>
    <row r="803" ht="12.75">
      <c r="E803" s="116"/>
    </row>
    <row r="804" ht="12.75">
      <c r="E804" s="116"/>
    </row>
    <row r="805" ht="12.75">
      <c r="E805" s="116"/>
    </row>
    <row r="806" ht="12.75">
      <c r="E806" s="116"/>
    </row>
    <row r="807" ht="12.75">
      <c r="E807" s="116"/>
    </row>
    <row r="808" ht="12.75">
      <c r="E808" s="116"/>
    </row>
    <row r="809" ht="12.75">
      <c r="E809" s="116"/>
    </row>
    <row r="810" ht="12.75">
      <c r="E810" s="116"/>
    </row>
    <row r="811" ht="12.75">
      <c r="E811" s="116"/>
    </row>
    <row r="812" ht="12.75">
      <c r="E812" s="116"/>
    </row>
    <row r="813" ht="12.75">
      <c r="E813" s="116"/>
    </row>
    <row r="814" ht="12.75">
      <c r="E814" s="116"/>
    </row>
    <row r="815" ht="12.75">
      <c r="E815" s="116"/>
    </row>
    <row r="816" ht="12.75">
      <c r="E816" s="116"/>
    </row>
    <row r="817" ht="12.75">
      <c r="E817" s="116"/>
    </row>
    <row r="818" ht="12.75">
      <c r="E818" s="116"/>
    </row>
    <row r="819" ht="12.75">
      <c r="E819" s="116"/>
    </row>
    <row r="820" ht="12.75">
      <c r="E820" s="116"/>
    </row>
    <row r="821" ht="12.75">
      <c r="E821" s="116"/>
    </row>
    <row r="822" ht="12.75">
      <c r="E822" s="116"/>
    </row>
    <row r="823" ht="12.75">
      <c r="E823" s="116"/>
    </row>
    <row r="824" ht="12.75">
      <c r="E824" s="116"/>
    </row>
    <row r="825" ht="12.75">
      <c r="E825" s="116"/>
    </row>
    <row r="826" ht="12.75">
      <c r="E826" s="116"/>
    </row>
    <row r="827" ht="12.75">
      <c r="E827" s="116"/>
    </row>
    <row r="828" ht="12.75">
      <c r="E828" s="116"/>
    </row>
    <row r="829" ht="12.75">
      <c r="E829" s="116"/>
    </row>
    <row r="830" ht="12.75">
      <c r="E830" s="116"/>
    </row>
    <row r="831" ht="12.75">
      <c r="E831" s="116"/>
    </row>
    <row r="832" ht="12.75">
      <c r="E832" s="116"/>
    </row>
    <row r="833" ht="12.75">
      <c r="E833" s="116"/>
    </row>
    <row r="834" ht="12.75">
      <c r="E834" s="116"/>
    </row>
    <row r="835" ht="12.75">
      <c r="E835" s="116"/>
    </row>
    <row r="836" ht="12.75">
      <c r="E836" s="116"/>
    </row>
    <row r="837" ht="12.75">
      <c r="E837" s="116"/>
    </row>
    <row r="838" ht="12.75">
      <c r="E838" s="116"/>
    </row>
    <row r="839" ht="12.75">
      <c r="E839" s="116"/>
    </row>
    <row r="840" ht="12.75">
      <c r="E840" s="116"/>
    </row>
    <row r="841" ht="12.75">
      <c r="E841" s="116"/>
    </row>
    <row r="842" ht="12.75">
      <c r="E842" s="116"/>
    </row>
    <row r="843" ht="12.75">
      <c r="E843" s="116"/>
    </row>
    <row r="844" ht="12.75">
      <c r="E844" s="116"/>
    </row>
    <row r="845" ht="12.75">
      <c r="E845" s="116"/>
    </row>
    <row r="846" ht="12.75">
      <c r="E846" s="116"/>
    </row>
    <row r="847" ht="12.75">
      <c r="E847" s="116"/>
    </row>
    <row r="848" ht="12.75">
      <c r="E848" s="116"/>
    </row>
    <row r="849" ht="12.75">
      <c r="E849" s="116"/>
    </row>
    <row r="850" ht="12.75">
      <c r="E850" s="116"/>
    </row>
    <row r="851" ht="12.75">
      <c r="E851" s="116"/>
    </row>
    <row r="852" ht="12.75">
      <c r="E852" s="116"/>
    </row>
    <row r="853" ht="12.75">
      <c r="E853" s="116"/>
    </row>
    <row r="854" ht="12.75">
      <c r="E854" s="116"/>
    </row>
    <row r="855" ht="12.75">
      <c r="E855" s="116"/>
    </row>
    <row r="856" ht="12.75">
      <c r="E856" s="116"/>
    </row>
    <row r="857" ht="12.75">
      <c r="E857" s="116"/>
    </row>
    <row r="858" ht="12.75">
      <c r="E858" s="116"/>
    </row>
    <row r="859" ht="12.75">
      <c r="E859" s="116"/>
    </row>
    <row r="860" ht="12.75">
      <c r="E860" s="116"/>
    </row>
    <row r="861" ht="12.75">
      <c r="E861" s="116"/>
    </row>
    <row r="862" ht="12.75">
      <c r="E862" s="116"/>
    </row>
    <row r="863" ht="12.75">
      <c r="E863" s="116"/>
    </row>
    <row r="864" ht="12.75">
      <c r="E864" s="116"/>
    </row>
    <row r="865" ht="12.75">
      <c r="E865" s="116"/>
    </row>
    <row r="866" ht="12.75">
      <c r="E866" s="116"/>
    </row>
    <row r="867" ht="12.75">
      <c r="E867" s="116"/>
    </row>
    <row r="868" ht="12.75">
      <c r="E868" s="116"/>
    </row>
    <row r="869" ht="12.75">
      <c r="E869" s="116"/>
    </row>
    <row r="870" ht="12.75">
      <c r="E870" s="116"/>
    </row>
    <row r="871" ht="12.75">
      <c r="E871" s="116"/>
    </row>
    <row r="872" ht="12.75">
      <c r="E872" s="116"/>
    </row>
    <row r="873" ht="12.75">
      <c r="E873" s="116"/>
    </row>
    <row r="874" ht="12.75">
      <c r="E874" s="116"/>
    </row>
    <row r="875" ht="12.75">
      <c r="E875" s="116"/>
    </row>
    <row r="876" ht="12.75">
      <c r="E876" s="116"/>
    </row>
    <row r="877" ht="12.75">
      <c r="E877" s="116"/>
    </row>
    <row r="878" ht="12.75">
      <c r="E878" s="116"/>
    </row>
    <row r="879" ht="12.75">
      <c r="E879" s="116"/>
    </row>
    <row r="880" ht="12.75">
      <c r="E880" s="116"/>
    </row>
    <row r="881" ht="12.75">
      <c r="E881" s="116"/>
    </row>
    <row r="882" ht="12.75">
      <c r="E882" s="116"/>
    </row>
    <row r="883" ht="12.75">
      <c r="E883" s="116"/>
    </row>
    <row r="884" ht="12.75">
      <c r="E884" s="116"/>
    </row>
    <row r="885" ht="12.75">
      <c r="E885" s="116"/>
    </row>
    <row r="886" ht="12.75">
      <c r="E886" s="116"/>
    </row>
    <row r="887" ht="12.75">
      <c r="E887" s="116"/>
    </row>
    <row r="888" ht="12.75">
      <c r="E888" s="116"/>
    </row>
    <row r="889" ht="12.75">
      <c r="E889" s="116"/>
    </row>
    <row r="890" ht="12.75">
      <c r="E890" s="116"/>
    </row>
    <row r="891" ht="12.75">
      <c r="E891" s="116"/>
    </row>
    <row r="892" ht="12.75">
      <c r="E892" s="116"/>
    </row>
    <row r="893" ht="12.75">
      <c r="E893" s="116"/>
    </row>
    <row r="894" ht="12.75">
      <c r="E894" s="116"/>
    </row>
    <row r="895" ht="12.75">
      <c r="E895" s="116"/>
    </row>
    <row r="896" ht="12.75">
      <c r="E896" s="116"/>
    </row>
    <row r="897" ht="12.75">
      <c r="E897" s="116"/>
    </row>
    <row r="898" ht="12.75">
      <c r="E898" s="116"/>
    </row>
    <row r="899" ht="12.75">
      <c r="E899" s="116"/>
    </row>
    <row r="900" ht="12.75">
      <c r="E900" s="116"/>
    </row>
    <row r="901" ht="12.75">
      <c r="E901" s="116"/>
    </row>
    <row r="902" ht="12.75">
      <c r="E902" s="116"/>
    </row>
    <row r="903" ht="12.75">
      <c r="E903" s="116"/>
    </row>
    <row r="904" ht="12.75">
      <c r="E904" s="116"/>
    </row>
    <row r="905" ht="12.75">
      <c r="E905" s="116"/>
    </row>
    <row r="906" ht="12.75">
      <c r="E906" s="116"/>
    </row>
    <row r="907" ht="12.75">
      <c r="E907" s="116"/>
    </row>
    <row r="908" ht="12.75">
      <c r="E908" s="116"/>
    </row>
    <row r="909" ht="12.75">
      <c r="E909" s="116"/>
    </row>
    <row r="910" ht="12.75">
      <c r="E910" s="116"/>
    </row>
    <row r="911" ht="12.75">
      <c r="E911" s="116"/>
    </row>
    <row r="912" ht="12.75">
      <c r="E912" s="116"/>
    </row>
    <row r="913" ht="12.75">
      <c r="E913" s="116"/>
    </row>
    <row r="914" ht="12.75">
      <c r="E914" s="116"/>
    </row>
    <row r="915" ht="12.75">
      <c r="E915" s="116"/>
    </row>
    <row r="916" ht="12.75">
      <c r="E916" s="116"/>
    </row>
    <row r="917" ht="12.75">
      <c r="E917" s="116"/>
    </row>
    <row r="918" ht="12.75">
      <c r="E918" s="116"/>
    </row>
    <row r="919" ht="12.75">
      <c r="E919" s="116"/>
    </row>
    <row r="920" ht="12.75">
      <c r="E920" s="116"/>
    </row>
    <row r="921" ht="12.75">
      <c r="E921" s="116"/>
    </row>
    <row r="922" ht="12.75">
      <c r="E922" s="116"/>
    </row>
    <row r="923" ht="12.75">
      <c r="E923" s="116"/>
    </row>
    <row r="924" ht="12.75">
      <c r="E924" s="116"/>
    </row>
    <row r="925" ht="12.75">
      <c r="E925" s="116"/>
    </row>
    <row r="926" ht="12.75">
      <c r="E926" s="116"/>
    </row>
    <row r="927" ht="12.75">
      <c r="E927" s="116"/>
    </row>
    <row r="928" ht="12.75">
      <c r="E928" s="116"/>
    </row>
    <row r="929" ht="12.75">
      <c r="E929" s="116"/>
    </row>
    <row r="930" ht="12.75">
      <c r="E930" s="116"/>
    </row>
    <row r="931" ht="12.75">
      <c r="E931" s="116"/>
    </row>
    <row r="932" ht="12.75">
      <c r="E932" s="116"/>
    </row>
    <row r="933" ht="12.75">
      <c r="E933" s="116"/>
    </row>
    <row r="934" ht="12.75">
      <c r="E934" s="116"/>
    </row>
    <row r="935" ht="12.75">
      <c r="E935" s="116"/>
    </row>
    <row r="936" ht="12.75">
      <c r="E936" s="116"/>
    </row>
    <row r="937" ht="12.75">
      <c r="E937" s="116"/>
    </row>
    <row r="938" ht="12.75">
      <c r="E938" s="116"/>
    </row>
    <row r="939" ht="12.75">
      <c r="E939" s="116"/>
    </row>
    <row r="940" ht="12.75">
      <c r="E940" s="116"/>
    </row>
    <row r="941" ht="12.75">
      <c r="E941" s="116"/>
    </row>
    <row r="942" ht="12.75">
      <c r="E942" s="116"/>
    </row>
    <row r="943" ht="12.75">
      <c r="E943" s="116"/>
    </row>
    <row r="944" ht="12.75">
      <c r="E944" s="116"/>
    </row>
    <row r="945" ht="12.75">
      <c r="E945" s="116"/>
    </row>
    <row r="946" ht="12.75">
      <c r="E946" s="116"/>
    </row>
    <row r="947" ht="12.75">
      <c r="E947" s="116"/>
    </row>
    <row r="948" ht="12.75">
      <c r="E948" s="116"/>
    </row>
    <row r="949" ht="12.75">
      <c r="E949" s="116"/>
    </row>
    <row r="950" ht="12.75">
      <c r="E950" s="116"/>
    </row>
    <row r="951" ht="12.75">
      <c r="E951" s="116"/>
    </row>
    <row r="952" ht="12.75">
      <c r="E952" s="116"/>
    </row>
    <row r="953" ht="12.75">
      <c r="E953" s="116"/>
    </row>
    <row r="954" ht="12.75">
      <c r="E954" s="116"/>
    </row>
    <row r="955" ht="12.75">
      <c r="E955" s="116"/>
    </row>
    <row r="956" ht="12.75">
      <c r="E956" s="116"/>
    </row>
    <row r="957" ht="12.75">
      <c r="E957" s="116"/>
    </row>
    <row r="958" ht="12.75">
      <c r="E958" s="116"/>
    </row>
    <row r="959" ht="12.75">
      <c r="E959" s="116"/>
    </row>
    <row r="960" ht="12.75">
      <c r="E960" s="116"/>
    </row>
    <row r="961" ht="12.75">
      <c r="E961" s="116"/>
    </row>
    <row r="962" ht="12.75">
      <c r="E962" s="116"/>
    </row>
    <row r="963" ht="12.75">
      <c r="E963" s="116"/>
    </row>
    <row r="964" ht="12.75">
      <c r="E964" s="116"/>
    </row>
    <row r="965" ht="12.75">
      <c r="E965" s="116"/>
    </row>
    <row r="966" ht="12.75">
      <c r="E966" s="116"/>
    </row>
    <row r="967" ht="12.75">
      <c r="E967" s="116"/>
    </row>
    <row r="968" ht="12.75">
      <c r="E968" s="116"/>
    </row>
    <row r="969" ht="12.75">
      <c r="E969" s="116"/>
    </row>
    <row r="970" ht="12.75">
      <c r="E970" s="116"/>
    </row>
    <row r="971" ht="12.75">
      <c r="E971" s="116"/>
    </row>
    <row r="972" ht="12.75">
      <c r="E972" s="116"/>
    </row>
    <row r="973" ht="12.75">
      <c r="E973" s="116"/>
    </row>
    <row r="974" ht="12.75">
      <c r="E974" s="116"/>
    </row>
    <row r="975" ht="12.75">
      <c r="E975" s="116"/>
    </row>
    <row r="976" ht="12.75">
      <c r="E976" s="116"/>
    </row>
    <row r="977" ht="12.75">
      <c r="E977" s="116"/>
    </row>
    <row r="978" ht="12.75">
      <c r="E978" s="116"/>
    </row>
    <row r="979" ht="12.75">
      <c r="E979" s="116"/>
    </row>
    <row r="980" ht="12.75">
      <c r="E980" s="116"/>
    </row>
    <row r="981" ht="12.75">
      <c r="E981" s="116"/>
    </row>
    <row r="982" ht="12.75">
      <c r="E982" s="116"/>
    </row>
    <row r="983" ht="12.75">
      <c r="E983" s="116"/>
    </row>
    <row r="984" ht="12.75">
      <c r="E984" s="116"/>
    </row>
    <row r="985" ht="12.75">
      <c r="E985" s="116"/>
    </row>
    <row r="986" ht="12.75">
      <c r="E986" s="116"/>
    </row>
    <row r="987" ht="12.75">
      <c r="E987" s="116"/>
    </row>
    <row r="988" ht="12.75">
      <c r="E988" s="116"/>
    </row>
  </sheetData>
  <mergeCells count="11">
    <mergeCell ref="A7:H7"/>
    <mergeCell ref="E10:E12"/>
    <mergeCell ref="F10:F12"/>
    <mergeCell ref="A10:A12"/>
    <mergeCell ref="B10:B12"/>
    <mergeCell ref="C10:C12"/>
    <mergeCell ref="D10:D12"/>
    <mergeCell ref="G10:G12"/>
    <mergeCell ref="A653:D653"/>
    <mergeCell ref="H10:H12"/>
    <mergeCell ref="A9:H9"/>
  </mergeCells>
  <printOptions horizontalCentered="1"/>
  <pageMargins left="0.38" right="0.24" top="0.27" bottom="0.25" header="0.11811023622047245" footer="0.11811023622047245"/>
  <pageSetup fitToHeight="10" fitToWidth="10" horizontalDpi="600" verticalDpi="600" orientation="portrait" paperSize="9" scale="90" r:id="rId1"/>
  <rowBreaks count="5" manualBreakCount="5">
    <brk id="149" max="7" man="1"/>
    <brk id="226" max="7" man="1"/>
    <brk id="305" max="7" man="1"/>
    <brk id="469" max="7" man="1"/>
    <brk id="63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75" zoomScaleNormal="75" workbookViewId="0" topLeftCell="D1">
      <selection activeCell="J30" sqref="J3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625" style="1" customWidth="1"/>
    <col min="5" max="5" width="33.00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10.625" style="1" customWidth="1"/>
    <col min="13" max="13" width="11.625" style="1" customWidth="1"/>
    <col min="14" max="14" width="16.75390625" style="1" customWidth="1"/>
    <col min="15" max="16384" width="9.125" style="1" customWidth="1"/>
  </cols>
  <sheetData>
    <row r="1" spans="13:14" ht="12.75">
      <c r="M1" s="6" t="s">
        <v>341</v>
      </c>
      <c r="N1" s="6"/>
    </row>
    <row r="2" spans="13:14" ht="12.75">
      <c r="M2" s="6" t="s">
        <v>342</v>
      </c>
      <c r="N2" s="6"/>
    </row>
    <row r="3" spans="13:14" ht="12.75">
      <c r="M3" s="6" t="s">
        <v>343</v>
      </c>
      <c r="N3" s="6"/>
    </row>
    <row r="4" spans="13:14" ht="12.75">
      <c r="M4" s="6" t="s">
        <v>732</v>
      </c>
      <c r="N4" s="6"/>
    </row>
    <row r="6" spans="1:14" ht="18">
      <c r="A6" s="945" t="s">
        <v>661</v>
      </c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</row>
    <row r="7" spans="1:14" ht="10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9" t="s">
        <v>626</v>
      </c>
    </row>
    <row r="8" spans="1:14" s="37" customFormat="1" ht="19.5" customHeight="1">
      <c r="A8" s="946" t="s">
        <v>645</v>
      </c>
      <c r="B8" s="946" t="s">
        <v>588</v>
      </c>
      <c r="C8" s="946" t="s">
        <v>625</v>
      </c>
      <c r="D8" s="946" t="s">
        <v>22</v>
      </c>
      <c r="E8" s="947" t="s">
        <v>6</v>
      </c>
      <c r="F8" s="947" t="s">
        <v>20</v>
      </c>
      <c r="G8" s="947" t="s">
        <v>660</v>
      </c>
      <c r="H8" s="947"/>
      <c r="I8" s="947"/>
      <c r="J8" s="947"/>
      <c r="K8" s="947"/>
      <c r="L8" s="947"/>
      <c r="M8" s="947"/>
      <c r="N8" s="947" t="s">
        <v>23</v>
      </c>
    </row>
    <row r="9" spans="1:14" s="37" customFormat="1" ht="19.5" customHeight="1">
      <c r="A9" s="946"/>
      <c r="B9" s="946"/>
      <c r="C9" s="946"/>
      <c r="D9" s="946"/>
      <c r="E9" s="947"/>
      <c r="F9" s="947"/>
      <c r="G9" s="947" t="s">
        <v>44</v>
      </c>
      <c r="H9" s="947" t="s">
        <v>46</v>
      </c>
      <c r="I9" s="947"/>
      <c r="J9" s="947"/>
      <c r="K9" s="947"/>
      <c r="L9" s="947" t="s">
        <v>641</v>
      </c>
      <c r="M9" s="947" t="s">
        <v>643</v>
      </c>
      <c r="N9" s="947"/>
    </row>
    <row r="10" spans="1:14" s="37" customFormat="1" ht="29.25" customHeight="1">
      <c r="A10" s="946"/>
      <c r="B10" s="946"/>
      <c r="C10" s="946"/>
      <c r="D10" s="946"/>
      <c r="E10" s="947"/>
      <c r="F10" s="947"/>
      <c r="G10" s="947"/>
      <c r="H10" s="947" t="s">
        <v>24</v>
      </c>
      <c r="I10" s="947" t="s">
        <v>4</v>
      </c>
      <c r="J10" s="947" t="s">
        <v>51</v>
      </c>
      <c r="K10" s="947" t="s">
        <v>5</v>
      </c>
      <c r="L10" s="947"/>
      <c r="M10" s="947"/>
      <c r="N10" s="947"/>
    </row>
    <row r="11" spans="1:14" s="37" customFormat="1" ht="19.5" customHeight="1">
      <c r="A11" s="946"/>
      <c r="B11" s="946"/>
      <c r="C11" s="946"/>
      <c r="D11" s="946"/>
      <c r="E11" s="947"/>
      <c r="F11" s="947"/>
      <c r="G11" s="947"/>
      <c r="H11" s="947"/>
      <c r="I11" s="947"/>
      <c r="J11" s="947"/>
      <c r="K11" s="947"/>
      <c r="L11" s="947"/>
      <c r="M11" s="947"/>
      <c r="N11" s="947"/>
    </row>
    <row r="12" spans="1:14" s="37" customFormat="1" ht="19.5" customHeight="1">
      <c r="A12" s="946"/>
      <c r="B12" s="946"/>
      <c r="C12" s="946"/>
      <c r="D12" s="946"/>
      <c r="E12" s="947"/>
      <c r="F12" s="947"/>
      <c r="G12" s="947"/>
      <c r="H12" s="947"/>
      <c r="I12" s="947"/>
      <c r="J12" s="947"/>
      <c r="K12" s="947"/>
      <c r="L12" s="947"/>
      <c r="M12" s="947"/>
      <c r="N12" s="947"/>
    </row>
    <row r="13" spans="1:14" ht="7.5" customHeight="1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</row>
    <row r="14" spans="1:14" ht="40.5" customHeight="1" hidden="1">
      <c r="A14" s="165" t="s">
        <v>598</v>
      </c>
      <c r="B14" s="162">
        <v>600</v>
      </c>
      <c r="C14" s="19">
        <v>60014</v>
      </c>
      <c r="D14" s="19">
        <v>6050</v>
      </c>
      <c r="E14" s="157" t="s">
        <v>200</v>
      </c>
      <c r="F14" s="160">
        <v>3100000</v>
      </c>
      <c r="G14" s="160">
        <f aca="true" t="shared" si="0" ref="G14:G22">SUM(H14:K14)</f>
        <v>0</v>
      </c>
      <c r="H14" s="160">
        <v>0</v>
      </c>
      <c r="I14" s="160">
        <v>0</v>
      </c>
      <c r="J14" s="161"/>
      <c r="K14" s="160">
        <v>0</v>
      </c>
      <c r="L14" s="160">
        <v>0</v>
      </c>
      <c r="M14" s="160">
        <v>80000</v>
      </c>
      <c r="N14" s="159" t="s">
        <v>582</v>
      </c>
    </row>
    <row r="15" spans="1:14" ht="63.75" hidden="1">
      <c r="A15" s="164" t="s">
        <v>599</v>
      </c>
      <c r="B15" s="162">
        <v>600</v>
      </c>
      <c r="C15" s="19">
        <v>60014</v>
      </c>
      <c r="D15" s="19">
        <v>6050</v>
      </c>
      <c r="E15" s="157" t="s">
        <v>460</v>
      </c>
      <c r="F15" s="160">
        <v>3080000</v>
      </c>
      <c r="G15" s="160">
        <f t="shared" si="0"/>
        <v>0</v>
      </c>
      <c r="H15" s="160">
        <v>0</v>
      </c>
      <c r="I15" s="160">
        <v>0</v>
      </c>
      <c r="J15" s="161"/>
      <c r="K15" s="160">
        <v>0</v>
      </c>
      <c r="L15" s="160">
        <v>80000</v>
      </c>
      <c r="M15" s="160">
        <v>1000000</v>
      </c>
      <c r="N15" s="159" t="s">
        <v>582</v>
      </c>
    </row>
    <row r="16" spans="1:14" ht="51">
      <c r="A16" s="165" t="s">
        <v>597</v>
      </c>
      <c r="B16" s="162">
        <v>600</v>
      </c>
      <c r="C16" s="19">
        <v>60014</v>
      </c>
      <c r="D16" s="19">
        <v>6050</v>
      </c>
      <c r="E16" s="157" t="s">
        <v>201</v>
      </c>
      <c r="F16" s="160">
        <v>3470000</v>
      </c>
      <c r="G16" s="160">
        <f t="shared" si="0"/>
        <v>70000</v>
      </c>
      <c r="H16" s="160">
        <v>70000</v>
      </c>
      <c r="I16" s="160">
        <v>0</v>
      </c>
      <c r="J16" s="161"/>
      <c r="K16" s="160">
        <v>0</v>
      </c>
      <c r="L16" s="160">
        <v>0</v>
      </c>
      <c r="M16" s="160">
        <v>1000000</v>
      </c>
      <c r="N16" s="159" t="s">
        <v>582</v>
      </c>
    </row>
    <row r="17" spans="1:14" ht="38.25" hidden="1">
      <c r="A17" s="164" t="s">
        <v>597</v>
      </c>
      <c r="B17" s="162">
        <v>600</v>
      </c>
      <c r="C17" s="19">
        <v>60014</v>
      </c>
      <c r="D17" s="19">
        <v>6050</v>
      </c>
      <c r="E17" s="157" t="s">
        <v>202</v>
      </c>
      <c r="F17" s="160">
        <v>3700000</v>
      </c>
      <c r="G17" s="160">
        <f t="shared" si="0"/>
        <v>0</v>
      </c>
      <c r="H17" s="160">
        <v>0</v>
      </c>
      <c r="I17" s="160">
        <v>0</v>
      </c>
      <c r="J17" s="161"/>
      <c r="K17" s="160">
        <v>0</v>
      </c>
      <c r="L17" s="160">
        <v>0</v>
      </c>
      <c r="M17" s="160">
        <v>64000</v>
      </c>
      <c r="N17" s="159" t="s">
        <v>582</v>
      </c>
    </row>
    <row r="18" spans="1:14" ht="25.5" hidden="1">
      <c r="A18" s="165" t="s">
        <v>598</v>
      </c>
      <c r="B18" s="162">
        <v>600</v>
      </c>
      <c r="C18" s="19">
        <v>60014</v>
      </c>
      <c r="D18" s="19">
        <v>6050</v>
      </c>
      <c r="E18" s="157" t="s">
        <v>203</v>
      </c>
      <c r="F18" s="160">
        <v>1200000</v>
      </c>
      <c r="G18" s="160">
        <f t="shared" si="0"/>
        <v>0</v>
      </c>
      <c r="H18" s="160">
        <v>0</v>
      </c>
      <c r="I18" s="160">
        <v>0</v>
      </c>
      <c r="J18" s="161"/>
      <c r="K18" s="160">
        <v>0</v>
      </c>
      <c r="L18" s="160">
        <v>0</v>
      </c>
      <c r="M18" s="160">
        <v>300000</v>
      </c>
      <c r="N18" s="159" t="s">
        <v>582</v>
      </c>
    </row>
    <row r="19" spans="1:14" ht="38.25" hidden="1">
      <c r="A19" s="164" t="s">
        <v>599</v>
      </c>
      <c r="B19" s="162">
        <v>600</v>
      </c>
      <c r="C19" s="19">
        <v>60014</v>
      </c>
      <c r="D19" s="19">
        <v>6050</v>
      </c>
      <c r="E19" s="157" t="s">
        <v>204</v>
      </c>
      <c r="F19" s="160">
        <v>14000000</v>
      </c>
      <c r="G19" s="160">
        <f t="shared" si="0"/>
        <v>45000</v>
      </c>
      <c r="H19" s="160">
        <v>45000</v>
      </c>
      <c r="I19" s="160">
        <v>0</v>
      </c>
      <c r="J19" s="161"/>
      <c r="K19" s="160">
        <v>0</v>
      </c>
      <c r="L19" s="160">
        <v>1000000</v>
      </c>
      <c r="M19" s="160">
        <v>6350000</v>
      </c>
      <c r="N19" s="159" t="s">
        <v>582</v>
      </c>
    </row>
    <row r="20" spans="1:14" ht="38.25" hidden="1">
      <c r="A20" s="164" t="s">
        <v>597</v>
      </c>
      <c r="B20" s="162">
        <v>750</v>
      </c>
      <c r="C20" s="19">
        <v>75020</v>
      </c>
      <c r="D20" s="19">
        <v>6050</v>
      </c>
      <c r="E20" s="157" t="s">
        <v>205</v>
      </c>
      <c r="F20" s="160">
        <v>1566000</v>
      </c>
      <c r="G20" s="160">
        <f t="shared" si="0"/>
        <v>0</v>
      </c>
      <c r="H20" s="160">
        <v>0</v>
      </c>
      <c r="I20" s="160">
        <v>0</v>
      </c>
      <c r="J20" s="161"/>
      <c r="K20" s="160">
        <v>0</v>
      </c>
      <c r="L20" s="160">
        <v>700000</v>
      </c>
      <c r="M20" s="160">
        <v>866000</v>
      </c>
      <c r="N20" s="159" t="s">
        <v>206</v>
      </c>
    </row>
    <row r="21" spans="1:14" ht="51" hidden="1">
      <c r="A21" s="165" t="s">
        <v>604</v>
      </c>
      <c r="B21" s="162">
        <v>801</v>
      </c>
      <c r="C21" s="19">
        <v>80130</v>
      </c>
      <c r="D21" s="154">
        <v>6050</v>
      </c>
      <c r="E21" s="155" t="s">
        <v>207</v>
      </c>
      <c r="F21" s="160">
        <v>13500</v>
      </c>
      <c r="G21" s="160">
        <f t="shared" si="0"/>
        <v>13500</v>
      </c>
      <c r="H21" s="160">
        <v>13500</v>
      </c>
      <c r="I21" s="160">
        <v>0</v>
      </c>
      <c r="J21" s="161"/>
      <c r="K21" s="160">
        <v>0</v>
      </c>
      <c r="L21" s="160">
        <v>0</v>
      </c>
      <c r="M21" s="160">
        <v>0</v>
      </c>
      <c r="N21" s="159" t="s">
        <v>206</v>
      </c>
    </row>
    <row r="22" spans="1:14" ht="38.25" hidden="1">
      <c r="A22" s="153" t="s">
        <v>212</v>
      </c>
      <c r="B22" s="163">
        <v>852</v>
      </c>
      <c r="C22" s="156">
        <v>85201</v>
      </c>
      <c r="D22" s="156">
        <v>6050</v>
      </c>
      <c r="E22" s="158" t="s">
        <v>208</v>
      </c>
      <c r="F22" s="160">
        <v>200000</v>
      </c>
      <c r="G22" s="160">
        <f t="shared" si="0"/>
        <v>0</v>
      </c>
      <c r="H22" s="160">
        <v>0</v>
      </c>
      <c r="I22" s="160">
        <v>0</v>
      </c>
      <c r="J22" s="161"/>
      <c r="K22" s="160">
        <v>0</v>
      </c>
      <c r="L22" s="160">
        <v>0</v>
      </c>
      <c r="M22" s="160">
        <v>0</v>
      </c>
      <c r="N22" s="18" t="s">
        <v>209</v>
      </c>
    </row>
    <row r="23" spans="1:14" ht="22.5" customHeight="1">
      <c r="A23" s="948" t="s">
        <v>19</v>
      </c>
      <c r="B23" s="915"/>
      <c r="C23" s="915"/>
      <c r="D23" s="915"/>
      <c r="E23" s="916"/>
      <c r="F23" s="160">
        <f aca="true" t="shared" si="1" ref="F23:M23">F16</f>
        <v>3470000</v>
      </c>
      <c r="G23" s="160">
        <f t="shared" si="1"/>
        <v>70000</v>
      </c>
      <c r="H23" s="160">
        <f t="shared" si="1"/>
        <v>70000</v>
      </c>
      <c r="I23" s="160">
        <f t="shared" si="1"/>
        <v>0</v>
      </c>
      <c r="J23" s="160">
        <f t="shared" si="1"/>
        <v>0</v>
      </c>
      <c r="K23" s="160">
        <f t="shared" si="1"/>
        <v>0</v>
      </c>
      <c r="L23" s="160">
        <f t="shared" si="1"/>
        <v>0</v>
      </c>
      <c r="M23" s="160">
        <f t="shared" si="1"/>
        <v>1000000</v>
      </c>
      <c r="N23" s="50" t="s">
        <v>631</v>
      </c>
    </row>
    <row r="30" ht="12.75">
      <c r="A30" s="54"/>
    </row>
  </sheetData>
  <mergeCells count="18">
    <mergeCell ref="L9:L12"/>
    <mergeCell ref="A23:E23"/>
    <mergeCell ref="H9:K9"/>
    <mergeCell ref="H10:H12"/>
    <mergeCell ref="I10:I12"/>
    <mergeCell ref="J10:J12"/>
    <mergeCell ref="K10:K12"/>
    <mergeCell ref="D8:D12"/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M9:M12"/>
  </mergeCells>
  <printOptions horizontalCentered="1"/>
  <pageMargins left="0.2" right="0.22" top="0.24" bottom="0.19" header="0.24" footer="0.19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75" zoomScaleSheetLayoutView="75" workbookViewId="0" topLeftCell="D1">
      <pane ySplit="11" topLeftCell="BM21" activePane="bottomLeft" state="frozen"/>
      <selection pane="topLeft" activeCell="A1" sqref="A1"/>
      <selection pane="bottomLeft" activeCell="E26" sqref="E26"/>
    </sheetView>
  </sheetViews>
  <sheetFormatPr defaultColWidth="9.00390625" defaultRowHeight="12.75"/>
  <cols>
    <col min="1" max="1" width="5.625" style="1" customWidth="1"/>
    <col min="2" max="2" width="5.875" style="1" customWidth="1"/>
    <col min="3" max="3" width="6.625" style="1" customWidth="1"/>
    <col min="4" max="4" width="5.375" style="1" customWidth="1"/>
    <col min="5" max="5" width="45.75390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K1" s="1" t="s">
        <v>344</v>
      </c>
    </row>
    <row r="2" ht="12.75">
      <c r="K2" s="1" t="s">
        <v>345</v>
      </c>
    </row>
    <row r="3" ht="12.75">
      <c r="K3" s="1" t="s">
        <v>218</v>
      </c>
    </row>
    <row r="4" ht="12.75">
      <c r="K4" s="1" t="s">
        <v>721</v>
      </c>
    </row>
    <row r="5" spans="1:12" ht="18">
      <c r="A5" s="945" t="s">
        <v>659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</row>
    <row r="6" spans="1:12" ht="10.5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9" t="s">
        <v>626</v>
      </c>
    </row>
    <row r="7" spans="1:12" s="37" customFormat="1" ht="19.5" customHeight="1">
      <c r="A7" s="951" t="s">
        <v>645</v>
      </c>
      <c r="B7" s="953" t="s">
        <v>588</v>
      </c>
      <c r="C7" s="953" t="s">
        <v>625</v>
      </c>
      <c r="D7" s="953" t="s">
        <v>22</v>
      </c>
      <c r="E7" s="954" t="s">
        <v>25</v>
      </c>
      <c r="F7" s="954" t="s">
        <v>20</v>
      </c>
      <c r="G7" s="954" t="s">
        <v>660</v>
      </c>
      <c r="H7" s="954"/>
      <c r="I7" s="954"/>
      <c r="J7" s="954"/>
      <c r="K7" s="954"/>
      <c r="L7" s="955" t="s">
        <v>23</v>
      </c>
    </row>
    <row r="8" spans="1:12" s="37" customFormat="1" ht="19.5" customHeight="1">
      <c r="A8" s="952"/>
      <c r="B8" s="946"/>
      <c r="C8" s="946"/>
      <c r="D8" s="946"/>
      <c r="E8" s="947"/>
      <c r="F8" s="947"/>
      <c r="G8" s="947" t="s">
        <v>45</v>
      </c>
      <c r="H8" s="947" t="s">
        <v>46</v>
      </c>
      <c r="I8" s="947"/>
      <c r="J8" s="947"/>
      <c r="K8" s="947"/>
      <c r="L8" s="956"/>
    </row>
    <row r="9" spans="1:12" s="37" customFormat="1" ht="29.25" customHeight="1">
      <c r="A9" s="952"/>
      <c r="B9" s="946"/>
      <c r="C9" s="946"/>
      <c r="D9" s="946"/>
      <c r="E9" s="947"/>
      <c r="F9" s="947"/>
      <c r="G9" s="947"/>
      <c r="H9" s="947" t="s">
        <v>24</v>
      </c>
      <c r="I9" s="947" t="s">
        <v>4</v>
      </c>
      <c r="J9" s="947" t="s">
        <v>26</v>
      </c>
      <c r="K9" s="947" t="s">
        <v>5</v>
      </c>
      <c r="L9" s="956"/>
    </row>
    <row r="10" spans="1:12" s="37" customFormat="1" ht="19.5" customHeight="1">
      <c r="A10" s="952"/>
      <c r="B10" s="946"/>
      <c r="C10" s="946"/>
      <c r="D10" s="946"/>
      <c r="E10" s="947"/>
      <c r="F10" s="947"/>
      <c r="G10" s="947"/>
      <c r="H10" s="947"/>
      <c r="I10" s="947"/>
      <c r="J10" s="947"/>
      <c r="K10" s="947"/>
      <c r="L10" s="956"/>
    </row>
    <row r="11" spans="1:12" s="37" customFormat="1" ht="19.5" customHeight="1">
      <c r="A11" s="952"/>
      <c r="B11" s="946"/>
      <c r="C11" s="946"/>
      <c r="D11" s="946"/>
      <c r="E11" s="947"/>
      <c r="F11" s="947"/>
      <c r="G11" s="947"/>
      <c r="H11" s="947"/>
      <c r="I11" s="947"/>
      <c r="J11" s="947"/>
      <c r="K11" s="947"/>
      <c r="L11" s="956"/>
    </row>
    <row r="12" spans="1:12" ht="7.5" customHeight="1">
      <c r="A12" s="178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9">
        <v>12</v>
      </c>
    </row>
    <row r="13" spans="1:12" ht="24">
      <c r="A13" s="180" t="s">
        <v>597</v>
      </c>
      <c r="B13" s="182">
        <v>750</v>
      </c>
      <c r="C13" s="182">
        <v>75020</v>
      </c>
      <c r="D13" s="182">
        <v>6050</v>
      </c>
      <c r="E13" s="183" t="s">
        <v>38</v>
      </c>
      <c r="F13" s="181">
        <v>400000</v>
      </c>
      <c r="G13" s="181">
        <f>SUM(H13:K13)</f>
        <v>400000</v>
      </c>
      <c r="H13" s="181">
        <v>400000</v>
      </c>
      <c r="I13" s="182">
        <v>0</v>
      </c>
      <c r="J13" s="183">
        <v>0</v>
      </c>
      <c r="K13" s="182">
        <v>0</v>
      </c>
      <c r="L13" s="761" t="s">
        <v>206</v>
      </c>
    </row>
    <row r="14" spans="1:12" ht="24">
      <c r="A14" s="180" t="s">
        <v>598</v>
      </c>
      <c r="B14" s="182">
        <v>750</v>
      </c>
      <c r="C14" s="182">
        <v>75020</v>
      </c>
      <c r="D14" s="182">
        <v>6050</v>
      </c>
      <c r="E14" s="183" t="s">
        <v>222</v>
      </c>
      <c r="F14" s="181">
        <v>20000</v>
      </c>
      <c r="G14" s="181">
        <f aca="true" t="shared" si="0" ref="G14:G27">SUM(H14:K14)</f>
        <v>20000</v>
      </c>
      <c r="H14" s="181">
        <v>20000</v>
      </c>
      <c r="I14" s="182">
        <v>0</v>
      </c>
      <c r="J14" s="183">
        <v>0</v>
      </c>
      <c r="K14" s="182">
        <v>0</v>
      </c>
      <c r="L14" s="761" t="s">
        <v>206</v>
      </c>
    </row>
    <row r="15" spans="1:12" ht="47.25" customHeight="1">
      <c r="A15" s="180" t="s">
        <v>599</v>
      </c>
      <c r="B15" s="182">
        <v>750</v>
      </c>
      <c r="C15" s="182">
        <v>75020</v>
      </c>
      <c r="D15" s="182">
        <v>6050</v>
      </c>
      <c r="E15" s="183" t="s">
        <v>224</v>
      </c>
      <c r="F15" s="181">
        <v>100000</v>
      </c>
      <c r="G15" s="181">
        <f t="shared" si="0"/>
        <v>100000</v>
      </c>
      <c r="H15" s="181">
        <v>100000</v>
      </c>
      <c r="I15" s="182">
        <v>0</v>
      </c>
      <c r="J15" s="183">
        <v>0</v>
      </c>
      <c r="K15" s="182">
        <v>0</v>
      </c>
      <c r="L15" s="761" t="s">
        <v>206</v>
      </c>
    </row>
    <row r="16" spans="1:12" ht="24">
      <c r="A16" s="180" t="s">
        <v>587</v>
      </c>
      <c r="B16" s="182">
        <v>600</v>
      </c>
      <c r="C16" s="182">
        <v>60014</v>
      </c>
      <c r="D16" s="182">
        <v>6060</v>
      </c>
      <c r="E16" s="183" t="s">
        <v>581</v>
      </c>
      <c r="F16" s="854">
        <v>25100</v>
      </c>
      <c r="G16" s="854">
        <f t="shared" si="0"/>
        <v>25100</v>
      </c>
      <c r="H16" s="854">
        <f>15000+10100</f>
        <v>25100</v>
      </c>
      <c r="I16" s="182">
        <v>0</v>
      </c>
      <c r="J16" s="183">
        <v>0</v>
      </c>
      <c r="K16" s="182">
        <v>0</v>
      </c>
      <c r="L16" s="761" t="s">
        <v>582</v>
      </c>
    </row>
    <row r="17" spans="1:12" ht="24">
      <c r="A17" s="180" t="s">
        <v>604</v>
      </c>
      <c r="B17" s="182">
        <v>600</v>
      </c>
      <c r="C17" s="182">
        <v>60014</v>
      </c>
      <c r="D17" s="182">
        <v>6060</v>
      </c>
      <c r="E17" s="183" t="s">
        <v>227</v>
      </c>
      <c r="F17" s="854">
        <v>45000</v>
      </c>
      <c r="G17" s="854">
        <f t="shared" si="0"/>
        <v>45000</v>
      </c>
      <c r="H17" s="854">
        <v>45000</v>
      </c>
      <c r="I17" s="182">
        <v>0</v>
      </c>
      <c r="J17" s="183">
        <v>0</v>
      </c>
      <c r="K17" s="182">
        <v>0</v>
      </c>
      <c r="L17" s="761" t="s">
        <v>582</v>
      </c>
    </row>
    <row r="18" spans="1:12" ht="24">
      <c r="A18" s="180" t="s">
        <v>609</v>
      </c>
      <c r="B18" s="182">
        <v>600</v>
      </c>
      <c r="C18" s="182">
        <v>60014</v>
      </c>
      <c r="D18" s="182">
        <v>6060</v>
      </c>
      <c r="E18" s="183" t="s">
        <v>228</v>
      </c>
      <c r="F18" s="854">
        <v>100000</v>
      </c>
      <c r="G18" s="854">
        <f t="shared" si="0"/>
        <v>100000</v>
      </c>
      <c r="H18" s="854">
        <f>70000+30000</f>
        <v>100000</v>
      </c>
      <c r="I18" s="182">
        <v>0</v>
      </c>
      <c r="J18" s="183">
        <v>0</v>
      </c>
      <c r="K18" s="182">
        <v>0</v>
      </c>
      <c r="L18" s="761" t="s">
        <v>582</v>
      </c>
    </row>
    <row r="19" spans="1:12" ht="24">
      <c r="A19" s="180" t="s">
        <v>210</v>
      </c>
      <c r="B19" s="182">
        <v>600</v>
      </c>
      <c r="C19" s="182">
        <v>60014</v>
      </c>
      <c r="D19" s="182">
        <v>6060</v>
      </c>
      <c r="E19" s="183" t="s">
        <v>229</v>
      </c>
      <c r="F19" s="854">
        <v>54900</v>
      </c>
      <c r="G19" s="854">
        <f t="shared" si="0"/>
        <v>54900</v>
      </c>
      <c r="H19" s="854">
        <f>50000+4900</f>
        <v>54900</v>
      </c>
      <c r="I19" s="182">
        <v>0</v>
      </c>
      <c r="J19" s="183">
        <v>0</v>
      </c>
      <c r="K19" s="182">
        <v>0</v>
      </c>
      <c r="L19" s="761" t="s">
        <v>582</v>
      </c>
    </row>
    <row r="20" spans="1:12" ht="24">
      <c r="A20" s="180" t="s">
        <v>211</v>
      </c>
      <c r="B20" s="182">
        <v>750</v>
      </c>
      <c r="C20" s="182">
        <v>75020</v>
      </c>
      <c r="D20" s="182">
        <v>6060</v>
      </c>
      <c r="E20" s="183" t="s">
        <v>231</v>
      </c>
      <c r="F20" s="854">
        <v>74250</v>
      </c>
      <c r="G20" s="854">
        <f t="shared" si="0"/>
        <v>74250</v>
      </c>
      <c r="H20" s="854">
        <v>74250</v>
      </c>
      <c r="I20" s="182">
        <v>0</v>
      </c>
      <c r="J20" s="183">
        <v>0</v>
      </c>
      <c r="K20" s="182">
        <v>0</v>
      </c>
      <c r="L20" s="761" t="s">
        <v>206</v>
      </c>
    </row>
    <row r="21" spans="1:12" ht="24.75" customHeight="1">
      <c r="A21" s="180" t="s">
        <v>212</v>
      </c>
      <c r="B21" s="182">
        <v>750</v>
      </c>
      <c r="C21" s="182">
        <v>75020</v>
      </c>
      <c r="D21" s="182">
        <v>6060</v>
      </c>
      <c r="E21" s="183" t="s">
        <v>759</v>
      </c>
      <c r="F21" s="854">
        <v>70000</v>
      </c>
      <c r="G21" s="854">
        <f t="shared" si="0"/>
        <v>70000</v>
      </c>
      <c r="H21" s="854">
        <v>70000</v>
      </c>
      <c r="I21" s="182">
        <v>0</v>
      </c>
      <c r="J21" s="183">
        <v>0</v>
      </c>
      <c r="K21" s="182"/>
      <c r="L21" s="761" t="s">
        <v>206</v>
      </c>
    </row>
    <row r="22" spans="1:12" ht="31.5" customHeight="1">
      <c r="A22" s="180" t="s">
        <v>225</v>
      </c>
      <c r="B22" s="182">
        <v>801</v>
      </c>
      <c r="C22" s="182">
        <v>80120</v>
      </c>
      <c r="D22" s="182">
        <v>6060</v>
      </c>
      <c r="E22" s="183" t="s">
        <v>230</v>
      </c>
      <c r="F22" s="854">
        <v>20000</v>
      </c>
      <c r="G22" s="854">
        <f t="shared" si="0"/>
        <v>20000</v>
      </c>
      <c r="H22" s="854">
        <v>20000</v>
      </c>
      <c r="I22" s="182">
        <v>0</v>
      </c>
      <c r="J22" s="183">
        <v>0</v>
      </c>
      <c r="K22" s="182">
        <v>0</v>
      </c>
      <c r="L22" s="812" t="s">
        <v>583</v>
      </c>
    </row>
    <row r="23" spans="1:12" ht="45.75" customHeight="1">
      <c r="A23" s="180" t="s">
        <v>226</v>
      </c>
      <c r="B23" s="182">
        <v>801</v>
      </c>
      <c r="C23" s="182">
        <v>80130</v>
      </c>
      <c r="D23" s="182">
        <v>6060</v>
      </c>
      <c r="E23" s="183" t="s">
        <v>784</v>
      </c>
      <c r="F23" s="854">
        <v>10000</v>
      </c>
      <c r="G23" s="854">
        <f>SUM(H23:K23)</f>
        <v>10000</v>
      </c>
      <c r="H23" s="854">
        <v>10000</v>
      </c>
      <c r="I23" s="182">
        <v>0</v>
      </c>
      <c r="J23" s="183">
        <v>0</v>
      </c>
      <c r="K23" s="182">
        <v>0</v>
      </c>
      <c r="L23" s="761" t="s">
        <v>785</v>
      </c>
    </row>
    <row r="24" spans="1:12" ht="49.5" customHeight="1">
      <c r="A24" s="180" t="s">
        <v>13</v>
      </c>
      <c r="B24" s="182">
        <v>852</v>
      </c>
      <c r="C24" s="182">
        <v>85202</v>
      </c>
      <c r="D24" s="182">
        <v>6060</v>
      </c>
      <c r="E24" s="183" t="s">
        <v>712</v>
      </c>
      <c r="F24" s="181">
        <v>4555</v>
      </c>
      <c r="G24" s="181">
        <f>SUM(H24:K24)</f>
        <v>4555</v>
      </c>
      <c r="H24" s="181">
        <v>4555</v>
      </c>
      <c r="I24" s="182">
        <v>0</v>
      </c>
      <c r="J24" s="183">
        <v>0</v>
      </c>
      <c r="K24" s="182">
        <v>0</v>
      </c>
      <c r="L24" s="761" t="s">
        <v>713</v>
      </c>
    </row>
    <row r="25" spans="1:12" ht="40.5" customHeight="1">
      <c r="A25" s="180" t="s">
        <v>711</v>
      </c>
      <c r="B25" s="182">
        <v>852</v>
      </c>
      <c r="C25" s="182">
        <v>85202</v>
      </c>
      <c r="D25" s="182">
        <v>6060</v>
      </c>
      <c r="E25" s="183" t="s">
        <v>795</v>
      </c>
      <c r="F25" s="181">
        <v>24990</v>
      </c>
      <c r="G25" s="181">
        <f>SUM(H25:K25)</f>
        <v>24990</v>
      </c>
      <c r="H25" s="181">
        <v>24990</v>
      </c>
      <c r="I25" s="182">
        <v>0</v>
      </c>
      <c r="J25" s="183">
        <v>0</v>
      </c>
      <c r="K25" s="182">
        <v>0</v>
      </c>
      <c r="L25" s="761" t="s">
        <v>794</v>
      </c>
    </row>
    <row r="26" spans="1:12" ht="31.5" customHeight="1">
      <c r="A26" s="180" t="s">
        <v>758</v>
      </c>
      <c r="B26" s="182">
        <v>600</v>
      </c>
      <c r="C26" s="182">
        <v>60014</v>
      </c>
      <c r="D26" s="182">
        <v>6050</v>
      </c>
      <c r="E26" s="183" t="s">
        <v>12</v>
      </c>
      <c r="F26" s="181">
        <v>45000</v>
      </c>
      <c r="G26" s="181">
        <f t="shared" si="0"/>
        <v>45000</v>
      </c>
      <c r="H26" s="181">
        <v>45000</v>
      </c>
      <c r="I26" s="182">
        <v>0</v>
      </c>
      <c r="J26" s="183">
        <v>0</v>
      </c>
      <c r="K26" s="182"/>
      <c r="L26" s="761" t="s">
        <v>582</v>
      </c>
    </row>
    <row r="27" spans="1:12" ht="31.5" customHeight="1">
      <c r="A27" s="180" t="s">
        <v>783</v>
      </c>
      <c r="B27" s="182">
        <v>801</v>
      </c>
      <c r="C27" s="182">
        <v>80130</v>
      </c>
      <c r="D27" s="182">
        <v>6050</v>
      </c>
      <c r="E27" s="183" t="s">
        <v>14</v>
      </c>
      <c r="F27" s="181">
        <v>13500</v>
      </c>
      <c r="G27" s="181">
        <f t="shared" si="0"/>
        <v>13500</v>
      </c>
      <c r="H27" s="181">
        <v>13500</v>
      </c>
      <c r="I27" s="182">
        <v>0</v>
      </c>
      <c r="J27" s="183">
        <v>0</v>
      </c>
      <c r="K27" s="182"/>
      <c r="L27" s="761" t="s">
        <v>206</v>
      </c>
    </row>
    <row r="28" spans="1:12" ht="24" customHeight="1">
      <c r="A28" s="180" t="s">
        <v>793</v>
      </c>
      <c r="B28" s="182">
        <v>852</v>
      </c>
      <c r="C28" s="182">
        <v>85202</v>
      </c>
      <c r="D28" s="182">
        <v>6050</v>
      </c>
      <c r="E28" s="182" t="s">
        <v>223</v>
      </c>
      <c r="F28" s="181">
        <v>126500</v>
      </c>
      <c r="G28" s="181">
        <f>SUM(H28:K28)</f>
        <v>126500</v>
      </c>
      <c r="H28" s="181">
        <f>80000+46500</f>
        <v>126500</v>
      </c>
      <c r="I28" s="182">
        <v>0</v>
      </c>
      <c r="J28" s="183">
        <v>0</v>
      </c>
      <c r="K28" s="182">
        <v>0</v>
      </c>
      <c r="L28" s="761" t="s">
        <v>584</v>
      </c>
    </row>
    <row r="29" spans="1:12" ht="22.5" customHeight="1" thickBot="1">
      <c r="A29" s="949" t="s">
        <v>19</v>
      </c>
      <c r="B29" s="950"/>
      <c r="C29" s="950"/>
      <c r="D29" s="950"/>
      <c r="E29" s="950"/>
      <c r="F29" s="184">
        <f aca="true" t="shared" si="1" ref="F29:K29">SUM(F13:F28)</f>
        <v>1133795</v>
      </c>
      <c r="G29" s="184">
        <f t="shared" si="1"/>
        <v>1133795</v>
      </c>
      <c r="H29" s="184">
        <f t="shared" si="1"/>
        <v>1133795</v>
      </c>
      <c r="I29" s="184">
        <f t="shared" si="1"/>
        <v>0</v>
      </c>
      <c r="J29" s="184">
        <f t="shared" si="1"/>
        <v>0</v>
      </c>
      <c r="K29" s="184">
        <f t="shared" si="1"/>
        <v>0</v>
      </c>
      <c r="L29" s="185" t="s">
        <v>631</v>
      </c>
    </row>
    <row r="31" ht="12.75">
      <c r="A31" s="1" t="s">
        <v>655</v>
      </c>
    </row>
    <row r="32" ht="12.75">
      <c r="A32" s="1" t="s">
        <v>652</v>
      </c>
    </row>
    <row r="33" ht="12.75">
      <c r="A33" s="1" t="s">
        <v>653</v>
      </c>
    </row>
    <row r="34" ht="12.75">
      <c r="A34" s="1" t="s">
        <v>654</v>
      </c>
    </row>
    <row r="36" ht="12.75">
      <c r="A36" s="54" t="s">
        <v>50</v>
      </c>
    </row>
  </sheetData>
  <mergeCells count="16">
    <mergeCell ref="F7:F11"/>
    <mergeCell ref="H8:K8"/>
    <mergeCell ref="H9:H11"/>
    <mergeCell ref="I9:I11"/>
    <mergeCell ref="J9:J11"/>
    <mergeCell ref="K9:K11"/>
    <mergeCell ref="A29:E29"/>
    <mergeCell ref="A5:L5"/>
    <mergeCell ref="A7:A11"/>
    <mergeCell ref="B7:B11"/>
    <mergeCell ref="C7:C11"/>
    <mergeCell ref="E7:E11"/>
    <mergeCell ref="G7:K7"/>
    <mergeCell ref="L7:L11"/>
    <mergeCell ref="G8:G11"/>
    <mergeCell ref="D7:D11"/>
  </mergeCells>
  <printOptions horizontalCentered="1"/>
  <pageMargins left="0.2" right="0.39" top="0.25" bottom="0.22" header="0.17" footer="0.22"/>
  <pageSetup horizontalDpi="600" verticalDpi="600" orientation="landscape" paperSize="9" scale="79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46"/>
  <sheetViews>
    <sheetView zoomScale="90" zoomScaleNormal="90" zoomScaleSheetLayoutView="75" workbookViewId="0" topLeftCell="D4">
      <pane ySplit="9" topLeftCell="BM129" activePane="bottomLeft" state="frozen"/>
      <selection pane="topLeft" activeCell="A4" sqref="A4"/>
      <selection pane="bottomLeft" activeCell="H129" sqref="H129"/>
    </sheetView>
  </sheetViews>
  <sheetFormatPr defaultColWidth="9.00390625" defaultRowHeight="24" customHeight="1"/>
  <cols>
    <col min="1" max="1" width="3.625" style="11" bestFit="1" customWidth="1"/>
    <col min="2" max="2" width="19.875" style="11" customWidth="1"/>
    <col min="3" max="3" width="13.00390625" style="11" customWidth="1"/>
    <col min="4" max="4" width="10.625" style="11" customWidth="1"/>
    <col min="5" max="5" width="12.00390625" style="11" customWidth="1"/>
    <col min="6" max="6" width="9.125" style="11" customWidth="1"/>
    <col min="7" max="7" width="9.375" style="11" customWidth="1"/>
    <col min="8" max="8" width="8.75390625" style="11" bestFit="1" customWidth="1"/>
    <col min="9" max="9" width="8.75390625" style="11" customWidth="1"/>
    <col min="10" max="11" width="7.75390625" style="11" customWidth="1"/>
    <col min="12" max="12" width="9.75390625" style="11" customWidth="1"/>
    <col min="13" max="13" width="11.75390625" style="11" customWidth="1"/>
    <col min="14" max="14" width="12.375" style="11" customWidth="1"/>
    <col min="15" max="15" width="8.25390625" style="11" customWidth="1"/>
    <col min="16" max="16" width="8.125" style="11" customWidth="1"/>
    <col min="17" max="17" width="8.75390625" style="11" customWidth="1"/>
    <col min="18" max="16384" width="10.25390625" style="11" customWidth="1"/>
  </cols>
  <sheetData>
    <row r="1" ht="12.75" customHeight="1">
      <c r="P1" s="735" t="s">
        <v>550</v>
      </c>
    </row>
    <row r="2" ht="12.75" customHeight="1">
      <c r="P2" s="735" t="s">
        <v>551</v>
      </c>
    </row>
    <row r="3" ht="12.75" customHeight="1">
      <c r="P3" s="735" t="s">
        <v>218</v>
      </c>
    </row>
    <row r="4" ht="12.75" customHeight="1">
      <c r="P4" s="735" t="s">
        <v>714</v>
      </c>
    </row>
    <row r="5" spans="1:17" ht="24" customHeight="1">
      <c r="A5" s="996" t="s">
        <v>7</v>
      </c>
      <c r="B5" s="996"/>
      <c r="C5" s="996"/>
      <c r="D5" s="996"/>
      <c r="E5" s="996"/>
      <c r="F5" s="996"/>
      <c r="G5" s="996"/>
      <c r="H5" s="996"/>
      <c r="I5" s="996"/>
      <c r="J5" s="996"/>
      <c r="K5" s="996"/>
      <c r="L5" s="996"/>
      <c r="M5" s="996"/>
      <c r="N5" s="996"/>
      <c r="O5" s="996"/>
      <c r="P5" s="996"/>
      <c r="Q5" s="996"/>
    </row>
    <row r="6" ht="10.5" customHeight="1" thickBot="1"/>
    <row r="7" spans="1:17" ht="13.5" customHeight="1">
      <c r="A7" s="1012" t="s">
        <v>645</v>
      </c>
      <c r="B7" s="1014" t="s">
        <v>662</v>
      </c>
      <c r="C7" s="1009" t="s">
        <v>663</v>
      </c>
      <c r="D7" s="1009" t="s">
        <v>47</v>
      </c>
      <c r="E7" s="1009" t="s">
        <v>15</v>
      </c>
      <c r="F7" s="1005" t="s">
        <v>592</v>
      </c>
      <c r="G7" s="1005"/>
      <c r="H7" s="1005" t="s">
        <v>660</v>
      </c>
      <c r="I7" s="1005"/>
      <c r="J7" s="1005"/>
      <c r="K7" s="1005"/>
      <c r="L7" s="1005"/>
      <c r="M7" s="1005"/>
      <c r="N7" s="1005"/>
      <c r="O7" s="1005"/>
      <c r="P7" s="1005"/>
      <c r="Q7" s="1006"/>
    </row>
    <row r="8" spans="1:17" ht="13.5" customHeight="1">
      <c r="A8" s="960"/>
      <c r="B8" s="1015"/>
      <c r="C8" s="1010"/>
      <c r="D8" s="1010"/>
      <c r="E8" s="1010"/>
      <c r="F8" s="1003" t="s">
        <v>9</v>
      </c>
      <c r="G8" s="1003" t="s">
        <v>10</v>
      </c>
      <c r="H8" s="1007" t="s">
        <v>656</v>
      </c>
      <c r="I8" s="1007"/>
      <c r="J8" s="1007"/>
      <c r="K8" s="1007"/>
      <c r="L8" s="1007"/>
      <c r="M8" s="1007"/>
      <c r="N8" s="1007"/>
      <c r="O8" s="1007"/>
      <c r="P8" s="1007"/>
      <c r="Q8" s="1008"/>
    </row>
    <row r="9" spans="1:17" ht="10.5" customHeight="1">
      <c r="A9" s="960"/>
      <c r="B9" s="1015"/>
      <c r="C9" s="1010"/>
      <c r="D9" s="1010"/>
      <c r="E9" s="1010"/>
      <c r="F9" s="1003"/>
      <c r="G9" s="1003"/>
      <c r="H9" s="1003" t="s">
        <v>665</v>
      </c>
      <c r="I9" s="1007" t="s">
        <v>666</v>
      </c>
      <c r="J9" s="1007"/>
      <c r="K9" s="1007"/>
      <c r="L9" s="1007"/>
      <c r="M9" s="1007"/>
      <c r="N9" s="1007"/>
      <c r="O9" s="1007"/>
      <c r="P9" s="1007"/>
      <c r="Q9" s="1008"/>
    </row>
    <row r="10" spans="1:17" ht="15" customHeight="1">
      <c r="A10" s="960"/>
      <c r="B10" s="1015"/>
      <c r="C10" s="1010"/>
      <c r="D10" s="1010"/>
      <c r="E10" s="1010"/>
      <c r="F10" s="1003"/>
      <c r="G10" s="1003"/>
      <c r="H10" s="1003"/>
      <c r="I10" s="1007" t="s">
        <v>667</v>
      </c>
      <c r="J10" s="1007"/>
      <c r="K10" s="1007"/>
      <c r="L10" s="1007"/>
      <c r="M10" s="1007" t="s">
        <v>664</v>
      </c>
      <c r="N10" s="1007"/>
      <c r="O10" s="1007"/>
      <c r="P10" s="1007"/>
      <c r="Q10" s="1008"/>
    </row>
    <row r="11" spans="1:17" ht="24" customHeight="1">
      <c r="A11" s="960"/>
      <c r="B11" s="1015"/>
      <c r="C11" s="1010"/>
      <c r="D11" s="1010"/>
      <c r="E11" s="1010"/>
      <c r="F11" s="1003"/>
      <c r="G11" s="1003"/>
      <c r="H11" s="1003"/>
      <c r="I11" s="1003" t="s">
        <v>668</v>
      </c>
      <c r="J11" s="1007" t="s">
        <v>669</v>
      </c>
      <c r="K11" s="1007"/>
      <c r="L11" s="1007"/>
      <c r="M11" s="1003" t="s">
        <v>670</v>
      </c>
      <c r="N11" s="1003" t="s">
        <v>669</v>
      </c>
      <c r="O11" s="1003"/>
      <c r="P11" s="1003"/>
      <c r="Q11" s="1004"/>
    </row>
    <row r="12" spans="1:17" ht="24" customHeight="1">
      <c r="A12" s="1013"/>
      <c r="B12" s="1016"/>
      <c r="C12" s="1011"/>
      <c r="D12" s="1011"/>
      <c r="E12" s="1011"/>
      <c r="F12" s="1003"/>
      <c r="G12" s="1003"/>
      <c r="H12" s="1003"/>
      <c r="I12" s="1003"/>
      <c r="J12" s="36" t="s">
        <v>11</v>
      </c>
      <c r="K12" s="36" t="s">
        <v>671</v>
      </c>
      <c r="L12" s="36" t="s">
        <v>672</v>
      </c>
      <c r="M12" s="1003"/>
      <c r="N12" s="36" t="s">
        <v>673</v>
      </c>
      <c r="O12" s="36" t="s">
        <v>11</v>
      </c>
      <c r="P12" s="36" t="s">
        <v>671</v>
      </c>
      <c r="Q12" s="558" t="s">
        <v>674</v>
      </c>
    </row>
    <row r="13" spans="1:17" ht="9.75" customHeight="1" thickBot="1">
      <c r="A13" s="559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560">
        <v>17</v>
      </c>
    </row>
    <row r="14" spans="1:17" s="51" customFormat="1" ht="12.75" customHeight="1" hidden="1" thickBot="1">
      <c r="A14" s="733">
        <v>1</v>
      </c>
      <c r="B14" s="556" t="s">
        <v>675</v>
      </c>
      <c r="C14" s="997" t="s">
        <v>631</v>
      </c>
      <c r="D14" s="998"/>
      <c r="E14" s="557">
        <f aca="true" t="shared" si="0" ref="E14:Q14">E19+E28+E37+E46+E55+E64+E73+E82+E91+E100+E109</f>
        <v>46516000</v>
      </c>
      <c r="F14" s="557">
        <f t="shared" si="0"/>
        <v>7091000</v>
      </c>
      <c r="G14" s="557">
        <f t="shared" si="0"/>
        <v>39425000</v>
      </c>
      <c r="H14" s="557">
        <f t="shared" si="0"/>
        <v>338500</v>
      </c>
      <c r="I14" s="557">
        <f t="shared" si="0"/>
        <v>338500</v>
      </c>
      <c r="J14" s="557">
        <f t="shared" si="0"/>
        <v>0</v>
      </c>
      <c r="K14" s="557">
        <f t="shared" si="0"/>
        <v>0</v>
      </c>
      <c r="L14" s="557">
        <f t="shared" si="0"/>
        <v>338500</v>
      </c>
      <c r="M14" s="557">
        <f t="shared" si="0"/>
        <v>0</v>
      </c>
      <c r="N14" s="557">
        <f t="shared" si="0"/>
        <v>0</v>
      </c>
      <c r="O14" s="557">
        <f t="shared" si="0"/>
        <v>0</v>
      </c>
      <c r="P14" s="557">
        <f t="shared" si="0"/>
        <v>0</v>
      </c>
      <c r="Q14" s="561">
        <f t="shared" si="0"/>
        <v>0</v>
      </c>
    </row>
    <row r="15" spans="1:17" ht="11.25" customHeight="1" hidden="1">
      <c r="A15" s="1020" t="s">
        <v>676</v>
      </c>
      <c r="B15" s="521" t="s">
        <v>677</v>
      </c>
      <c r="C15" s="621" t="s">
        <v>470</v>
      </c>
      <c r="D15" s="621"/>
      <c r="E15" s="621"/>
      <c r="F15" s="621"/>
      <c r="G15" s="621"/>
      <c r="H15" s="621"/>
      <c r="I15" s="621"/>
      <c r="J15" s="621"/>
      <c r="K15" s="621"/>
      <c r="L15" s="621"/>
      <c r="M15" s="514"/>
      <c r="N15" s="514"/>
      <c r="O15" s="514"/>
      <c r="P15" s="514"/>
      <c r="Q15" s="562"/>
    </row>
    <row r="16" spans="1:17" ht="11.25" customHeight="1" hidden="1">
      <c r="A16" s="1021"/>
      <c r="B16" s="46" t="s">
        <v>678</v>
      </c>
      <c r="C16" s="513" t="s">
        <v>467</v>
      </c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62"/>
    </row>
    <row r="17" spans="1:17" ht="11.25" customHeight="1" hidden="1">
      <c r="A17" s="1021"/>
      <c r="B17" s="46" t="s">
        <v>679</v>
      </c>
      <c r="C17" s="513" t="s">
        <v>468</v>
      </c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62"/>
    </row>
    <row r="18" spans="1:17" ht="11.25" customHeight="1" hidden="1">
      <c r="A18" s="1021"/>
      <c r="B18" s="46" t="s">
        <v>680</v>
      </c>
      <c r="C18" s="1024" t="s">
        <v>469</v>
      </c>
      <c r="D18" s="1025"/>
      <c r="E18" s="1025"/>
      <c r="F18" s="1025"/>
      <c r="G18" s="1025"/>
      <c r="H18" s="1025"/>
      <c r="I18" s="1025"/>
      <c r="J18" s="1025"/>
      <c r="K18" s="1025"/>
      <c r="L18" s="1025"/>
      <c r="M18" s="1025"/>
      <c r="N18" s="1025"/>
      <c r="O18" s="1025"/>
      <c r="P18" s="1025"/>
      <c r="Q18" s="1026"/>
    </row>
    <row r="19" spans="1:17" ht="11.25" customHeight="1" hidden="1">
      <c r="A19" s="1021"/>
      <c r="B19" s="47" t="s">
        <v>681</v>
      </c>
      <c r="C19" s="47"/>
      <c r="D19" s="709">
        <v>60014</v>
      </c>
      <c r="E19" s="527">
        <f>F19+G19</f>
        <v>7400000</v>
      </c>
      <c r="F19" s="527">
        <v>1110000</v>
      </c>
      <c r="G19" s="527">
        <v>6290000</v>
      </c>
      <c r="H19" s="527">
        <f aca="true" t="shared" si="1" ref="H19:Q19">H20</f>
        <v>195000</v>
      </c>
      <c r="I19" s="527">
        <f t="shared" si="1"/>
        <v>195000</v>
      </c>
      <c r="J19" s="527">
        <f t="shared" si="1"/>
        <v>0</v>
      </c>
      <c r="K19" s="527">
        <f t="shared" si="1"/>
        <v>0</v>
      </c>
      <c r="L19" s="527">
        <f t="shared" si="1"/>
        <v>195000</v>
      </c>
      <c r="M19" s="527">
        <f t="shared" si="1"/>
        <v>0</v>
      </c>
      <c r="N19" s="527">
        <f t="shared" si="1"/>
        <v>0</v>
      </c>
      <c r="O19" s="527">
        <f t="shared" si="1"/>
        <v>0</v>
      </c>
      <c r="P19" s="527">
        <f t="shared" si="1"/>
        <v>0</v>
      </c>
      <c r="Q19" s="563">
        <f t="shared" si="1"/>
        <v>0</v>
      </c>
    </row>
    <row r="20" spans="1:17" ht="11.25" customHeight="1" hidden="1">
      <c r="A20" s="1021"/>
      <c r="B20" s="521" t="s">
        <v>27</v>
      </c>
      <c r="C20" s="964">
        <v>23</v>
      </c>
      <c r="D20" s="965"/>
      <c r="E20" s="517">
        <f>SUM(F20:G20)</f>
        <v>1300000</v>
      </c>
      <c r="F20" s="517">
        <v>195000</v>
      </c>
      <c r="G20" s="517">
        <v>1105000</v>
      </c>
      <c r="H20" s="518">
        <f>I20+M20</f>
        <v>195000</v>
      </c>
      <c r="I20" s="518">
        <f>SUM(J20:L20)</f>
        <v>195000</v>
      </c>
      <c r="J20" s="518"/>
      <c r="K20" s="518"/>
      <c r="L20" s="518">
        <v>195000</v>
      </c>
      <c r="M20" s="518">
        <f>SUM(N20:Q20)</f>
        <v>0</v>
      </c>
      <c r="N20" s="518"/>
      <c r="O20" s="518"/>
      <c r="P20" s="518"/>
      <c r="Q20" s="564"/>
    </row>
    <row r="21" spans="1:17" ht="11.25" customHeight="1" hidden="1">
      <c r="A21" s="1021"/>
      <c r="B21" s="46" t="s">
        <v>641</v>
      </c>
      <c r="C21" s="966"/>
      <c r="D21" s="967"/>
      <c r="E21" s="515">
        <f>SUM(F21:G21)</f>
        <v>1000000</v>
      </c>
      <c r="F21" s="515">
        <v>150000</v>
      </c>
      <c r="G21" s="515">
        <v>850000</v>
      </c>
      <c r="H21" s="516">
        <f>I21+M21</f>
        <v>0</v>
      </c>
      <c r="I21" s="516">
        <f>SUM(J21:L21)</f>
        <v>0</v>
      </c>
      <c r="J21" s="516"/>
      <c r="K21" s="516"/>
      <c r="L21" s="516"/>
      <c r="M21" s="516"/>
      <c r="N21" s="516"/>
      <c r="O21" s="516"/>
      <c r="P21" s="516"/>
      <c r="Q21" s="565"/>
    </row>
    <row r="22" spans="1:17" ht="11.25" customHeight="1" hidden="1">
      <c r="A22" s="1021"/>
      <c r="B22" s="46" t="s">
        <v>643</v>
      </c>
      <c r="C22" s="966"/>
      <c r="D22" s="967"/>
      <c r="E22" s="515">
        <f>SUM(F22:G22)</f>
        <v>1700000</v>
      </c>
      <c r="F22" s="515">
        <v>255000</v>
      </c>
      <c r="G22" s="515">
        <v>1445000</v>
      </c>
      <c r="H22" s="516">
        <f>I22+M22</f>
        <v>0</v>
      </c>
      <c r="I22" s="516">
        <f>SUM(J22:L22)</f>
        <v>0</v>
      </c>
      <c r="J22" s="516"/>
      <c r="K22" s="516"/>
      <c r="L22" s="516"/>
      <c r="M22" s="516"/>
      <c r="N22" s="516"/>
      <c r="O22" s="516"/>
      <c r="P22" s="516"/>
      <c r="Q22" s="565"/>
    </row>
    <row r="23" spans="1:17" ht="11.25" customHeight="1" hidden="1" thickBot="1">
      <c r="A23" s="1022"/>
      <c r="B23" s="519" t="s">
        <v>28</v>
      </c>
      <c r="C23" s="970"/>
      <c r="D23" s="971"/>
      <c r="E23" s="519"/>
      <c r="F23" s="520"/>
      <c r="G23" s="520"/>
      <c r="H23" s="522">
        <f>I23+M23</f>
        <v>0</v>
      </c>
      <c r="I23" s="522">
        <f>SUM(J23:L23)</f>
        <v>0</v>
      </c>
      <c r="J23" s="522"/>
      <c r="K23" s="522"/>
      <c r="L23" s="522"/>
      <c r="M23" s="522">
        <f>SUM(N23:Q23)</f>
        <v>0</v>
      </c>
      <c r="N23" s="522"/>
      <c r="O23" s="522"/>
      <c r="P23" s="522"/>
      <c r="Q23" s="566"/>
    </row>
    <row r="24" spans="1:17" ht="11.25" customHeight="1" hidden="1">
      <c r="A24" s="1020" t="s">
        <v>682</v>
      </c>
      <c r="B24" s="521" t="s">
        <v>677</v>
      </c>
      <c r="C24" s="621" t="s">
        <v>472</v>
      </c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8"/>
    </row>
    <row r="25" spans="1:17" ht="11.25" customHeight="1" hidden="1">
      <c r="A25" s="1021"/>
      <c r="B25" s="46" t="s">
        <v>678</v>
      </c>
      <c r="C25" s="513" t="s">
        <v>467</v>
      </c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40"/>
    </row>
    <row r="26" spans="1:17" ht="11.25" customHeight="1" hidden="1">
      <c r="A26" s="1021"/>
      <c r="B26" s="46" t="s">
        <v>679</v>
      </c>
      <c r="C26" s="513" t="s">
        <v>468</v>
      </c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40"/>
    </row>
    <row r="27" spans="1:17" ht="11.25" customHeight="1" hidden="1">
      <c r="A27" s="1021"/>
      <c r="B27" s="46" t="s">
        <v>680</v>
      </c>
      <c r="C27" s="1027" t="s">
        <v>471</v>
      </c>
      <c r="D27" s="1028"/>
      <c r="E27" s="1028"/>
      <c r="F27" s="1028"/>
      <c r="G27" s="1028"/>
      <c r="H27" s="1028"/>
      <c r="I27" s="1028"/>
      <c r="J27" s="1028"/>
      <c r="K27" s="1028"/>
      <c r="L27" s="1028"/>
      <c r="M27" s="1028"/>
      <c r="N27" s="1028"/>
      <c r="O27" s="1028"/>
      <c r="P27" s="1028"/>
      <c r="Q27" s="1029"/>
    </row>
    <row r="28" spans="1:17" ht="11.25" customHeight="1" hidden="1">
      <c r="A28" s="1021"/>
      <c r="B28" s="47" t="s">
        <v>681</v>
      </c>
      <c r="C28" s="47"/>
      <c r="D28" s="709">
        <v>60014</v>
      </c>
      <c r="E28" s="526">
        <f>F28+G28</f>
        <v>3100000</v>
      </c>
      <c r="F28" s="526">
        <v>465000</v>
      </c>
      <c r="G28" s="526">
        <v>2635000</v>
      </c>
      <c r="H28" s="526">
        <f aca="true" t="shared" si="2" ref="H28:Q28">H29</f>
        <v>0</v>
      </c>
      <c r="I28" s="526">
        <f t="shared" si="2"/>
        <v>0</v>
      </c>
      <c r="J28" s="526">
        <f t="shared" si="2"/>
        <v>0</v>
      </c>
      <c r="K28" s="526">
        <f t="shared" si="2"/>
        <v>0</v>
      </c>
      <c r="L28" s="526">
        <f t="shared" si="2"/>
        <v>0</v>
      </c>
      <c r="M28" s="526">
        <f t="shared" si="2"/>
        <v>0</v>
      </c>
      <c r="N28" s="526">
        <f t="shared" si="2"/>
        <v>0</v>
      </c>
      <c r="O28" s="526">
        <f t="shared" si="2"/>
        <v>0</v>
      </c>
      <c r="P28" s="526">
        <f t="shared" si="2"/>
        <v>0</v>
      </c>
      <c r="Q28" s="567">
        <f t="shared" si="2"/>
        <v>0</v>
      </c>
    </row>
    <row r="29" spans="1:17" ht="11.25" customHeight="1" hidden="1">
      <c r="A29" s="1021"/>
      <c r="B29" s="521" t="s">
        <v>27</v>
      </c>
      <c r="C29" s="964">
        <v>23</v>
      </c>
      <c r="D29" s="978"/>
      <c r="E29" s="524">
        <f>F29+G29</f>
        <v>0</v>
      </c>
      <c r="F29" s="524">
        <v>0</v>
      </c>
      <c r="G29" s="524">
        <v>0</v>
      </c>
      <c r="H29" s="524">
        <v>0</v>
      </c>
      <c r="I29" s="524">
        <v>0</v>
      </c>
      <c r="J29" s="524"/>
      <c r="K29" s="524"/>
      <c r="L29" s="524"/>
      <c r="M29" s="524">
        <v>0</v>
      </c>
      <c r="N29" s="524"/>
      <c r="O29" s="524"/>
      <c r="P29" s="524"/>
      <c r="Q29" s="568"/>
    </row>
    <row r="30" spans="1:17" ht="11.25" customHeight="1" hidden="1">
      <c r="A30" s="1021"/>
      <c r="B30" s="46" t="s">
        <v>641</v>
      </c>
      <c r="C30" s="979"/>
      <c r="D30" s="980"/>
      <c r="E30" s="524">
        <f>F30+G30</f>
        <v>0</v>
      </c>
      <c r="F30" s="525">
        <v>0</v>
      </c>
      <c r="G30" s="525">
        <v>0</v>
      </c>
      <c r="H30" s="525"/>
      <c r="I30" s="525"/>
      <c r="J30" s="525"/>
      <c r="K30" s="525"/>
      <c r="L30" s="525"/>
      <c r="M30" s="525"/>
      <c r="N30" s="525"/>
      <c r="O30" s="525"/>
      <c r="P30" s="525"/>
      <c r="Q30" s="569"/>
    </row>
    <row r="31" spans="1:17" ht="11.25" customHeight="1" hidden="1">
      <c r="A31" s="1021"/>
      <c r="B31" s="46" t="s">
        <v>643</v>
      </c>
      <c r="C31" s="979"/>
      <c r="D31" s="980"/>
      <c r="E31" s="524">
        <f>F31+G31</f>
        <v>80000</v>
      </c>
      <c r="F31" s="525">
        <v>12000</v>
      </c>
      <c r="G31" s="525">
        <v>68000</v>
      </c>
      <c r="H31" s="525"/>
      <c r="I31" s="525"/>
      <c r="J31" s="525"/>
      <c r="K31" s="525"/>
      <c r="L31" s="525"/>
      <c r="M31" s="525"/>
      <c r="N31" s="525"/>
      <c r="O31" s="525"/>
      <c r="P31" s="525"/>
      <c r="Q31" s="569"/>
    </row>
    <row r="32" spans="1:17" ht="11.25" customHeight="1" hidden="1" thickBot="1">
      <c r="A32" s="1022"/>
      <c r="B32" s="519" t="s">
        <v>28</v>
      </c>
      <c r="C32" s="981"/>
      <c r="D32" s="982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70"/>
    </row>
    <row r="33" spans="1:17" ht="11.25" customHeight="1" hidden="1">
      <c r="A33" s="957" t="s">
        <v>683</v>
      </c>
      <c r="B33" s="521" t="s">
        <v>677</v>
      </c>
      <c r="C33" s="621" t="s">
        <v>474</v>
      </c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8"/>
    </row>
    <row r="34" spans="1:17" ht="11.25" customHeight="1" hidden="1">
      <c r="A34" s="958"/>
      <c r="B34" s="46" t="s">
        <v>678</v>
      </c>
      <c r="C34" s="513" t="s">
        <v>467</v>
      </c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37"/>
      <c r="P34" s="537"/>
      <c r="Q34" s="540"/>
    </row>
    <row r="35" spans="1:17" ht="11.25" customHeight="1" hidden="1">
      <c r="A35" s="958"/>
      <c r="B35" s="46" t="s">
        <v>679</v>
      </c>
      <c r="C35" s="513" t="s">
        <v>468</v>
      </c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40"/>
    </row>
    <row r="36" spans="1:17" ht="11.25" customHeight="1" hidden="1">
      <c r="A36" s="958"/>
      <c r="B36" s="544" t="s">
        <v>680</v>
      </c>
      <c r="C36" s="989" t="s">
        <v>473</v>
      </c>
      <c r="D36" s="990"/>
      <c r="E36" s="990"/>
      <c r="F36" s="990"/>
      <c r="G36" s="990"/>
      <c r="H36" s="990"/>
      <c r="I36" s="990"/>
      <c r="J36" s="990"/>
      <c r="K36" s="990"/>
      <c r="L36" s="990"/>
      <c r="M36" s="990"/>
      <c r="N36" s="990"/>
      <c r="O36" s="990"/>
      <c r="P36" s="990"/>
      <c r="Q36" s="991"/>
    </row>
    <row r="37" spans="1:17" ht="11.25" customHeight="1" hidden="1">
      <c r="A37" s="958"/>
      <c r="B37" s="47" t="s">
        <v>681</v>
      </c>
      <c r="C37" s="533"/>
      <c r="D37" s="710">
        <v>60014</v>
      </c>
      <c r="E37" s="526">
        <f>F37+G37</f>
        <v>3080000</v>
      </c>
      <c r="F37" s="526">
        <v>462000</v>
      </c>
      <c r="G37" s="526">
        <v>2618000</v>
      </c>
      <c r="H37" s="526">
        <f aca="true" t="shared" si="3" ref="H37:Q37">H38</f>
        <v>0</v>
      </c>
      <c r="I37" s="526">
        <f t="shared" si="3"/>
        <v>0</v>
      </c>
      <c r="J37" s="526">
        <f t="shared" si="3"/>
        <v>0</v>
      </c>
      <c r="K37" s="526">
        <f t="shared" si="3"/>
        <v>0</v>
      </c>
      <c r="L37" s="526">
        <f t="shared" si="3"/>
        <v>0</v>
      </c>
      <c r="M37" s="526">
        <f t="shared" si="3"/>
        <v>0</v>
      </c>
      <c r="N37" s="526">
        <f t="shared" si="3"/>
        <v>0</v>
      </c>
      <c r="O37" s="526">
        <f t="shared" si="3"/>
        <v>0</v>
      </c>
      <c r="P37" s="526">
        <f t="shared" si="3"/>
        <v>0</v>
      </c>
      <c r="Q37" s="567">
        <f t="shared" si="3"/>
        <v>0</v>
      </c>
    </row>
    <row r="38" spans="1:17" ht="11.25" customHeight="1" hidden="1">
      <c r="A38" s="958"/>
      <c r="B38" s="521" t="s">
        <v>27</v>
      </c>
      <c r="C38" s="972">
        <v>23</v>
      </c>
      <c r="D38" s="978"/>
      <c r="E38" s="630">
        <f>F38+G38</f>
        <v>0</v>
      </c>
      <c r="F38" s="630">
        <v>0</v>
      </c>
      <c r="G38" s="630">
        <v>0</v>
      </c>
      <c r="H38" s="630">
        <v>0</v>
      </c>
      <c r="I38" s="630">
        <v>0</v>
      </c>
      <c r="J38" s="630"/>
      <c r="K38" s="630"/>
      <c r="L38" s="630"/>
      <c r="M38" s="630">
        <v>0</v>
      </c>
      <c r="N38" s="630"/>
      <c r="O38" s="630"/>
      <c r="P38" s="630"/>
      <c r="Q38" s="631"/>
    </row>
    <row r="39" spans="1:17" ht="11.25" customHeight="1" hidden="1">
      <c r="A39" s="958"/>
      <c r="B39" s="46" t="s">
        <v>641</v>
      </c>
      <c r="C39" s="979"/>
      <c r="D39" s="980"/>
      <c r="E39" s="632">
        <f>F39+G39</f>
        <v>80000</v>
      </c>
      <c r="F39" s="632">
        <v>12000</v>
      </c>
      <c r="G39" s="632">
        <v>68000</v>
      </c>
      <c r="H39" s="632"/>
      <c r="I39" s="632"/>
      <c r="J39" s="632"/>
      <c r="K39" s="632"/>
      <c r="L39" s="632"/>
      <c r="M39" s="632"/>
      <c r="N39" s="632"/>
      <c r="O39" s="632"/>
      <c r="P39" s="632"/>
      <c r="Q39" s="633"/>
    </row>
    <row r="40" spans="1:17" ht="11.25" customHeight="1" hidden="1">
      <c r="A40" s="958"/>
      <c r="B40" s="46" t="s">
        <v>643</v>
      </c>
      <c r="C40" s="979"/>
      <c r="D40" s="980"/>
      <c r="E40" s="632">
        <f>F40+G40</f>
        <v>1000000</v>
      </c>
      <c r="F40" s="632">
        <v>150000</v>
      </c>
      <c r="G40" s="632">
        <v>850000</v>
      </c>
      <c r="H40" s="632"/>
      <c r="I40" s="632"/>
      <c r="J40" s="632"/>
      <c r="K40" s="632"/>
      <c r="L40" s="632"/>
      <c r="M40" s="632"/>
      <c r="N40" s="632"/>
      <c r="O40" s="632"/>
      <c r="P40" s="632"/>
      <c r="Q40" s="633"/>
    </row>
    <row r="41" spans="1:17" ht="11.25" customHeight="1" hidden="1" thickBot="1">
      <c r="A41" s="959"/>
      <c r="B41" s="519" t="s">
        <v>28</v>
      </c>
      <c r="C41" s="981"/>
      <c r="D41" s="982"/>
      <c r="E41" s="634"/>
      <c r="F41" s="634"/>
      <c r="G41" s="634"/>
      <c r="H41" s="634"/>
      <c r="I41" s="634"/>
      <c r="J41" s="634"/>
      <c r="K41" s="634"/>
      <c r="L41" s="634"/>
      <c r="M41" s="634"/>
      <c r="N41" s="634"/>
      <c r="O41" s="634"/>
      <c r="P41" s="634"/>
      <c r="Q41" s="635"/>
    </row>
    <row r="42" spans="1:17" ht="11.25" customHeight="1" hidden="1">
      <c r="A42" s="957" t="s">
        <v>448</v>
      </c>
      <c r="B42" s="521" t="s">
        <v>677</v>
      </c>
      <c r="C42" s="621" t="s">
        <v>481</v>
      </c>
      <c r="D42" s="535"/>
      <c r="E42" s="535"/>
      <c r="F42" s="535"/>
      <c r="G42" s="535"/>
      <c r="H42" s="535"/>
      <c r="I42" s="535"/>
      <c r="J42" s="535"/>
      <c r="K42" s="535"/>
      <c r="L42" s="535"/>
      <c r="M42" s="535"/>
      <c r="N42" s="535"/>
      <c r="O42" s="535"/>
      <c r="P42" s="535"/>
      <c r="Q42" s="538"/>
    </row>
    <row r="43" spans="1:17" ht="11.25" customHeight="1" hidden="1">
      <c r="A43" s="958"/>
      <c r="B43" s="46" t="s">
        <v>678</v>
      </c>
      <c r="C43" s="513" t="s">
        <v>467</v>
      </c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40"/>
    </row>
    <row r="44" spans="1:17" ht="11.25" customHeight="1" hidden="1">
      <c r="A44" s="958"/>
      <c r="B44" s="46" t="s">
        <v>679</v>
      </c>
      <c r="C44" s="513" t="s">
        <v>468</v>
      </c>
      <c r="D44" s="537"/>
      <c r="E44" s="537"/>
      <c r="F44" s="537"/>
      <c r="G44" s="537"/>
      <c r="H44" s="537"/>
      <c r="I44" s="537"/>
      <c r="J44" s="537"/>
      <c r="K44" s="537"/>
      <c r="L44" s="537"/>
      <c r="M44" s="537"/>
      <c r="N44" s="537"/>
      <c r="O44" s="537"/>
      <c r="P44" s="537"/>
      <c r="Q44" s="540"/>
    </row>
    <row r="45" spans="1:17" ht="11.25" customHeight="1" hidden="1">
      <c r="A45" s="958"/>
      <c r="B45" s="46" t="s">
        <v>680</v>
      </c>
      <c r="C45" s="992" t="s">
        <v>452</v>
      </c>
      <c r="D45" s="993"/>
      <c r="E45" s="993"/>
      <c r="F45" s="993"/>
      <c r="G45" s="993"/>
      <c r="H45" s="993"/>
      <c r="I45" s="993"/>
      <c r="J45" s="993"/>
      <c r="K45" s="993"/>
      <c r="L45" s="993"/>
      <c r="M45" s="993"/>
      <c r="N45" s="993"/>
      <c r="O45" s="993"/>
      <c r="P45" s="993"/>
      <c r="Q45" s="994"/>
    </row>
    <row r="46" spans="1:17" ht="11.25" customHeight="1" hidden="1">
      <c r="A46" s="958"/>
      <c r="B46" s="47" t="s">
        <v>681</v>
      </c>
      <c r="C46" s="533"/>
      <c r="D46" s="711">
        <v>60014</v>
      </c>
      <c r="E46" s="526">
        <f>F46+G46</f>
        <v>3470000</v>
      </c>
      <c r="F46" s="526">
        <v>580000</v>
      </c>
      <c r="G46" s="526">
        <v>2890000</v>
      </c>
      <c r="H46" s="526">
        <f aca="true" t="shared" si="4" ref="H46:Q46">H47</f>
        <v>70000</v>
      </c>
      <c r="I46" s="526">
        <f t="shared" si="4"/>
        <v>70000</v>
      </c>
      <c r="J46" s="526">
        <f t="shared" si="4"/>
        <v>0</v>
      </c>
      <c r="K46" s="526">
        <f t="shared" si="4"/>
        <v>0</v>
      </c>
      <c r="L46" s="526">
        <f t="shared" si="4"/>
        <v>70000</v>
      </c>
      <c r="M46" s="526">
        <f t="shared" si="4"/>
        <v>0</v>
      </c>
      <c r="N46" s="526">
        <f t="shared" si="4"/>
        <v>0</v>
      </c>
      <c r="O46" s="526">
        <f t="shared" si="4"/>
        <v>0</v>
      </c>
      <c r="P46" s="526">
        <f t="shared" si="4"/>
        <v>0</v>
      </c>
      <c r="Q46" s="567">
        <f t="shared" si="4"/>
        <v>0</v>
      </c>
    </row>
    <row r="47" spans="1:17" ht="11.25" customHeight="1" hidden="1">
      <c r="A47" s="958"/>
      <c r="B47" s="521" t="s">
        <v>27</v>
      </c>
      <c r="C47" s="972">
        <v>23</v>
      </c>
      <c r="D47" s="973"/>
      <c r="E47" s="626">
        <f>F47+G47</f>
        <v>70000</v>
      </c>
      <c r="F47" s="626">
        <v>70000</v>
      </c>
      <c r="G47" s="626">
        <v>0</v>
      </c>
      <c r="H47" s="626">
        <f>I47+M47</f>
        <v>70000</v>
      </c>
      <c r="I47" s="626">
        <f>SUM(J47:L47)</f>
        <v>70000</v>
      </c>
      <c r="J47" s="626"/>
      <c r="K47" s="626"/>
      <c r="L47" s="626">
        <v>70000</v>
      </c>
      <c r="M47" s="626">
        <f>SUM(N47:Q47)</f>
        <v>0</v>
      </c>
      <c r="N47" s="626">
        <v>0</v>
      </c>
      <c r="O47" s="626">
        <v>0</v>
      </c>
      <c r="P47" s="626">
        <v>0</v>
      </c>
      <c r="Q47" s="627">
        <v>0</v>
      </c>
    </row>
    <row r="48" spans="1:17" ht="11.25" customHeight="1" hidden="1">
      <c r="A48" s="958"/>
      <c r="B48" s="46" t="s">
        <v>641</v>
      </c>
      <c r="C48" s="974"/>
      <c r="D48" s="975"/>
      <c r="E48" s="632">
        <f>F48+G48</f>
        <v>0</v>
      </c>
      <c r="F48" s="632">
        <v>0</v>
      </c>
      <c r="G48" s="632">
        <v>0</v>
      </c>
      <c r="H48" s="632">
        <f>I48+M48</f>
        <v>0</v>
      </c>
      <c r="I48" s="632">
        <f>SUM(J48:L48)</f>
        <v>0</v>
      </c>
      <c r="J48" s="632"/>
      <c r="K48" s="632"/>
      <c r="L48" s="632"/>
      <c r="M48" s="632">
        <f>SUM(N48:Q48)</f>
        <v>0</v>
      </c>
      <c r="N48" s="632"/>
      <c r="O48" s="632"/>
      <c r="P48" s="632"/>
      <c r="Q48" s="633"/>
    </row>
    <row r="49" spans="1:17" ht="11.25" customHeight="1" hidden="1">
      <c r="A49" s="958"/>
      <c r="B49" s="46" t="s">
        <v>643</v>
      </c>
      <c r="C49" s="974"/>
      <c r="D49" s="975"/>
      <c r="E49" s="632">
        <f>F49+G49</f>
        <v>1000000</v>
      </c>
      <c r="F49" s="632">
        <v>150000</v>
      </c>
      <c r="G49" s="632">
        <v>850000</v>
      </c>
      <c r="H49" s="632">
        <f>I49+M49</f>
        <v>0</v>
      </c>
      <c r="I49" s="632">
        <f>SUM(J49:L49)</f>
        <v>0</v>
      </c>
      <c r="J49" s="632"/>
      <c r="K49" s="632"/>
      <c r="L49" s="632"/>
      <c r="M49" s="632">
        <f>SUM(N49:Q49)</f>
        <v>0</v>
      </c>
      <c r="N49" s="632"/>
      <c r="O49" s="632"/>
      <c r="P49" s="632"/>
      <c r="Q49" s="633"/>
    </row>
    <row r="50" spans="1:17" ht="11.25" customHeight="1" hidden="1" thickBot="1">
      <c r="A50" s="959"/>
      <c r="B50" s="519" t="s">
        <v>28</v>
      </c>
      <c r="C50" s="976"/>
      <c r="D50" s="977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5"/>
    </row>
    <row r="51" spans="1:17" ht="11.25" customHeight="1" hidden="1">
      <c r="A51" s="957" t="s">
        <v>449</v>
      </c>
      <c r="B51" s="521" t="s">
        <v>677</v>
      </c>
      <c r="C51" s="621" t="s">
        <v>346</v>
      </c>
      <c r="D51" s="535"/>
      <c r="E51" s="535"/>
      <c r="F51" s="535"/>
      <c r="G51" s="535"/>
      <c r="H51" s="535"/>
      <c r="I51" s="535"/>
      <c r="J51" s="535"/>
      <c r="K51" s="535"/>
      <c r="L51" s="535"/>
      <c r="M51" s="535"/>
      <c r="N51" s="535"/>
      <c r="O51" s="535"/>
      <c r="P51" s="535"/>
      <c r="Q51" s="538"/>
    </row>
    <row r="52" spans="1:17" ht="11.25" customHeight="1" hidden="1">
      <c r="A52" s="958"/>
      <c r="B52" s="46" t="s">
        <v>678</v>
      </c>
      <c r="C52" s="513" t="s">
        <v>467</v>
      </c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40"/>
    </row>
    <row r="53" spans="1:17" ht="11.25" customHeight="1" hidden="1">
      <c r="A53" s="958"/>
      <c r="B53" s="46" t="s">
        <v>679</v>
      </c>
      <c r="C53" s="513" t="s">
        <v>468</v>
      </c>
      <c r="D53" s="537"/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37"/>
      <c r="P53" s="537"/>
      <c r="Q53" s="540"/>
    </row>
    <row r="54" spans="1:17" ht="11.25" customHeight="1" hidden="1">
      <c r="A54" s="958"/>
      <c r="B54" s="46" t="s">
        <v>680</v>
      </c>
      <c r="C54" s="989" t="s">
        <v>476</v>
      </c>
      <c r="D54" s="990"/>
      <c r="E54" s="990"/>
      <c r="F54" s="990"/>
      <c r="G54" s="990"/>
      <c r="H54" s="990"/>
      <c r="I54" s="990"/>
      <c r="J54" s="990"/>
      <c r="K54" s="990"/>
      <c r="L54" s="990"/>
      <c r="M54" s="990"/>
      <c r="N54" s="990"/>
      <c r="O54" s="990"/>
      <c r="P54" s="990"/>
      <c r="Q54" s="991"/>
    </row>
    <row r="55" spans="1:17" ht="11.25" customHeight="1" hidden="1">
      <c r="A55" s="958"/>
      <c r="B55" s="47" t="s">
        <v>681</v>
      </c>
      <c r="C55" s="533"/>
      <c r="D55" s="710">
        <v>60014</v>
      </c>
      <c r="E55" s="526">
        <f>F55+G55</f>
        <v>3700000</v>
      </c>
      <c r="F55" s="526">
        <v>609000</v>
      </c>
      <c r="G55" s="526">
        <v>3091000</v>
      </c>
      <c r="H55" s="526">
        <f aca="true" t="shared" si="5" ref="H55:Q55">H56</f>
        <v>0</v>
      </c>
      <c r="I55" s="526">
        <f t="shared" si="5"/>
        <v>0</v>
      </c>
      <c r="J55" s="526">
        <f t="shared" si="5"/>
        <v>0</v>
      </c>
      <c r="K55" s="526">
        <f t="shared" si="5"/>
        <v>0</v>
      </c>
      <c r="L55" s="526">
        <f t="shared" si="5"/>
        <v>0</v>
      </c>
      <c r="M55" s="526">
        <f t="shared" si="5"/>
        <v>0</v>
      </c>
      <c r="N55" s="526">
        <f t="shared" si="5"/>
        <v>0</v>
      </c>
      <c r="O55" s="526">
        <f t="shared" si="5"/>
        <v>0</v>
      </c>
      <c r="P55" s="526">
        <f t="shared" si="5"/>
        <v>0</v>
      </c>
      <c r="Q55" s="567">
        <f t="shared" si="5"/>
        <v>0</v>
      </c>
    </row>
    <row r="56" spans="1:17" ht="11.25" customHeight="1" hidden="1">
      <c r="A56" s="958"/>
      <c r="B56" s="521" t="s">
        <v>27</v>
      </c>
      <c r="C56" s="972">
        <v>23</v>
      </c>
      <c r="D56" s="978"/>
      <c r="E56" s="636">
        <f>F56+G56</f>
        <v>0</v>
      </c>
      <c r="F56" s="630">
        <v>0</v>
      </c>
      <c r="G56" s="630">
        <v>0</v>
      </c>
      <c r="H56" s="630">
        <f>I56+M56</f>
        <v>0</v>
      </c>
      <c r="I56" s="630">
        <v>0</v>
      </c>
      <c r="J56" s="630"/>
      <c r="K56" s="630"/>
      <c r="L56" s="630"/>
      <c r="M56" s="630">
        <v>0</v>
      </c>
      <c r="N56" s="630"/>
      <c r="O56" s="630"/>
      <c r="P56" s="630"/>
      <c r="Q56" s="631"/>
    </row>
    <row r="57" spans="1:17" ht="11.25" customHeight="1" hidden="1">
      <c r="A57" s="958"/>
      <c r="B57" s="46" t="s">
        <v>641</v>
      </c>
      <c r="C57" s="979"/>
      <c r="D57" s="980"/>
      <c r="E57" s="637">
        <f>F57+G57</f>
        <v>0</v>
      </c>
      <c r="F57" s="632">
        <v>0</v>
      </c>
      <c r="G57" s="632">
        <v>0</v>
      </c>
      <c r="H57" s="632"/>
      <c r="I57" s="632"/>
      <c r="J57" s="632"/>
      <c r="K57" s="632"/>
      <c r="L57" s="632"/>
      <c r="M57" s="632"/>
      <c r="N57" s="632"/>
      <c r="O57" s="632"/>
      <c r="P57" s="632"/>
      <c r="Q57" s="633"/>
    </row>
    <row r="58" spans="1:17" ht="11.25" customHeight="1" hidden="1">
      <c r="A58" s="958"/>
      <c r="B58" s="46" t="s">
        <v>643</v>
      </c>
      <c r="C58" s="979"/>
      <c r="D58" s="980"/>
      <c r="E58" s="637">
        <f>F58+G58</f>
        <v>64000</v>
      </c>
      <c r="F58" s="632">
        <v>64000</v>
      </c>
      <c r="G58" s="632">
        <v>0</v>
      </c>
      <c r="H58" s="632"/>
      <c r="I58" s="632"/>
      <c r="J58" s="632"/>
      <c r="K58" s="632"/>
      <c r="L58" s="632"/>
      <c r="M58" s="632"/>
      <c r="N58" s="632"/>
      <c r="O58" s="632"/>
      <c r="P58" s="632"/>
      <c r="Q58" s="633"/>
    </row>
    <row r="59" spans="1:17" ht="11.25" customHeight="1" hidden="1" thickBot="1">
      <c r="A59" s="959"/>
      <c r="B59" s="519" t="s">
        <v>28</v>
      </c>
      <c r="C59" s="981"/>
      <c r="D59" s="982"/>
      <c r="E59" s="638"/>
      <c r="F59" s="634"/>
      <c r="G59" s="634"/>
      <c r="H59" s="634"/>
      <c r="I59" s="634"/>
      <c r="J59" s="634"/>
      <c r="K59" s="634"/>
      <c r="L59" s="634"/>
      <c r="M59" s="634"/>
      <c r="N59" s="634"/>
      <c r="O59" s="634"/>
      <c r="P59" s="634"/>
      <c r="Q59" s="635"/>
    </row>
    <row r="60" spans="1:17" ht="11.25" customHeight="1" hidden="1">
      <c r="A60" s="957" t="s">
        <v>450</v>
      </c>
      <c r="B60" s="521" t="s">
        <v>677</v>
      </c>
      <c r="C60" s="621" t="s">
        <v>477</v>
      </c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8"/>
    </row>
    <row r="61" spans="1:17" ht="11.25" customHeight="1" hidden="1">
      <c r="A61" s="958"/>
      <c r="B61" s="46" t="s">
        <v>678</v>
      </c>
      <c r="C61" s="513" t="s">
        <v>478</v>
      </c>
      <c r="D61" s="537"/>
      <c r="E61" s="537"/>
      <c r="F61" s="537"/>
      <c r="G61" s="537"/>
      <c r="H61" s="537"/>
      <c r="I61" s="537"/>
      <c r="J61" s="537"/>
      <c r="K61" s="537"/>
      <c r="L61" s="537"/>
      <c r="M61" s="537"/>
      <c r="N61" s="537"/>
      <c r="O61" s="537"/>
      <c r="P61" s="537"/>
      <c r="Q61" s="540"/>
    </row>
    <row r="62" spans="1:17" ht="11.25" customHeight="1" hidden="1">
      <c r="A62" s="958"/>
      <c r="B62" s="46" t="s">
        <v>679</v>
      </c>
      <c r="C62" s="513" t="s">
        <v>479</v>
      </c>
      <c r="D62" s="537"/>
      <c r="E62" s="537"/>
      <c r="F62" s="537"/>
      <c r="G62" s="537"/>
      <c r="H62" s="537"/>
      <c r="I62" s="537"/>
      <c r="J62" s="537"/>
      <c r="K62" s="537"/>
      <c r="L62" s="537"/>
      <c r="M62" s="537"/>
      <c r="N62" s="537"/>
      <c r="O62" s="537"/>
      <c r="P62" s="537"/>
      <c r="Q62" s="540"/>
    </row>
    <row r="63" spans="1:17" ht="11.25" customHeight="1" hidden="1">
      <c r="A63" s="958"/>
      <c r="B63" s="46" t="s">
        <v>680</v>
      </c>
      <c r="C63" s="541" t="s">
        <v>453</v>
      </c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3"/>
    </row>
    <row r="64" spans="1:17" ht="11.25" customHeight="1" hidden="1">
      <c r="A64" s="958"/>
      <c r="B64" s="47" t="s">
        <v>681</v>
      </c>
      <c r="C64" s="534"/>
      <c r="D64" s="712">
        <v>60014</v>
      </c>
      <c r="E64" s="628">
        <f>F64+G64</f>
        <v>1200000</v>
      </c>
      <c r="F64" s="628">
        <v>180000</v>
      </c>
      <c r="G64" s="628">
        <v>1020000</v>
      </c>
      <c r="H64" s="628">
        <f aca="true" t="shared" si="6" ref="H64:Q64">H65</f>
        <v>0</v>
      </c>
      <c r="I64" s="628">
        <f t="shared" si="6"/>
        <v>0</v>
      </c>
      <c r="J64" s="628">
        <f t="shared" si="6"/>
        <v>0</v>
      </c>
      <c r="K64" s="628">
        <f t="shared" si="6"/>
        <v>0</v>
      </c>
      <c r="L64" s="628">
        <f t="shared" si="6"/>
        <v>0</v>
      </c>
      <c r="M64" s="628">
        <f t="shared" si="6"/>
        <v>0</v>
      </c>
      <c r="N64" s="628">
        <f t="shared" si="6"/>
        <v>0</v>
      </c>
      <c r="O64" s="628">
        <f t="shared" si="6"/>
        <v>0</v>
      </c>
      <c r="P64" s="628">
        <f t="shared" si="6"/>
        <v>0</v>
      </c>
      <c r="Q64" s="629">
        <f t="shared" si="6"/>
        <v>0</v>
      </c>
    </row>
    <row r="65" spans="1:17" ht="11.25" customHeight="1" hidden="1">
      <c r="A65" s="958"/>
      <c r="B65" s="521" t="s">
        <v>27</v>
      </c>
      <c r="C65" s="972">
        <v>58</v>
      </c>
      <c r="D65" s="973"/>
      <c r="E65" s="636">
        <f>F65+G65</f>
        <v>0</v>
      </c>
      <c r="F65" s="630">
        <v>0</v>
      </c>
      <c r="G65" s="630">
        <v>0</v>
      </c>
      <c r="H65" s="630">
        <f>I65+M65</f>
        <v>0</v>
      </c>
      <c r="I65" s="630">
        <v>0</v>
      </c>
      <c r="J65" s="630"/>
      <c r="K65" s="630"/>
      <c r="L65" s="630"/>
      <c r="M65" s="630">
        <v>0</v>
      </c>
      <c r="N65" s="630"/>
      <c r="O65" s="630"/>
      <c r="P65" s="630"/>
      <c r="Q65" s="631"/>
    </row>
    <row r="66" spans="1:17" ht="11.25" customHeight="1" hidden="1">
      <c r="A66" s="958"/>
      <c r="B66" s="46" t="s">
        <v>641</v>
      </c>
      <c r="C66" s="974"/>
      <c r="D66" s="975"/>
      <c r="E66" s="637">
        <f>F66+G66</f>
        <v>0</v>
      </c>
      <c r="F66" s="632">
        <v>0</v>
      </c>
      <c r="G66" s="632">
        <v>0</v>
      </c>
      <c r="H66" s="632"/>
      <c r="I66" s="632"/>
      <c r="J66" s="632"/>
      <c r="K66" s="632"/>
      <c r="L66" s="632"/>
      <c r="M66" s="632"/>
      <c r="N66" s="632"/>
      <c r="O66" s="632"/>
      <c r="P66" s="632"/>
      <c r="Q66" s="633"/>
    </row>
    <row r="67" spans="1:17" ht="11.25" customHeight="1" hidden="1">
      <c r="A67" s="958"/>
      <c r="B67" s="46" t="s">
        <v>643</v>
      </c>
      <c r="C67" s="974"/>
      <c r="D67" s="975"/>
      <c r="E67" s="637">
        <f>F67+G67</f>
        <v>300000</v>
      </c>
      <c r="F67" s="632">
        <v>45000</v>
      </c>
      <c r="G67" s="632">
        <v>255000</v>
      </c>
      <c r="H67" s="632"/>
      <c r="I67" s="632"/>
      <c r="J67" s="632"/>
      <c r="K67" s="632"/>
      <c r="L67" s="632"/>
      <c r="M67" s="632"/>
      <c r="N67" s="632"/>
      <c r="O67" s="632"/>
      <c r="P67" s="632"/>
      <c r="Q67" s="633"/>
    </row>
    <row r="68" spans="1:17" ht="11.25" customHeight="1" hidden="1" thickBot="1">
      <c r="A68" s="959"/>
      <c r="B68" s="519" t="s">
        <v>28</v>
      </c>
      <c r="C68" s="976"/>
      <c r="D68" s="977"/>
      <c r="E68" s="638"/>
      <c r="F68" s="634"/>
      <c r="G68" s="634"/>
      <c r="H68" s="634"/>
      <c r="I68" s="634"/>
      <c r="J68" s="634"/>
      <c r="K68" s="634"/>
      <c r="L68" s="634"/>
      <c r="M68" s="634"/>
      <c r="N68" s="634"/>
      <c r="O68" s="634"/>
      <c r="P68" s="634"/>
      <c r="Q68" s="635"/>
    </row>
    <row r="69" spans="1:17" ht="11.25" customHeight="1" hidden="1">
      <c r="A69" s="958" t="s">
        <v>451</v>
      </c>
      <c r="B69" s="521" t="s">
        <v>677</v>
      </c>
      <c r="C69" s="621" t="s">
        <v>466</v>
      </c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8"/>
    </row>
    <row r="70" spans="1:17" ht="11.25" customHeight="1" hidden="1">
      <c r="A70" s="958"/>
      <c r="B70" s="46" t="s">
        <v>678</v>
      </c>
      <c r="C70" s="513" t="s">
        <v>467</v>
      </c>
      <c r="D70" s="537"/>
      <c r="E70" s="537"/>
      <c r="F70" s="537"/>
      <c r="G70" s="537"/>
      <c r="H70" s="537"/>
      <c r="I70" s="537"/>
      <c r="J70" s="537"/>
      <c r="K70" s="537"/>
      <c r="L70" s="537"/>
      <c r="M70" s="537"/>
      <c r="N70" s="537"/>
      <c r="O70" s="537"/>
      <c r="P70" s="537"/>
      <c r="Q70" s="540"/>
    </row>
    <row r="71" spans="1:17" ht="11.25" customHeight="1" hidden="1">
      <c r="A71" s="958"/>
      <c r="B71" s="46" t="s">
        <v>679</v>
      </c>
      <c r="C71" s="513" t="s">
        <v>468</v>
      </c>
      <c r="D71" s="537"/>
      <c r="E71" s="537"/>
      <c r="F71" s="537"/>
      <c r="G71" s="537"/>
      <c r="H71" s="537"/>
      <c r="I71" s="537"/>
      <c r="J71" s="537"/>
      <c r="K71" s="537"/>
      <c r="L71" s="537"/>
      <c r="M71" s="537"/>
      <c r="N71" s="537"/>
      <c r="O71" s="537"/>
      <c r="P71" s="537"/>
      <c r="Q71" s="540"/>
    </row>
    <row r="72" spans="1:17" ht="11.25" customHeight="1" hidden="1">
      <c r="A72" s="958"/>
      <c r="B72" s="46" t="s">
        <v>680</v>
      </c>
      <c r="C72" s="995" t="s">
        <v>480</v>
      </c>
      <c r="D72" s="987"/>
      <c r="E72" s="987"/>
      <c r="F72" s="987"/>
      <c r="G72" s="987"/>
      <c r="H72" s="987"/>
      <c r="I72" s="987"/>
      <c r="J72" s="987"/>
      <c r="K72" s="987"/>
      <c r="L72" s="987"/>
      <c r="M72" s="987"/>
      <c r="N72" s="987"/>
      <c r="O72" s="987"/>
      <c r="P72" s="987"/>
      <c r="Q72" s="988"/>
    </row>
    <row r="73" spans="1:17" ht="11.25" customHeight="1" hidden="1">
      <c r="A73" s="958"/>
      <c r="B73" s="47" t="s">
        <v>681</v>
      </c>
      <c r="C73" s="534"/>
      <c r="D73" s="713">
        <v>60014</v>
      </c>
      <c r="E73" s="628">
        <f>F73+G73</f>
        <v>14000000</v>
      </c>
      <c r="F73" s="628">
        <v>2100000</v>
      </c>
      <c r="G73" s="628">
        <v>11900000</v>
      </c>
      <c r="H73" s="628">
        <f aca="true" t="shared" si="7" ref="H73:Q73">H74</f>
        <v>45000</v>
      </c>
      <c r="I73" s="628">
        <f t="shared" si="7"/>
        <v>45000</v>
      </c>
      <c r="J73" s="628">
        <f t="shared" si="7"/>
        <v>0</v>
      </c>
      <c r="K73" s="628">
        <f t="shared" si="7"/>
        <v>0</v>
      </c>
      <c r="L73" s="628">
        <f t="shared" si="7"/>
        <v>45000</v>
      </c>
      <c r="M73" s="628">
        <f t="shared" si="7"/>
        <v>0</v>
      </c>
      <c r="N73" s="628">
        <f t="shared" si="7"/>
        <v>0</v>
      </c>
      <c r="O73" s="628">
        <f t="shared" si="7"/>
        <v>0</v>
      </c>
      <c r="P73" s="628">
        <f t="shared" si="7"/>
        <v>0</v>
      </c>
      <c r="Q73" s="629">
        <f t="shared" si="7"/>
        <v>0</v>
      </c>
    </row>
    <row r="74" spans="1:17" ht="11.25" customHeight="1" hidden="1">
      <c r="A74" s="958"/>
      <c r="B74" s="521" t="s">
        <v>27</v>
      </c>
      <c r="C74" s="972">
        <v>23</v>
      </c>
      <c r="D74" s="973"/>
      <c r="E74" s="630">
        <f>F74+G74</f>
        <v>300000</v>
      </c>
      <c r="F74" s="630">
        <v>45000</v>
      </c>
      <c r="G74" s="630">
        <v>255000</v>
      </c>
      <c r="H74" s="630">
        <f>I74+M74</f>
        <v>45000</v>
      </c>
      <c r="I74" s="630">
        <f>SUM(J74:L74)</f>
        <v>45000</v>
      </c>
      <c r="J74" s="630"/>
      <c r="K74" s="630"/>
      <c r="L74" s="630">
        <v>45000</v>
      </c>
      <c r="M74" s="630">
        <f>SUM(N74:Q74)</f>
        <v>0</v>
      </c>
      <c r="N74" s="630"/>
      <c r="O74" s="630"/>
      <c r="P74" s="630"/>
      <c r="Q74" s="631"/>
    </row>
    <row r="75" spans="1:17" ht="11.25" customHeight="1" hidden="1">
      <c r="A75" s="958"/>
      <c r="B75" s="46" t="s">
        <v>641</v>
      </c>
      <c r="C75" s="974"/>
      <c r="D75" s="975"/>
      <c r="E75" s="632">
        <f>F75+G75</f>
        <v>1000000</v>
      </c>
      <c r="F75" s="632">
        <v>150000</v>
      </c>
      <c r="G75" s="632">
        <v>850000</v>
      </c>
      <c r="H75" s="632"/>
      <c r="I75" s="632"/>
      <c r="J75" s="632"/>
      <c r="K75" s="632"/>
      <c r="L75" s="632"/>
      <c r="M75" s="632"/>
      <c r="N75" s="632"/>
      <c r="O75" s="632"/>
      <c r="P75" s="632"/>
      <c r="Q75" s="633"/>
    </row>
    <row r="76" spans="1:17" ht="11.25" customHeight="1" hidden="1">
      <c r="A76" s="958"/>
      <c r="B76" s="46" t="s">
        <v>643</v>
      </c>
      <c r="C76" s="974"/>
      <c r="D76" s="975"/>
      <c r="E76" s="632">
        <f>F76+G76</f>
        <v>6350000</v>
      </c>
      <c r="F76" s="632">
        <v>952500</v>
      </c>
      <c r="G76" s="632">
        <v>5397500</v>
      </c>
      <c r="H76" s="632"/>
      <c r="I76" s="632"/>
      <c r="J76" s="632"/>
      <c r="K76" s="632"/>
      <c r="L76" s="632"/>
      <c r="M76" s="632"/>
      <c r="N76" s="632"/>
      <c r="O76" s="632"/>
      <c r="P76" s="632"/>
      <c r="Q76" s="633"/>
    </row>
    <row r="77" spans="1:17" ht="11.25" customHeight="1" hidden="1" thickBot="1">
      <c r="A77" s="959"/>
      <c r="B77" s="519" t="s">
        <v>28</v>
      </c>
      <c r="C77" s="976"/>
      <c r="D77" s="977"/>
      <c r="E77" s="634"/>
      <c r="F77" s="634"/>
      <c r="G77" s="634"/>
      <c r="H77" s="634"/>
      <c r="I77" s="634"/>
      <c r="J77" s="634"/>
      <c r="K77" s="634"/>
      <c r="L77" s="634"/>
      <c r="M77" s="634"/>
      <c r="N77" s="634"/>
      <c r="O77" s="634"/>
      <c r="P77" s="634"/>
      <c r="Q77" s="635"/>
    </row>
    <row r="78" spans="1:17" ht="11.25" customHeight="1" hidden="1">
      <c r="A78" s="957" t="s">
        <v>347</v>
      </c>
      <c r="B78" s="521" t="s">
        <v>677</v>
      </c>
      <c r="C78" s="621" t="s">
        <v>475</v>
      </c>
      <c r="D78" s="528"/>
      <c r="E78" s="528"/>
      <c r="F78" s="528"/>
      <c r="G78" s="528"/>
      <c r="H78" s="528"/>
      <c r="I78" s="528"/>
      <c r="J78" s="528"/>
      <c r="K78" s="528"/>
      <c r="L78" s="528"/>
      <c r="M78" s="528"/>
      <c r="N78" s="528"/>
      <c r="O78" s="528"/>
      <c r="P78" s="528"/>
      <c r="Q78" s="547"/>
    </row>
    <row r="79" spans="1:17" ht="11.25" customHeight="1" hidden="1">
      <c r="A79" s="958"/>
      <c r="B79" s="46" t="s">
        <v>678</v>
      </c>
      <c r="C79" s="513" t="s">
        <v>467</v>
      </c>
      <c r="D79" s="528"/>
      <c r="E79" s="528"/>
      <c r="F79" s="528"/>
      <c r="G79" s="528"/>
      <c r="H79" s="528"/>
      <c r="I79" s="528"/>
      <c r="J79" s="528"/>
      <c r="K79" s="528"/>
      <c r="L79" s="528"/>
      <c r="M79" s="528"/>
      <c r="N79" s="528"/>
      <c r="O79" s="528"/>
      <c r="P79" s="528"/>
      <c r="Q79" s="547"/>
    </row>
    <row r="80" spans="1:17" ht="11.25" customHeight="1" hidden="1">
      <c r="A80" s="958"/>
      <c r="B80" s="46" t="s">
        <v>679</v>
      </c>
      <c r="C80" s="513" t="s">
        <v>468</v>
      </c>
      <c r="D80" s="528"/>
      <c r="E80" s="528"/>
      <c r="F80" s="528"/>
      <c r="G80" s="528"/>
      <c r="H80" s="528"/>
      <c r="I80" s="528"/>
      <c r="J80" s="528"/>
      <c r="K80" s="528"/>
      <c r="L80" s="528"/>
      <c r="M80" s="528"/>
      <c r="N80" s="528"/>
      <c r="O80" s="528"/>
      <c r="P80" s="528"/>
      <c r="Q80" s="547"/>
    </row>
    <row r="81" spans="1:17" ht="11.25" customHeight="1" hidden="1">
      <c r="A81" s="958"/>
      <c r="B81" s="46" t="s">
        <v>680</v>
      </c>
      <c r="C81" s="983" t="s">
        <v>454</v>
      </c>
      <c r="D81" s="984"/>
      <c r="E81" s="984"/>
      <c r="F81" s="984"/>
      <c r="G81" s="984"/>
      <c r="H81" s="984"/>
      <c r="I81" s="984"/>
      <c r="J81" s="984"/>
      <c r="K81" s="984"/>
      <c r="L81" s="984"/>
      <c r="M81" s="984"/>
      <c r="N81" s="984"/>
      <c r="O81" s="984"/>
      <c r="P81" s="984"/>
      <c r="Q81" s="985"/>
    </row>
    <row r="82" spans="1:17" ht="11.25" customHeight="1" hidden="1">
      <c r="A82" s="958"/>
      <c r="B82" s="47" t="s">
        <v>681</v>
      </c>
      <c r="C82" s="534"/>
      <c r="D82" s="713">
        <v>60014</v>
      </c>
      <c r="E82" s="628">
        <f>F82+G82</f>
        <v>1100000</v>
      </c>
      <c r="F82" s="628">
        <v>165000</v>
      </c>
      <c r="G82" s="628">
        <v>935000</v>
      </c>
      <c r="H82" s="628">
        <f aca="true" t="shared" si="8" ref="H82:Q82">H83</f>
        <v>15000</v>
      </c>
      <c r="I82" s="628">
        <f t="shared" si="8"/>
        <v>15000</v>
      </c>
      <c r="J82" s="628">
        <f t="shared" si="8"/>
        <v>0</v>
      </c>
      <c r="K82" s="628">
        <f t="shared" si="8"/>
        <v>0</v>
      </c>
      <c r="L82" s="628">
        <f t="shared" si="8"/>
        <v>15000</v>
      </c>
      <c r="M82" s="628">
        <f t="shared" si="8"/>
        <v>0</v>
      </c>
      <c r="N82" s="628">
        <f t="shared" si="8"/>
        <v>0</v>
      </c>
      <c r="O82" s="628">
        <f t="shared" si="8"/>
        <v>0</v>
      </c>
      <c r="P82" s="628">
        <f t="shared" si="8"/>
        <v>0</v>
      </c>
      <c r="Q82" s="629">
        <f t="shared" si="8"/>
        <v>0</v>
      </c>
    </row>
    <row r="83" spans="1:17" ht="11.25" customHeight="1" hidden="1">
      <c r="A83" s="958"/>
      <c r="B83" s="521" t="s">
        <v>27</v>
      </c>
      <c r="C83" s="972">
        <v>23</v>
      </c>
      <c r="D83" s="973"/>
      <c r="E83" s="630">
        <f>F83+G83</f>
        <v>100000</v>
      </c>
      <c r="F83" s="630">
        <v>15000</v>
      </c>
      <c r="G83" s="630">
        <v>85000</v>
      </c>
      <c r="H83" s="630">
        <f>I83+M83</f>
        <v>15000</v>
      </c>
      <c r="I83" s="630">
        <f>SUM(J83:L83)</f>
        <v>15000</v>
      </c>
      <c r="J83" s="630"/>
      <c r="K83" s="630"/>
      <c r="L83" s="630">
        <v>15000</v>
      </c>
      <c r="M83" s="630">
        <f>SUM(N83:Q83)</f>
        <v>0</v>
      </c>
      <c r="N83" s="630"/>
      <c r="O83" s="630"/>
      <c r="P83" s="630"/>
      <c r="Q83" s="631"/>
    </row>
    <row r="84" spans="1:17" ht="11.25" customHeight="1" hidden="1">
      <c r="A84" s="958"/>
      <c r="B84" s="46" t="s">
        <v>641</v>
      </c>
      <c r="C84" s="974"/>
      <c r="D84" s="975"/>
      <c r="E84" s="632">
        <f>F84+G84</f>
        <v>1000000</v>
      </c>
      <c r="F84" s="632">
        <v>150000</v>
      </c>
      <c r="G84" s="632">
        <v>850000</v>
      </c>
      <c r="H84" s="632"/>
      <c r="I84" s="632"/>
      <c r="J84" s="632"/>
      <c r="K84" s="632"/>
      <c r="L84" s="632"/>
      <c r="M84" s="632"/>
      <c r="N84" s="632"/>
      <c r="O84" s="632"/>
      <c r="P84" s="632"/>
      <c r="Q84" s="633"/>
    </row>
    <row r="85" spans="1:17" ht="11.25" customHeight="1" hidden="1">
      <c r="A85" s="958"/>
      <c r="B85" s="46" t="s">
        <v>643</v>
      </c>
      <c r="C85" s="974"/>
      <c r="D85" s="975"/>
      <c r="E85" s="632">
        <f>F85+G85</f>
        <v>0</v>
      </c>
      <c r="F85" s="632">
        <v>0</v>
      </c>
      <c r="G85" s="632">
        <v>0</v>
      </c>
      <c r="H85" s="632"/>
      <c r="I85" s="632"/>
      <c r="J85" s="632"/>
      <c r="K85" s="632"/>
      <c r="L85" s="632"/>
      <c r="M85" s="632"/>
      <c r="N85" s="632"/>
      <c r="O85" s="632"/>
      <c r="P85" s="632"/>
      <c r="Q85" s="633"/>
    </row>
    <row r="86" spans="1:17" ht="11.25" customHeight="1" hidden="1" thickBot="1">
      <c r="A86" s="959"/>
      <c r="B86" s="519" t="s">
        <v>28</v>
      </c>
      <c r="C86" s="976"/>
      <c r="D86" s="977"/>
      <c r="E86" s="634"/>
      <c r="F86" s="634"/>
      <c r="G86" s="634"/>
      <c r="H86" s="634"/>
      <c r="I86" s="634"/>
      <c r="J86" s="634"/>
      <c r="K86" s="634"/>
      <c r="L86" s="634"/>
      <c r="M86" s="634"/>
      <c r="N86" s="634"/>
      <c r="O86" s="634"/>
      <c r="P86" s="634"/>
      <c r="Q86" s="635"/>
    </row>
    <row r="87" spans="1:17" ht="11.25" customHeight="1" hidden="1">
      <c r="A87" s="957" t="s">
        <v>348</v>
      </c>
      <c r="B87" s="521" t="s">
        <v>677</v>
      </c>
      <c r="C87" s="621" t="s">
        <v>482</v>
      </c>
      <c r="D87" s="545"/>
      <c r="E87" s="545"/>
      <c r="F87" s="545"/>
      <c r="G87" s="545"/>
      <c r="H87" s="545"/>
      <c r="I87" s="545"/>
      <c r="J87" s="545"/>
      <c r="K87" s="545"/>
      <c r="L87" s="545"/>
      <c r="M87" s="545"/>
      <c r="N87" s="545"/>
      <c r="O87" s="545"/>
      <c r="P87" s="545"/>
      <c r="Q87" s="546"/>
    </row>
    <row r="88" spans="1:17" ht="11.25" customHeight="1" hidden="1">
      <c r="A88" s="958"/>
      <c r="B88" s="46" t="s">
        <v>678</v>
      </c>
      <c r="C88" s="513" t="s">
        <v>478</v>
      </c>
      <c r="D88" s="528"/>
      <c r="E88" s="528"/>
      <c r="F88" s="528"/>
      <c r="G88" s="528"/>
      <c r="H88" s="528"/>
      <c r="I88" s="528"/>
      <c r="J88" s="528"/>
      <c r="K88" s="528"/>
      <c r="L88" s="528"/>
      <c r="M88" s="528"/>
      <c r="N88" s="528"/>
      <c r="O88" s="528"/>
      <c r="P88" s="528"/>
      <c r="Q88" s="547"/>
    </row>
    <row r="89" spans="1:17" ht="11.25" customHeight="1" hidden="1">
      <c r="A89" s="958"/>
      <c r="B89" s="46" t="s">
        <v>679</v>
      </c>
      <c r="C89" s="513" t="s">
        <v>479</v>
      </c>
      <c r="D89" s="528"/>
      <c r="E89" s="528"/>
      <c r="F89" s="528"/>
      <c r="G89" s="528"/>
      <c r="H89" s="528"/>
      <c r="I89" s="528"/>
      <c r="J89" s="528"/>
      <c r="K89" s="528"/>
      <c r="L89" s="528"/>
      <c r="M89" s="528"/>
      <c r="N89" s="528"/>
      <c r="O89" s="528"/>
      <c r="P89" s="528"/>
      <c r="Q89" s="547"/>
    </row>
    <row r="90" spans="1:17" ht="11.25" customHeight="1" hidden="1">
      <c r="A90" s="958"/>
      <c r="B90" s="46" t="s">
        <v>680</v>
      </c>
      <c r="C90" s="986" t="s">
        <v>457</v>
      </c>
      <c r="D90" s="987"/>
      <c r="E90" s="987"/>
      <c r="F90" s="987"/>
      <c r="G90" s="987"/>
      <c r="H90" s="987"/>
      <c r="I90" s="987"/>
      <c r="J90" s="987"/>
      <c r="K90" s="987"/>
      <c r="L90" s="987"/>
      <c r="M90" s="987"/>
      <c r="N90" s="987"/>
      <c r="O90" s="987"/>
      <c r="P90" s="987"/>
      <c r="Q90" s="988"/>
    </row>
    <row r="91" spans="1:17" ht="11.25" customHeight="1" hidden="1">
      <c r="A91" s="958"/>
      <c r="B91" s="47" t="s">
        <v>681</v>
      </c>
      <c r="C91" s="534"/>
      <c r="D91" s="713">
        <v>80130</v>
      </c>
      <c r="E91" s="628">
        <f>F91+G91</f>
        <v>7700000</v>
      </c>
      <c r="F91" s="628">
        <v>1155000</v>
      </c>
      <c r="G91" s="628">
        <v>6545000</v>
      </c>
      <c r="H91" s="628">
        <f aca="true" t="shared" si="9" ref="H91:Q91">H92</f>
        <v>13500</v>
      </c>
      <c r="I91" s="628">
        <f t="shared" si="9"/>
        <v>13500</v>
      </c>
      <c r="J91" s="628">
        <f t="shared" si="9"/>
        <v>0</v>
      </c>
      <c r="K91" s="628">
        <f t="shared" si="9"/>
        <v>0</v>
      </c>
      <c r="L91" s="628">
        <f t="shared" si="9"/>
        <v>13500</v>
      </c>
      <c r="M91" s="628">
        <f t="shared" si="9"/>
        <v>0</v>
      </c>
      <c r="N91" s="628">
        <f t="shared" si="9"/>
        <v>0</v>
      </c>
      <c r="O91" s="628">
        <f t="shared" si="9"/>
        <v>0</v>
      </c>
      <c r="P91" s="628">
        <f t="shared" si="9"/>
        <v>0</v>
      </c>
      <c r="Q91" s="629">
        <f t="shared" si="9"/>
        <v>0</v>
      </c>
    </row>
    <row r="92" spans="1:17" ht="11.25" customHeight="1" hidden="1">
      <c r="A92" s="958"/>
      <c r="B92" s="521" t="s">
        <v>27</v>
      </c>
      <c r="C92" s="972">
        <v>58</v>
      </c>
      <c r="D92" s="973"/>
      <c r="E92" s="630">
        <f>F92+G92</f>
        <v>90000</v>
      </c>
      <c r="F92" s="630">
        <v>13500</v>
      </c>
      <c r="G92" s="630">
        <v>76500</v>
      </c>
      <c r="H92" s="630">
        <f>I92+M92</f>
        <v>13500</v>
      </c>
      <c r="I92" s="630">
        <f>SUM(J92:L92)</f>
        <v>13500</v>
      </c>
      <c r="J92" s="630"/>
      <c r="K92" s="630"/>
      <c r="L92" s="630">
        <v>13500</v>
      </c>
      <c r="M92" s="630">
        <f>SUM(N92:Q92)</f>
        <v>0</v>
      </c>
      <c r="N92" s="630"/>
      <c r="O92" s="630"/>
      <c r="P92" s="630"/>
      <c r="Q92" s="631"/>
    </row>
    <row r="93" spans="1:17" ht="11.25" customHeight="1" hidden="1">
      <c r="A93" s="958"/>
      <c r="B93" s="46" t="s">
        <v>641</v>
      </c>
      <c r="C93" s="974"/>
      <c r="D93" s="975"/>
      <c r="E93" s="632">
        <f>F93+G93</f>
        <v>0</v>
      </c>
      <c r="F93" s="632">
        <v>0</v>
      </c>
      <c r="G93" s="632">
        <v>0</v>
      </c>
      <c r="H93" s="632"/>
      <c r="I93" s="632"/>
      <c r="J93" s="632"/>
      <c r="K93" s="632"/>
      <c r="L93" s="632"/>
      <c r="M93" s="632"/>
      <c r="N93" s="632"/>
      <c r="O93" s="632"/>
      <c r="P93" s="632"/>
      <c r="Q93" s="633"/>
    </row>
    <row r="94" spans="1:17" ht="11.25" customHeight="1" hidden="1">
      <c r="A94" s="958"/>
      <c r="B94" s="46" t="s">
        <v>643</v>
      </c>
      <c r="C94" s="974"/>
      <c r="D94" s="975"/>
      <c r="E94" s="632">
        <f>F94+G94</f>
        <v>0</v>
      </c>
      <c r="F94" s="632">
        <v>0</v>
      </c>
      <c r="G94" s="632">
        <v>0</v>
      </c>
      <c r="H94" s="632"/>
      <c r="I94" s="632"/>
      <c r="J94" s="632"/>
      <c r="K94" s="632"/>
      <c r="L94" s="632"/>
      <c r="M94" s="632"/>
      <c r="N94" s="632"/>
      <c r="O94" s="632"/>
      <c r="P94" s="632"/>
      <c r="Q94" s="633"/>
    </row>
    <row r="95" spans="1:17" ht="11.25" customHeight="1" hidden="1" thickBot="1">
      <c r="A95" s="959"/>
      <c r="B95" s="519" t="s">
        <v>28</v>
      </c>
      <c r="C95" s="976"/>
      <c r="D95" s="977"/>
      <c r="E95" s="634"/>
      <c r="F95" s="634"/>
      <c r="G95" s="634"/>
      <c r="H95" s="634"/>
      <c r="I95" s="634"/>
      <c r="J95" s="634"/>
      <c r="K95" s="634"/>
      <c r="L95" s="634"/>
      <c r="M95" s="634"/>
      <c r="N95" s="634"/>
      <c r="O95" s="634"/>
      <c r="P95" s="634"/>
      <c r="Q95" s="635"/>
    </row>
    <row r="96" spans="1:17" ht="11.25" customHeight="1" hidden="1">
      <c r="A96" s="957" t="s">
        <v>349</v>
      </c>
      <c r="B96" s="521" t="s">
        <v>677</v>
      </c>
      <c r="C96" s="621" t="s">
        <v>350</v>
      </c>
      <c r="D96" s="545"/>
      <c r="E96" s="545"/>
      <c r="F96" s="545"/>
      <c r="G96" s="545"/>
      <c r="H96" s="545"/>
      <c r="I96" s="545"/>
      <c r="J96" s="545"/>
      <c r="K96" s="545"/>
      <c r="L96" s="545"/>
      <c r="M96" s="545"/>
      <c r="N96" s="545"/>
      <c r="O96" s="545"/>
      <c r="P96" s="545"/>
      <c r="Q96" s="546"/>
    </row>
    <row r="97" spans="1:17" ht="11.25" customHeight="1" hidden="1">
      <c r="A97" s="958"/>
      <c r="B97" s="46" t="s">
        <v>678</v>
      </c>
      <c r="C97" s="513" t="s">
        <v>478</v>
      </c>
      <c r="D97" s="528"/>
      <c r="E97" s="528"/>
      <c r="F97" s="528"/>
      <c r="G97" s="528"/>
      <c r="H97" s="528"/>
      <c r="I97" s="528"/>
      <c r="J97" s="528"/>
      <c r="K97" s="528"/>
      <c r="L97" s="528"/>
      <c r="M97" s="528"/>
      <c r="N97" s="528"/>
      <c r="O97" s="528"/>
      <c r="P97" s="528"/>
      <c r="Q97" s="547"/>
    </row>
    <row r="98" spans="1:17" ht="11.25" customHeight="1" hidden="1">
      <c r="A98" s="958"/>
      <c r="B98" s="46" t="s">
        <v>679</v>
      </c>
      <c r="C98" s="513" t="s">
        <v>479</v>
      </c>
      <c r="D98" s="528"/>
      <c r="E98" s="528"/>
      <c r="F98" s="528"/>
      <c r="G98" s="528"/>
      <c r="H98" s="528"/>
      <c r="I98" s="528"/>
      <c r="J98" s="528"/>
      <c r="K98" s="528"/>
      <c r="L98" s="528"/>
      <c r="M98" s="528"/>
      <c r="N98" s="528"/>
      <c r="O98" s="528"/>
      <c r="P98" s="528"/>
      <c r="Q98" s="547"/>
    </row>
    <row r="99" spans="1:17" ht="11.25" customHeight="1" hidden="1">
      <c r="A99" s="958"/>
      <c r="B99" s="554" t="s">
        <v>680</v>
      </c>
      <c r="C99" s="983" t="s">
        <v>458</v>
      </c>
      <c r="D99" s="984"/>
      <c r="E99" s="984"/>
      <c r="F99" s="984"/>
      <c r="G99" s="984"/>
      <c r="H99" s="984"/>
      <c r="I99" s="984"/>
      <c r="J99" s="984"/>
      <c r="K99" s="984"/>
      <c r="L99" s="984"/>
      <c r="M99" s="984"/>
      <c r="N99" s="984"/>
      <c r="O99" s="984"/>
      <c r="P99" s="984"/>
      <c r="Q99" s="985"/>
    </row>
    <row r="100" spans="1:17" ht="11.25" customHeight="1" hidden="1">
      <c r="A100" s="958"/>
      <c r="B100" s="555" t="s">
        <v>681</v>
      </c>
      <c r="C100" s="534"/>
      <c r="D100" s="713">
        <v>85202</v>
      </c>
      <c r="E100" s="628">
        <f>F100+G100</f>
        <v>200000</v>
      </c>
      <c r="F100" s="628">
        <v>30000</v>
      </c>
      <c r="G100" s="628">
        <v>170000</v>
      </c>
      <c r="H100" s="628"/>
      <c r="I100" s="628"/>
      <c r="J100" s="628"/>
      <c r="K100" s="628"/>
      <c r="L100" s="628"/>
      <c r="M100" s="628"/>
      <c r="N100" s="628"/>
      <c r="O100" s="628"/>
      <c r="P100" s="628"/>
      <c r="Q100" s="629"/>
    </row>
    <row r="101" spans="1:17" ht="11.25" customHeight="1" hidden="1">
      <c r="A101" s="958"/>
      <c r="B101" s="521" t="s">
        <v>27</v>
      </c>
      <c r="C101" s="972">
        <v>58</v>
      </c>
      <c r="D101" s="973"/>
      <c r="E101" s="630">
        <f>F101+G101</f>
        <v>0</v>
      </c>
      <c r="F101" s="630">
        <v>0</v>
      </c>
      <c r="G101" s="630">
        <v>0</v>
      </c>
      <c r="H101" s="630"/>
      <c r="I101" s="630"/>
      <c r="J101" s="630"/>
      <c r="K101" s="630"/>
      <c r="L101" s="630"/>
      <c r="M101" s="630"/>
      <c r="N101" s="630"/>
      <c r="O101" s="630"/>
      <c r="P101" s="630"/>
      <c r="Q101" s="631"/>
    </row>
    <row r="102" spans="1:17" ht="11.25" customHeight="1" hidden="1">
      <c r="A102" s="958"/>
      <c r="B102" s="46" t="s">
        <v>641</v>
      </c>
      <c r="C102" s="974"/>
      <c r="D102" s="975"/>
      <c r="E102" s="632">
        <f>F102+G102</f>
        <v>0</v>
      </c>
      <c r="F102" s="632">
        <v>0</v>
      </c>
      <c r="G102" s="632">
        <v>0</v>
      </c>
      <c r="H102" s="632"/>
      <c r="I102" s="632"/>
      <c r="J102" s="632"/>
      <c r="K102" s="632"/>
      <c r="L102" s="632"/>
      <c r="M102" s="632"/>
      <c r="N102" s="632"/>
      <c r="O102" s="632"/>
      <c r="P102" s="632"/>
      <c r="Q102" s="633"/>
    </row>
    <row r="103" spans="1:17" ht="11.25" customHeight="1" hidden="1">
      <c r="A103" s="958"/>
      <c r="B103" s="46" t="s">
        <v>643</v>
      </c>
      <c r="C103" s="974"/>
      <c r="D103" s="975"/>
      <c r="E103" s="632">
        <f>F103+G103</f>
        <v>0</v>
      </c>
      <c r="F103" s="632">
        <v>0</v>
      </c>
      <c r="G103" s="632">
        <v>0</v>
      </c>
      <c r="H103" s="632"/>
      <c r="I103" s="632"/>
      <c r="J103" s="632"/>
      <c r="K103" s="632"/>
      <c r="L103" s="632"/>
      <c r="M103" s="632"/>
      <c r="N103" s="632"/>
      <c r="O103" s="632"/>
      <c r="P103" s="632"/>
      <c r="Q103" s="633"/>
    </row>
    <row r="104" spans="1:17" ht="11.25" customHeight="1" hidden="1" thickBot="1">
      <c r="A104" s="959"/>
      <c r="B104" s="519" t="s">
        <v>28</v>
      </c>
      <c r="C104" s="976"/>
      <c r="D104" s="977"/>
      <c r="E104" s="634"/>
      <c r="F104" s="634"/>
      <c r="G104" s="634"/>
      <c r="H104" s="634"/>
      <c r="I104" s="634"/>
      <c r="J104" s="634"/>
      <c r="K104" s="634"/>
      <c r="L104" s="634"/>
      <c r="M104" s="634"/>
      <c r="N104" s="634"/>
      <c r="O104" s="634"/>
      <c r="P104" s="634"/>
      <c r="Q104" s="635"/>
    </row>
    <row r="105" spans="1:17" ht="11.25" customHeight="1" hidden="1">
      <c r="A105" s="957" t="s">
        <v>351</v>
      </c>
      <c r="B105" s="521" t="s">
        <v>677</v>
      </c>
      <c r="C105" s="621" t="s">
        <v>538</v>
      </c>
      <c r="D105" s="545"/>
      <c r="E105" s="545"/>
      <c r="F105" s="545"/>
      <c r="G105" s="545"/>
      <c r="H105" s="545"/>
      <c r="I105" s="545"/>
      <c r="J105" s="545"/>
      <c r="K105" s="545"/>
      <c r="L105" s="545"/>
      <c r="M105" s="545"/>
      <c r="N105" s="545"/>
      <c r="O105" s="545"/>
      <c r="P105" s="545"/>
      <c r="Q105" s="546"/>
    </row>
    <row r="106" spans="1:17" ht="11.25" customHeight="1" hidden="1">
      <c r="A106" s="958"/>
      <c r="B106" s="46" t="s">
        <v>678</v>
      </c>
      <c r="C106" s="513" t="s">
        <v>478</v>
      </c>
      <c r="D106" s="528"/>
      <c r="E106" s="528"/>
      <c r="F106" s="528"/>
      <c r="G106" s="528"/>
      <c r="H106" s="528"/>
      <c r="I106" s="528"/>
      <c r="J106" s="528"/>
      <c r="K106" s="528"/>
      <c r="L106" s="528"/>
      <c r="M106" s="528"/>
      <c r="N106" s="528"/>
      <c r="O106" s="528"/>
      <c r="P106" s="528"/>
      <c r="Q106" s="547"/>
    </row>
    <row r="107" spans="1:17" ht="11.25" customHeight="1" hidden="1">
      <c r="A107" s="958"/>
      <c r="B107" s="46" t="s">
        <v>679</v>
      </c>
      <c r="C107" s="513" t="s">
        <v>479</v>
      </c>
      <c r="D107" s="528"/>
      <c r="E107" s="528"/>
      <c r="F107" s="528"/>
      <c r="G107" s="528"/>
      <c r="H107" s="528"/>
      <c r="I107" s="528"/>
      <c r="J107" s="528"/>
      <c r="K107" s="528"/>
      <c r="L107" s="528"/>
      <c r="M107" s="528"/>
      <c r="N107" s="528"/>
      <c r="O107" s="528"/>
      <c r="P107" s="528"/>
      <c r="Q107" s="547"/>
    </row>
    <row r="108" spans="1:17" ht="11.25" customHeight="1" hidden="1">
      <c r="A108" s="958"/>
      <c r="B108" s="46" t="s">
        <v>680</v>
      </c>
      <c r="C108" s="548" t="s">
        <v>459</v>
      </c>
      <c r="D108" s="549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49"/>
      <c r="P108" s="549"/>
      <c r="Q108" s="550"/>
    </row>
    <row r="109" spans="1:17" ht="11.25" customHeight="1" hidden="1">
      <c r="A109" s="958"/>
      <c r="B109" s="47" t="s">
        <v>681</v>
      </c>
      <c r="C109" s="534"/>
      <c r="D109" s="713">
        <v>75020</v>
      </c>
      <c r="E109" s="534">
        <f>F109+G109</f>
        <v>1566000</v>
      </c>
      <c r="F109" s="534">
        <v>235000</v>
      </c>
      <c r="G109" s="534">
        <v>1331000</v>
      </c>
      <c r="H109" s="534"/>
      <c r="I109" s="534"/>
      <c r="J109" s="534"/>
      <c r="K109" s="534"/>
      <c r="L109" s="534"/>
      <c r="M109" s="534"/>
      <c r="N109" s="534"/>
      <c r="O109" s="534"/>
      <c r="P109" s="534"/>
      <c r="Q109" s="553"/>
    </row>
    <row r="110" spans="1:17" ht="11.25" customHeight="1" hidden="1">
      <c r="A110" s="958"/>
      <c r="B110" s="521" t="s">
        <v>27</v>
      </c>
      <c r="C110" s="972">
        <v>58</v>
      </c>
      <c r="D110" s="973"/>
      <c r="E110" s="551">
        <f>F110+G110</f>
        <v>0</v>
      </c>
      <c r="F110" s="551">
        <v>0</v>
      </c>
      <c r="G110" s="551">
        <v>0</v>
      </c>
      <c r="H110" s="551"/>
      <c r="I110" s="551"/>
      <c r="J110" s="551"/>
      <c r="K110" s="551"/>
      <c r="L110" s="551"/>
      <c r="M110" s="551"/>
      <c r="N110" s="551"/>
      <c r="O110" s="551"/>
      <c r="P110" s="551"/>
      <c r="Q110" s="552"/>
    </row>
    <row r="111" spans="1:17" ht="11.25" customHeight="1" hidden="1">
      <c r="A111" s="958"/>
      <c r="B111" s="46" t="s">
        <v>641</v>
      </c>
      <c r="C111" s="974"/>
      <c r="D111" s="975"/>
      <c r="E111" s="529">
        <f>F111+G111</f>
        <v>700000</v>
      </c>
      <c r="F111" s="529">
        <v>105000</v>
      </c>
      <c r="G111" s="529">
        <v>595000</v>
      </c>
      <c r="H111" s="529"/>
      <c r="I111" s="529"/>
      <c r="J111" s="529"/>
      <c r="K111" s="529"/>
      <c r="L111" s="529"/>
      <c r="M111" s="529"/>
      <c r="N111" s="529"/>
      <c r="O111" s="529"/>
      <c r="P111" s="529"/>
      <c r="Q111" s="530"/>
    </row>
    <row r="112" spans="1:17" ht="11.25" customHeight="1" hidden="1">
      <c r="A112" s="958"/>
      <c r="B112" s="46" t="s">
        <v>643</v>
      </c>
      <c r="C112" s="974"/>
      <c r="D112" s="975"/>
      <c r="E112" s="529">
        <f>F112+G112</f>
        <v>866000</v>
      </c>
      <c r="F112" s="529">
        <v>130000</v>
      </c>
      <c r="G112" s="529">
        <v>736000</v>
      </c>
      <c r="H112" s="529"/>
      <c r="I112" s="529"/>
      <c r="J112" s="529"/>
      <c r="K112" s="529"/>
      <c r="L112" s="529"/>
      <c r="M112" s="529"/>
      <c r="N112" s="529"/>
      <c r="O112" s="529"/>
      <c r="P112" s="529"/>
      <c r="Q112" s="530"/>
    </row>
    <row r="113" spans="1:17" ht="11.25" customHeight="1" hidden="1" thickBot="1">
      <c r="A113" s="959"/>
      <c r="B113" s="519" t="s">
        <v>28</v>
      </c>
      <c r="C113" s="976"/>
      <c r="D113" s="977"/>
      <c r="E113" s="531"/>
      <c r="F113" s="531"/>
      <c r="G113" s="531"/>
      <c r="H113" s="531"/>
      <c r="I113" s="531"/>
      <c r="J113" s="531"/>
      <c r="K113" s="531"/>
      <c r="L113" s="531"/>
      <c r="M113" s="531"/>
      <c r="N113" s="531"/>
      <c r="O113" s="531"/>
      <c r="P113" s="531"/>
      <c r="Q113" s="532"/>
    </row>
    <row r="114" spans="1:18" s="51" customFormat="1" ht="12.75" customHeight="1" thickBot="1">
      <c r="A114" s="734">
        <v>1</v>
      </c>
      <c r="B114" s="608" t="s">
        <v>684</v>
      </c>
      <c r="C114" s="999" t="s">
        <v>631</v>
      </c>
      <c r="D114" s="999"/>
      <c r="E114" s="609">
        <f aca="true" t="shared" si="10" ref="E114:Q114">E119+E128+E137</f>
        <v>2005239</v>
      </c>
      <c r="F114" s="609">
        <f t="shared" si="10"/>
        <v>377822</v>
      </c>
      <c r="G114" s="609">
        <f t="shared" si="10"/>
        <v>1627417</v>
      </c>
      <c r="H114" s="609">
        <f t="shared" si="10"/>
        <v>1129079</v>
      </c>
      <c r="I114" s="609">
        <f t="shared" si="10"/>
        <v>285665</v>
      </c>
      <c r="J114" s="609">
        <f t="shared" si="10"/>
        <v>0</v>
      </c>
      <c r="K114" s="609">
        <f t="shared" si="10"/>
        <v>0</v>
      </c>
      <c r="L114" s="609">
        <f t="shared" si="10"/>
        <v>285665</v>
      </c>
      <c r="M114" s="609">
        <f t="shared" si="10"/>
        <v>843414</v>
      </c>
      <c r="N114" s="609">
        <f t="shared" si="10"/>
        <v>0</v>
      </c>
      <c r="O114" s="609">
        <f t="shared" si="10"/>
        <v>0</v>
      </c>
      <c r="P114" s="609">
        <f t="shared" si="10"/>
        <v>0</v>
      </c>
      <c r="Q114" s="622">
        <f t="shared" si="10"/>
        <v>841811</v>
      </c>
      <c r="R114"/>
    </row>
    <row r="115" spans="1:17" ht="11.25" customHeight="1">
      <c r="A115" s="1023" t="s">
        <v>676</v>
      </c>
      <c r="B115" s="521" t="s">
        <v>677</v>
      </c>
      <c r="C115" s="575" t="s">
        <v>540</v>
      </c>
      <c r="D115" s="576"/>
      <c r="E115" s="576"/>
      <c r="F115" s="576"/>
      <c r="G115" s="576"/>
      <c r="H115" s="576"/>
      <c r="I115" s="576"/>
      <c r="J115" s="576"/>
      <c r="K115" s="576"/>
      <c r="L115" s="576"/>
      <c r="M115" s="576"/>
      <c r="N115" s="576"/>
      <c r="O115" s="576"/>
      <c r="P115" s="576"/>
      <c r="Q115" s="577"/>
    </row>
    <row r="116" spans="1:17" ht="11.25" customHeight="1">
      <c r="A116" s="1021"/>
      <c r="B116" s="46" t="s">
        <v>678</v>
      </c>
      <c r="C116" s="575" t="s">
        <v>539</v>
      </c>
      <c r="D116" s="576"/>
      <c r="E116" s="576"/>
      <c r="F116" s="576"/>
      <c r="G116" s="576"/>
      <c r="H116" s="576"/>
      <c r="I116" s="576"/>
      <c r="J116" s="576"/>
      <c r="K116" s="576"/>
      <c r="L116" s="576"/>
      <c r="M116" s="576"/>
      <c r="N116" s="576"/>
      <c r="O116" s="576"/>
      <c r="P116" s="576"/>
      <c r="Q116" s="577"/>
    </row>
    <row r="117" spans="1:17" ht="11.25" customHeight="1">
      <c r="A117" s="1021"/>
      <c r="B117" s="46" t="s">
        <v>679</v>
      </c>
      <c r="C117" s="575" t="s">
        <v>541</v>
      </c>
      <c r="D117" s="576"/>
      <c r="E117" s="576"/>
      <c r="F117" s="576"/>
      <c r="G117" s="576"/>
      <c r="H117" s="576"/>
      <c r="I117" s="576"/>
      <c r="J117" s="576"/>
      <c r="K117" s="576"/>
      <c r="L117" s="576"/>
      <c r="M117" s="576"/>
      <c r="N117" s="576"/>
      <c r="O117" s="576"/>
      <c r="P117" s="576"/>
      <c r="Q117" s="577"/>
    </row>
    <row r="118" spans="1:17" ht="11.25" customHeight="1">
      <c r="A118" s="1021"/>
      <c r="B118" s="554" t="s">
        <v>680</v>
      </c>
      <c r="C118" s="575" t="s">
        <v>542</v>
      </c>
      <c r="D118" s="576"/>
      <c r="E118" s="576"/>
      <c r="F118" s="576"/>
      <c r="G118" s="576"/>
      <c r="H118" s="576"/>
      <c r="I118" s="576"/>
      <c r="J118" s="576"/>
      <c r="K118" s="576"/>
      <c r="L118" s="576"/>
      <c r="M118" s="576"/>
      <c r="N118" s="576"/>
      <c r="O118" s="576"/>
      <c r="P118" s="576"/>
      <c r="Q118" s="577"/>
    </row>
    <row r="119" spans="1:17" ht="11.25" customHeight="1">
      <c r="A119" s="1021"/>
      <c r="B119" s="604" t="s">
        <v>681</v>
      </c>
      <c r="C119" s="605"/>
      <c r="D119" s="607">
        <v>80309</v>
      </c>
      <c r="E119" s="606">
        <f>F119+G119</f>
        <v>890500</v>
      </c>
      <c r="F119" s="606">
        <v>62335</v>
      </c>
      <c r="G119" s="606">
        <v>828165</v>
      </c>
      <c r="H119" s="606">
        <f aca="true" t="shared" si="11" ref="H119:Q119">H120</f>
        <v>614084</v>
      </c>
      <c r="I119" s="606">
        <f t="shared" si="11"/>
        <v>185760</v>
      </c>
      <c r="J119" s="606">
        <f t="shared" si="11"/>
        <v>0</v>
      </c>
      <c r="K119" s="606">
        <f t="shared" si="11"/>
        <v>0</v>
      </c>
      <c r="L119" s="606">
        <f t="shared" si="11"/>
        <v>185760</v>
      </c>
      <c r="M119" s="606">
        <f t="shared" si="11"/>
        <v>428324</v>
      </c>
      <c r="N119" s="606">
        <f t="shared" si="11"/>
        <v>0</v>
      </c>
      <c r="O119" s="606">
        <f t="shared" si="11"/>
        <v>0</v>
      </c>
      <c r="P119" s="606">
        <f t="shared" si="11"/>
        <v>0</v>
      </c>
      <c r="Q119" s="623">
        <f t="shared" si="11"/>
        <v>428324</v>
      </c>
    </row>
    <row r="120" spans="1:17" ht="11.25" customHeight="1">
      <c r="A120" s="1021"/>
      <c r="B120" s="521" t="s">
        <v>27</v>
      </c>
      <c r="C120" s="964"/>
      <c r="D120" s="965"/>
      <c r="E120" s="517">
        <f>F120+G120</f>
        <v>614084</v>
      </c>
      <c r="F120" s="517">
        <v>185760</v>
      </c>
      <c r="G120" s="517">
        <v>428324</v>
      </c>
      <c r="H120" s="518">
        <f>I120+M120</f>
        <v>614084</v>
      </c>
      <c r="I120" s="518">
        <f>SUM(J120:L120)</f>
        <v>185760</v>
      </c>
      <c r="J120" s="518"/>
      <c r="K120" s="518"/>
      <c r="L120" s="518">
        <v>185760</v>
      </c>
      <c r="M120" s="518">
        <f>SUM(N120:Q120)</f>
        <v>428324</v>
      </c>
      <c r="N120" s="518"/>
      <c r="O120" s="518"/>
      <c r="P120" s="518"/>
      <c r="Q120" s="564">
        <v>428324</v>
      </c>
    </row>
    <row r="121" spans="1:17" ht="11.25" customHeight="1">
      <c r="A121" s="1021"/>
      <c r="B121" s="46" t="s">
        <v>641</v>
      </c>
      <c r="C121" s="966"/>
      <c r="D121" s="967"/>
      <c r="E121" s="515"/>
      <c r="F121" s="515"/>
      <c r="G121" s="515"/>
      <c r="H121" s="516"/>
      <c r="I121" s="516"/>
      <c r="J121" s="516"/>
      <c r="K121" s="516"/>
      <c r="L121" s="516"/>
      <c r="M121" s="516"/>
      <c r="N121" s="516"/>
      <c r="O121" s="516"/>
      <c r="P121" s="516"/>
      <c r="Q121" s="565"/>
    </row>
    <row r="122" spans="1:17" ht="11.25" customHeight="1">
      <c r="A122" s="1021"/>
      <c r="B122" s="46" t="s">
        <v>643</v>
      </c>
      <c r="C122" s="966"/>
      <c r="D122" s="967"/>
      <c r="E122" s="515"/>
      <c r="F122" s="515"/>
      <c r="G122" s="515"/>
      <c r="H122" s="516"/>
      <c r="I122" s="516"/>
      <c r="J122" s="516"/>
      <c r="K122" s="516"/>
      <c r="L122" s="516"/>
      <c r="M122" s="516"/>
      <c r="N122" s="516"/>
      <c r="O122" s="516"/>
      <c r="P122" s="516"/>
      <c r="Q122" s="565"/>
    </row>
    <row r="123" spans="1:17" ht="11.25" customHeight="1" thickBot="1">
      <c r="A123" s="1022"/>
      <c r="B123" s="519" t="s">
        <v>28</v>
      </c>
      <c r="C123" s="970"/>
      <c r="D123" s="971"/>
      <c r="E123" s="520"/>
      <c r="F123" s="520"/>
      <c r="G123" s="520"/>
      <c r="H123" s="522"/>
      <c r="I123" s="522"/>
      <c r="J123" s="522"/>
      <c r="K123" s="522"/>
      <c r="L123" s="522"/>
      <c r="M123" s="522"/>
      <c r="N123" s="522"/>
      <c r="O123" s="522"/>
      <c r="P123" s="522"/>
      <c r="Q123" s="566"/>
    </row>
    <row r="124" spans="1:17" ht="11.25" customHeight="1">
      <c r="A124" s="957" t="s">
        <v>682</v>
      </c>
      <c r="B124" s="639" t="s">
        <v>677</v>
      </c>
      <c r="C124" s="1000" t="s">
        <v>540</v>
      </c>
      <c r="D124" s="1001"/>
      <c r="E124" s="1001"/>
      <c r="F124" s="1001"/>
      <c r="G124" s="1001"/>
      <c r="H124" s="1001"/>
      <c r="I124" s="1001"/>
      <c r="J124" s="1001"/>
      <c r="K124" s="1001"/>
      <c r="L124" s="1001"/>
      <c r="M124" s="1001"/>
      <c r="N124" s="1001"/>
      <c r="O124" s="1001"/>
      <c r="P124" s="1001"/>
      <c r="Q124" s="1002"/>
    </row>
    <row r="125" spans="1:17" ht="11.25" customHeight="1">
      <c r="A125" s="960"/>
      <c r="B125" s="46" t="s">
        <v>678</v>
      </c>
      <c r="C125" s="575" t="s">
        <v>539</v>
      </c>
      <c r="D125" s="537"/>
      <c r="E125" s="537"/>
      <c r="F125" s="537"/>
      <c r="G125" s="537"/>
      <c r="H125" s="537"/>
      <c r="I125" s="537"/>
      <c r="J125" s="537"/>
      <c r="K125" s="537"/>
      <c r="L125" s="537"/>
      <c r="M125" s="537"/>
      <c r="N125" s="537"/>
      <c r="O125" s="537"/>
      <c r="P125" s="537"/>
      <c r="Q125" s="540"/>
    </row>
    <row r="126" spans="1:17" ht="11.25" customHeight="1">
      <c r="A126" s="960"/>
      <c r="B126" s="46" t="s">
        <v>679</v>
      </c>
      <c r="C126" s="575" t="s">
        <v>541</v>
      </c>
      <c r="D126" s="537"/>
      <c r="E126" s="537"/>
      <c r="F126" s="537"/>
      <c r="G126" s="537"/>
      <c r="H126" s="537"/>
      <c r="I126" s="537"/>
      <c r="J126" s="537"/>
      <c r="K126" s="537"/>
      <c r="L126" s="537"/>
      <c r="M126" s="537"/>
      <c r="N126" s="537"/>
      <c r="O126" s="537"/>
      <c r="P126" s="537"/>
      <c r="Q126" s="540"/>
    </row>
    <row r="127" spans="1:17" ht="11.25" customHeight="1">
      <c r="A127" s="960"/>
      <c r="B127" s="554" t="s">
        <v>680</v>
      </c>
      <c r="C127" s="539" t="s">
        <v>543</v>
      </c>
      <c r="D127" s="537"/>
      <c r="E127" s="537"/>
      <c r="F127" s="537"/>
      <c r="G127" s="537"/>
      <c r="H127" s="537"/>
      <c r="I127" s="537"/>
      <c r="J127" s="537"/>
      <c r="K127" s="537"/>
      <c r="L127" s="537"/>
      <c r="M127" s="537"/>
      <c r="N127" s="537"/>
      <c r="O127" s="537"/>
      <c r="P127" s="537"/>
      <c r="Q127" s="540"/>
    </row>
    <row r="128" spans="1:17" ht="11.25" customHeight="1">
      <c r="A128" s="960"/>
      <c r="B128" s="604" t="s">
        <v>681</v>
      </c>
      <c r="C128" s="607"/>
      <c r="D128" s="607">
        <v>85415</v>
      </c>
      <c r="E128" s="624">
        <f>F128+G128</f>
        <v>254550</v>
      </c>
      <c r="F128" s="624">
        <v>81456</v>
      </c>
      <c r="G128" s="624">
        <v>173094</v>
      </c>
      <c r="H128" s="624">
        <f>H129</f>
        <v>156235</v>
      </c>
      <c r="I128" s="624">
        <f aca="true" t="shared" si="12" ref="I128:Q128">I129</f>
        <v>49994</v>
      </c>
      <c r="J128" s="624">
        <f t="shared" si="12"/>
        <v>0</v>
      </c>
      <c r="K128" s="624">
        <f t="shared" si="12"/>
        <v>0</v>
      </c>
      <c r="L128" s="624">
        <f t="shared" si="12"/>
        <v>49994</v>
      </c>
      <c r="M128" s="624">
        <f t="shared" si="12"/>
        <v>106241</v>
      </c>
      <c r="N128" s="624">
        <f t="shared" si="12"/>
        <v>0</v>
      </c>
      <c r="O128" s="624">
        <f t="shared" si="12"/>
        <v>0</v>
      </c>
      <c r="P128" s="624">
        <f t="shared" si="12"/>
        <v>0</v>
      </c>
      <c r="Q128" s="625">
        <f t="shared" si="12"/>
        <v>104638</v>
      </c>
    </row>
    <row r="129" spans="1:17" ht="11.25" customHeight="1">
      <c r="A129" s="960"/>
      <c r="B129" s="521" t="s">
        <v>27</v>
      </c>
      <c r="C129" s="964"/>
      <c r="D129" s="965"/>
      <c r="E129" s="626">
        <f>F129+G129</f>
        <v>156235</v>
      </c>
      <c r="F129" s="626">
        <v>49994</v>
      </c>
      <c r="G129" s="626">
        <v>106241</v>
      </c>
      <c r="H129" s="626">
        <f>I129+M129</f>
        <v>156235</v>
      </c>
      <c r="I129" s="626">
        <f>SUM(J129:L129)</f>
        <v>49994</v>
      </c>
      <c r="J129" s="626"/>
      <c r="K129" s="626"/>
      <c r="L129" s="626">
        <v>49994</v>
      </c>
      <c r="M129" s="626">
        <v>106241</v>
      </c>
      <c r="N129" s="626"/>
      <c r="O129" s="626"/>
      <c r="P129" s="626"/>
      <c r="Q129" s="627">
        <v>104638</v>
      </c>
    </row>
    <row r="130" spans="1:17" ht="11.25" customHeight="1">
      <c r="A130" s="960"/>
      <c r="B130" s="46" t="s">
        <v>641</v>
      </c>
      <c r="C130" s="966"/>
      <c r="D130" s="967"/>
      <c r="E130" s="529"/>
      <c r="F130" s="529"/>
      <c r="G130" s="529"/>
      <c r="H130" s="529"/>
      <c r="I130" s="529"/>
      <c r="J130" s="529"/>
      <c r="K130" s="529"/>
      <c r="L130" s="529"/>
      <c r="M130" s="529"/>
      <c r="N130" s="529"/>
      <c r="O130" s="529"/>
      <c r="P130" s="529"/>
      <c r="Q130" s="530"/>
    </row>
    <row r="131" spans="1:17" ht="11.25" customHeight="1">
      <c r="A131" s="960"/>
      <c r="B131" s="46" t="s">
        <v>643</v>
      </c>
      <c r="C131" s="966"/>
      <c r="D131" s="967"/>
      <c r="E131" s="529"/>
      <c r="F131" s="529"/>
      <c r="G131" s="529"/>
      <c r="H131" s="529"/>
      <c r="I131" s="529"/>
      <c r="J131" s="529"/>
      <c r="K131" s="529"/>
      <c r="L131" s="529"/>
      <c r="M131" s="529"/>
      <c r="N131" s="529"/>
      <c r="O131" s="529"/>
      <c r="P131" s="529"/>
      <c r="Q131" s="530"/>
    </row>
    <row r="132" spans="1:17" ht="11.25" customHeight="1" thickBot="1">
      <c r="A132" s="961"/>
      <c r="B132" s="519" t="s">
        <v>28</v>
      </c>
      <c r="C132" s="970"/>
      <c r="D132" s="971"/>
      <c r="E132" s="531"/>
      <c r="F132" s="531"/>
      <c r="G132" s="531"/>
      <c r="H132" s="531"/>
      <c r="I132" s="531"/>
      <c r="J132" s="531"/>
      <c r="K132" s="531"/>
      <c r="L132" s="531"/>
      <c r="M132" s="531"/>
      <c r="N132" s="531"/>
      <c r="O132" s="531"/>
      <c r="P132" s="531"/>
      <c r="Q132" s="532"/>
    </row>
    <row r="133" spans="1:17" ht="11.25" customHeight="1">
      <c r="A133" s="962" t="s">
        <v>683</v>
      </c>
      <c r="B133" s="521" t="s">
        <v>677</v>
      </c>
      <c r="C133" s="539" t="s">
        <v>544</v>
      </c>
      <c r="D133" s="537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47"/>
    </row>
    <row r="134" spans="1:17" ht="11.25" customHeight="1">
      <c r="A134" s="962"/>
      <c r="B134" s="46" t="s">
        <v>678</v>
      </c>
      <c r="C134" s="539" t="s">
        <v>545</v>
      </c>
      <c r="D134" s="537"/>
      <c r="E134" s="528"/>
      <c r="F134" s="528"/>
      <c r="G134" s="528"/>
      <c r="H134" s="528"/>
      <c r="I134" s="528"/>
      <c r="J134" s="528"/>
      <c r="K134" s="528"/>
      <c r="L134" s="528"/>
      <c r="M134" s="528"/>
      <c r="N134" s="528"/>
      <c r="O134" s="528"/>
      <c r="P134" s="528"/>
      <c r="Q134" s="547"/>
    </row>
    <row r="135" spans="1:17" ht="11.25" customHeight="1">
      <c r="A135" s="962"/>
      <c r="B135" s="46" t="s">
        <v>679</v>
      </c>
      <c r="C135" s="539" t="s">
        <v>549</v>
      </c>
      <c r="D135" s="537"/>
      <c r="E135" s="528"/>
      <c r="F135" s="528"/>
      <c r="G135" s="528"/>
      <c r="H135" s="528"/>
      <c r="I135" s="528"/>
      <c r="J135" s="528"/>
      <c r="K135" s="528"/>
      <c r="L135" s="528"/>
      <c r="M135" s="528"/>
      <c r="N135" s="528"/>
      <c r="O135" s="528"/>
      <c r="P135" s="528"/>
      <c r="Q135" s="547"/>
    </row>
    <row r="136" spans="1:17" ht="11.25" customHeight="1">
      <c r="A136" s="962"/>
      <c r="B136" s="554" t="s">
        <v>680</v>
      </c>
      <c r="C136" s="536" t="s">
        <v>546</v>
      </c>
      <c r="D136" s="537"/>
      <c r="E136" s="528"/>
      <c r="F136" s="528"/>
      <c r="G136" s="528"/>
      <c r="H136" s="528"/>
      <c r="I136" s="528"/>
      <c r="J136" s="528"/>
      <c r="K136" s="528"/>
      <c r="L136" s="528"/>
      <c r="M136" s="528"/>
      <c r="N136" s="528"/>
      <c r="O136" s="528"/>
      <c r="P136" s="528"/>
      <c r="Q136" s="547"/>
    </row>
    <row r="137" spans="1:17" ht="11.25" customHeight="1">
      <c r="A137" s="962"/>
      <c r="B137" s="604" t="s">
        <v>681</v>
      </c>
      <c r="C137" s="607"/>
      <c r="D137" s="607">
        <v>85395</v>
      </c>
      <c r="E137" s="624">
        <f>F137+G137</f>
        <v>860189</v>
      </c>
      <c r="F137" s="624">
        <v>234031</v>
      </c>
      <c r="G137" s="624">
        <v>626158</v>
      </c>
      <c r="H137" s="624">
        <f>H138</f>
        <v>358760</v>
      </c>
      <c r="I137" s="624">
        <f aca="true" t="shared" si="13" ref="I137:Q137">I138</f>
        <v>49911</v>
      </c>
      <c r="J137" s="624">
        <f t="shared" si="13"/>
        <v>0</v>
      </c>
      <c r="K137" s="624">
        <f t="shared" si="13"/>
        <v>0</v>
      </c>
      <c r="L137" s="624">
        <f t="shared" si="13"/>
        <v>49911</v>
      </c>
      <c r="M137" s="624">
        <f t="shared" si="13"/>
        <v>308849</v>
      </c>
      <c r="N137" s="624">
        <f t="shared" si="13"/>
        <v>0</v>
      </c>
      <c r="O137" s="624">
        <f t="shared" si="13"/>
        <v>0</v>
      </c>
      <c r="P137" s="624">
        <f t="shared" si="13"/>
        <v>0</v>
      </c>
      <c r="Q137" s="625">
        <f t="shared" si="13"/>
        <v>308849</v>
      </c>
    </row>
    <row r="138" spans="1:17" ht="11.25" customHeight="1">
      <c r="A138" s="962"/>
      <c r="B138" s="610" t="s">
        <v>27</v>
      </c>
      <c r="C138" s="964">
        <v>21</v>
      </c>
      <c r="D138" s="965"/>
      <c r="E138" s="626">
        <f>F138+G138</f>
        <v>358760</v>
      </c>
      <c r="F138" s="626">
        <v>49911</v>
      </c>
      <c r="G138" s="626">
        <v>308849</v>
      </c>
      <c r="H138" s="626">
        <f>I138+M138</f>
        <v>358760</v>
      </c>
      <c r="I138" s="626">
        <f>SUM(J138:L138)</f>
        <v>49911</v>
      </c>
      <c r="J138" s="626"/>
      <c r="K138" s="626"/>
      <c r="L138" s="626">
        <v>49911</v>
      </c>
      <c r="M138" s="626">
        <f>SUM(N138:Q138)</f>
        <v>308849</v>
      </c>
      <c r="N138" s="626"/>
      <c r="O138" s="626"/>
      <c r="P138" s="626"/>
      <c r="Q138" s="627">
        <v>308849</v>
      </c>
    </row>
    <row r="139" spans="1:17" ht="11.25" customHeight="1">
      <c r="A139" s="962"/>
      <c r="B139" s="578" t="s">
        <v>641</v>
      </c>
      <c r="C139" s="966"/>
      <c r="D139" s="967"/>
      <c r="E139" s="529"/>
      <c r="F139" s="529"/>
      <c r="G139" s="529"/>
      <c r="H139" s="529"/>
      <c r="I139" s="529"/>
      <c r="J139" s="529"/>
      <c r="K139" s="529"/>
      <c r="L139" s="529"/>
      <c r="M139" s="529"/>
      <c r="N139" s="529"/>
      <c r="O139" s="529"/>
      <c r="P139" s="529"/>
      <c r="Q139" s="530"/>
    </row>
    <row r="140" spans="1:17" ht="11.25" customHeight="1">
      <c r="A140" s="962"/>
      <c r="B140" s="578" t="s">
        <v>643</v>
      </c>
      <c r="C140" s="966"/>
      <c r="D140" s="967"/>
      <c r="E140" s="529"/>
      <c r="F140" s="529"/>
      <c r="G140" s="529"/>
      <c r="H140" s="529"/>
      <c r="I140" s="529"/>
      <c r="J140" s="529"/>
      <c r="K140" s="529"/>
      <c r="L140" s="529"/>
      <c r="M140" s="529"/>
      <c r="N140" s="529"/>
      <c r="O140" s="529"/>
      <c r="P140" s="529"/>
      <c r="Q140" s="530"/>
    </row>
    <row r="141" spans="1:17" ht="11.25" customHeight="1">
      <c r="A141" s="963"/>
      <c r="B141" s="578" t="s">
        <v>28</v>
      </c>
      <c r="C141" s="968"/>
      <c r="D141" s="969"/>
      <c r="E141" s="534"/>
      <c r="F141" s="534"/>
      <c r="G141" s="534"/>
      <c r="H141" s="534"/>
      <c r="I141" s="534"/>
      <c r="J141" s="534"/>
      <c r="K141" s="534"/>
      <c r="L141" s="534"/>
      <c r="M141" s="534"/>
      <c r="N141" s="534"/>
      <c r="O141" s="534"/>
      <c r="P141" s="534"/>
      <c r="Q141" s="553"/>
    </row>
    <row r="142" spans="1:17" s="51" customFormat="1" ht="12.75" customHeight="1" thickBot="1">
      <c r="A142" s="1017" t="s">
        <v>585</v>
      </c>
      <c r="B142" s="1018"/>
      <c r="C142" s="997" t="s">
        <v>631</v>
      </c>
      <c r="D142" s="998"/>
      <c r="E142" s="557">
        <f>E114</f>
        <v>2005239</v>
      </c>
      <c r="F142" s="557">
        <f aca="true" t="shared" si="14" ref="F142:Q142">F114</f>
        <v>377822</v>
      </c>
      <c r="G142" s="557">
        <f t="shared" si="14"/>
        <v>1627417</v>
      </c>
      <c r="H142" s="557">
        <f t="shared" si="14"/>
        <v>1129079</v>
      </c>
      <c r="I142" s="557">
        <f t="shared" si="14"/>
        <v>285665</v>
      </c>
      <c r="J142" s="557">
        <f t="shared" si="14"/>
        <v>0</v>
      </c>
      <c r="K142" s="557">
        <f t="shared" si="14"/>
        <v>0</v>
      </c>
      <c r="L142" s="557">
        <f>L114</f>
        <v>285665</v>
      </c>
      <c r="M142" s="557">
        <f t="shared" si="14"/>
        <v>843414</v>
      </c>
      <c r="N142" s="557">
        <f t="shared" si="14"/>
        <v>0</v>
      </c>
      <c r="O142" s="557">
        <f t="shared" si="14"/>
        <v>0</v>
      </c>
      <c r="P142" s="557">
        <f>P114</f>
        <v>0</v>
      </c>
      <c r="Q142" s="557">
        <f t="shared" si="14"/>
        <v>841811</v>
      </c>
    </row>
    <row r="144" spans="1:10" ht="24" customHeight="1">
      <c r="A144" s="1019" t="s">
        <v>685</v>
      </c>
      <c r="B144" s="1019"/>
      <c r="C144" s="1019"/>
      <c r="D144" s="1019"/>
      <c r="E144" s="1019"/>
      <c r="F144" s="1019"/>
      <c r="G144" s="1019"/>
      <c r="H144" s="1019"/>
      <c r="I144" s="1019"/>
      <c r="J144" s="1019"/>
    </row>
    <row r="145" spans="1:10" ht="24" customHeight="1">
      <c r="A145" s="55" t="s">
        <v>8</v>
      </c>
      <c r="B145" s="55"/>
      <c r="C145" s="55"/>
      <c r="D145" s="55"/>
      <c r="E145" s="55"/>
      <c r="F145" s="55"/>
      <c r="G145" s="55"/>
      <c r="H145" s="55"/>
      <c r="I145" s="55"/>
      <c r="J145" s="55"/>
    </row>
    <row r="146" spans="1:10" ht="24" customHeight="1">
      <c r="A146" s="55" t="s">
        <v>29</v>
      </c>
      <c r="B146" s="55"/>
      <c r="C146" s="55"/>
      <c r="D146" s="55"/>
      <c r="E146" s="55"/>
      <c r="F146" s="55"/>
      <c r="G146" s="55"/>
      <c r="H146" s="55"/>
      <c r="I146" s="55"/>
      <c r="J146" s="55"/>
    </row>
  </sheetData>
  <mergeCells count="62">
    <mergeCell ref="A142:B142"/>
    <mergeCell ref="A144:J144"/>
    <mergeCell ref="A15:A23"/>
    <mergeCell ref="A24:A32"/>
    <mergeCell ref="A115:A123"/>
    <mergeCell ref="C18:Q18"/>
    <mergeCell ref="C27:Q27"/>
    <mergeCell ref="A33:A41"/>
    <mergeCell ref="A42:A50"/>
    <mergeCell ref="A51:A59"/>
    <mergeCell ref="A7:A12"/>
    <mergeCell ref="B7:B12"/>
    <mergeCell ref="C7:C12"/>
    <mergeCell ref="D7:D12"/>
    <mergeCell ref="C29:D32"/>
    <mergeCell ref="E7:E12"/>
    <mergeCell ref="M10:Q10"/>
    <mergeCell ref="H9:H12"/>
    <mergeCell ref="I10:L10"/>
    <mergeCell ref="I11:I12"/>
    <mergeCell ref="J11:L11"/>
    <mergeCell ref="F8:F12"/>
    <mergeCell ref="G8:G12"/>
    <mergeCell ref="F7:G7"/>
    <mergeCell ref="A5:Q5"/>
    <mergeCell ref="C142:D142"/>
    <mergeCell ref="C114:D114"/>
    <mergeCell ref="C124:Q124"/>
    <mergeCell ref="N11:Q11"/>
    <mergeCell ref="C14:D14"/>
    <mergeCell ref="M11:M12"/>
    <mergeCell ref="H7:Q7"/>
    <mergeCell ref="H8:Q8"/>
    <mergeCell ref="I9:Q9"/>
    <mergeCell ref="C92:D95"/>
    <mergeCell ref="A60:A68"/>
    <mergeCell ref="A69:A77"/>
    <mergeCell ref="C36:Q36"/>
    <mergeCell ref="C45:Q45"/>
    <mergeCell ref="C54:Q54"/>
    <mergeCell ref="C72:Q72"/>
    <mergeCell ref="C38:D41"/>
    <mergeCell ref="C74:D77"/>
    <mergeCell ref="C83:D86"/>
    <mergeCell ref="C101:D104"/>
    <mergeCell ref="C110:D113"/>
    <mergeCell ref="C120:D123"/>
    <mergeCell ref="C20:D23"/>
    <mergeCell ref="C56:D59"/>
    <mergeCell ref="C65:D68"/>
    <mergeCell ref="C47:D50"/>
    <mergeCell ref="C81:Q81"/>
    <mergeCell ref="C90:Q90"/>
    <mergeCell ref="C99:Q99"/>
    <mergeCell ref="A124:A132"/>
    <mergeCell ref="A133:A141"/>
    <mergeCell ref="C138:D141"/>
    <mergeCell ref="C129:D132"/>
    <mergeCell ref="A78:A86"/>
    <mergeCell ref="A87:A95"/>
    <mergeCell ref="A96:A104"/>
    <mergeCell ref="A105:A113"/>
  </mergeCells>
  <printOptions/>
  <pageMargins left="0.1968503937007874" right="0.3937007874015748" top="0.5905511811023623" bottom="0.1968503937007874" header="0.15748031496062992" footer="0.1968503937007874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view="pageBreakPreview" zoomScaleSheetLayoutView="100" workbookViewId="0" topLeftCell="A7">
      <selection activeCell="E32" sqref="E3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8.75390625" style="1" customWidth="1"/>
    <col min="4" max="4" width="11.75390625" style="1" hidden="1" customWidth="1"/>
    <col min="5" max="5" width="13.375" style="1" customWidth="1"/>
    <col min="6" max="6" width="8.125" style="1" hidden="1" customWidth="1"/>
    <col min="7" max="16384" width="9.125" style="1" customWidth="1"/>
  </cols>
  <sheetData>
    <row r="1" ht="12.75">
      <c r="E1" s="6" t="s">
        <v>352</v>
      </c>
    </row>
    <row r="2" ht="12.75">
      <c r="E2" s="1" t="s">
        <v>353</v>
      </c>
    </row>
    <row r="3" ht="12.75">
      <c r="E3" s="1" t="s">
        <v>218</v>
      </c>
    </row>
    <row r="4" ht="12.75">
      <c r="E4" s="1" t="s">
        <v>722</v>
      </c>
    </row>
    <row r="6" spans="1:5" ht="15" customHeight="1">
      <c r="A6" s="1030" t="s">
        <v>657</v>
      </c>
      <c r="B6" s="1030"/>
      <c r="C6" s="1030"/>
      <c r="D6" s="1030"/>
      <c r="E6" s="1030"/>
    </row>
    <row r="7" ht="6.75" customHeight="1">
      <c r="A7" s="16"/>
    </row>
    <row r="8" ht="13.5" thickBot="1">
      <c r="E8" s="10" t="s">
        <v>626</v>
      </c>
    </row>
    <row r="9" spans="1:6" ht="15" customHeight="1">
      <c r="A9" s="951" t="s">
        <v>645</v>
      </c>
      <c r="B9" s="953" t="s">
        <v>591</v>
      </c>
      <c r="C9" s="954" t="s">
        <v>646</v>
      </c>
      <c r="D9" s="1031" t="s">
        <v>213</v>
      </c>
      <c r="E9" s="954" t="s">
        <v>647</v>
      </c>
      <c r="F9" s="955" t="s">
        <v>214</v>
      </c>
    </row>
    <row r="10" spans="1:6" ht="15" customHeight="1">
      <c r="A10" s="952"/>
      <c r="B10" s="946"/>
      <c r="C10" s="946"/>
      <c r="D10" s="1032"/>
      <c r="E10" s="947"/>
      <c r="F10" s="956"/>
    </row>
    <row r="11" spans="1:6" ht="15.75" customHeight="1">
      <c r="A11" s="952"/>
      <c r="B11" s="946"/>
      <c r="C11" s="946"/>
      <c r="D11" s="1033"/>
      <c r="E11" s="947"/>
      <c r="F11" s="956"/>
    </row>
    <row r="12" spans="1:6" s="53" customFormat="1" ht="6.75" customHeight="1">
      <c r="A12" s="737">
        <v>1</v>
      </c>
      <c r="B12" s="52">
        <v>2</v>
      </c>
      <c r="C12" s="52">
        <v>3</v>
      </c>
      <c r="D12" s="52">
        <v>4</v>
      </c>
      <c r="E12" s="52">
        <v>5</v>
      </c>
      <c r="F12" s="738">
        <v>6</v>
      </c>
    </row>
    <row r="13" spans="1:6" s="53" customFormat="1" ht="13.5" customHeight="1">
      <c r="A13" s="166" t="s">
        <v>596</v>
      </c>
      <c r="B13" s="167" t="s">
        <v>215</v>
      </c>
      <c r="C13" s="52"/>
      <c r="D13" s="571" t="e">
        <f>'Dochody-ukł.wykon.'!E257</f>
        <v>#REF!</v>
      </c>
      <c r="E13" s="571">
        <f>'Dochody-ukł.wykon.'!H257</f>
        <v>35556867</v>
      </c>
      <c r="F13" s="739" t="e">
        <f aca="true" t="shared" si="0" ref="F13:F18">E13/D13*100</f>
        <v>#REF!</v>
      </c>
    </row>
    <row r="14" spans="1:6" s="53" customFormat="1" ht="13.5" customHeight="1">
      <c r="A14" s="168" t="s">
        <v>601</v>
      </c>
      <c r="B14" s="169" t="s">
        <v>660</v>
      </c>
      <c r="C14" s="52"/>
      <c r="D14" s="571" t="e">
        <f>'WYDATKI ukł.wyk.'!E653</f>
        <v>#REF!</v>
      </c>
      <c r="E14" s="571">
        <f>'WYDATKI ukł.wyk.'!H653</f>
        <v>33973495</v>
      </c>
      <c r="F14" s="739" t="e">
        <f t="shared" si="0"/>
        <v>#REF!</v>
      </c>
    </row>
    <row r="15" spans="1:6" s="53" customFormat="1" ht="13.5" customHeight="1">
      <c r="A15" s="168"/>
      <c r="B15" s="169" t="s">
        <v>216</v>
      </c>
      <c r="C15" s="52"/>
      <c r="D15" s="571" t="e">
        <f>D13-D14</f>
        <v>#REF!</v>
      </c>
      <c r="E15" s="571">
        <f>E13-E14</f>
        <v>1583372</v>
      </c>
      <c r="F15" s="739" t="e">
        <f t="shared" si="0"/>
        <v>#REF!</v>
      </c>
    </row>
    <row r="16" spans="1:8" s="53" customFormat="1" ht="13.5" customHeight="1">
      <c r="A16" s="170"/>
      <c r="B16" s="171" t="s">
        <v>217</v>
      </c>
      <c r="C16" s="52"/>
      <c r="D16" s="571">
        <f>D17-D26</f>
        <v>2748976</v>
      </c>
      <c r="E16" s="571">
        <f>E17-E26</f>
        <v>-1583372</v>
      </c>
      <c r="F16" s="739">
        <f t="shared" si="0"/>
        <v>-57.598611264703656</v>
      </c>
      <c r="H16" s="821"/>
    </row>
    <row r="17" spans="1:6" ht="18.75" customHeight="1">
      <c r="A17" s="755" t="s">
        <v>602</v>
      </c>
      <c r="B17" s="756" t="s">
        <v>610</v>
      </c>
      <c r="C17" s="21"/>
      <c r="D17" s="736">
        <f>SUM(D18:D25)</f>
        <v>3423049</v>
      </c>
      <c r="E17" s="736">
        <f>SUM(E18:E25)</f>
        <v>4000000</v>
      </c>
      <c r="F17" s="740">
        <f t="shared" si="0"/>
        <v>116.85488580502353</v>
      </c>
    </row>
    <row r="18" spans="1:6" ht="18.75" customHeight="1">
      <c r="A18" s="741" t="s">
        <v>597</v>
      </c>
      <c r="B18" s="23" t="s">
        <v>605</v>
      </c>
      <c r="C18" s="22" t="s">
        <v>611</v>
      </c>
      <c r="D18" s="214">
        <v>927418</v>
      </c>
      <c r="E18" s="572"/>
      <c r="F18" s="742">
        <f t="shared" si="0"/>
        <v>0</v>
      </c>
    </row>
    <row r="19" spans="1:6" ht="18.75" customHeight="1">
      <c r="A19" s="743" t="s">
        <v>598</v>
      </c>
      <c r="B19" s="25" t="s">
        <v>606</v>
      </c>
      <c r="C19" s="24" t="s">
        <v>611</v>
      </c>
      <c r="D19" s="212"/>
      <c r="E19" s="573"/>
      <c r="F19" s="744"/>
    </row>
    <row r="20" spans="1:6" ht="51">
      <c r="A20" s="743" t="s">
        <v>599</v>
      </c>
      <c r="B20" s="26" t="s">
        <v>16</v>
      </c>
      <c r="C20" s="24" t="s">
        <v>633</v>
      </c>
      <c r="D20" s="212"/>
      <c r="E20" s="573"/>
      <c r="F20" s="744"/>
    </row>
    <row r="21" spans="1:6" ht="18.75" customHeight="1">
      <c r="A21" s="743" t="s">
        <v>587</v>
      </c>
      <c r="B21" s="25" t="s">
        <v>613</v>
      </c>
      <c r="C21" s="24" t="s">
        <v>634</v>
      </c>
      <c r="D21" s="212"/>
      <c r="E21" s="573"/>
      <c r="F21" s="744"/>
    </row>
    <row r="22" spans="1:6" ht="18.75" customHeight="1">
      <c r="A22" s="743" t="s">
        <v>604</v>
      </c>
      <c r="B22" s="25" t="s">
        <v>17</v>
      </c>
      <c r="C22" s="24" t="s">
        <v>30</v>
      </c>
      <c r="D22" s="212"/>
      <c r="E22" s="573"/>
      <c r="F22" s="744"/>
    </row>
    <row r="23" spans="1:6" ht="18.75" customHeight="1">
      <c r="A23" s="743" t="s">
        <v>607</v>
      </c>
      <c r="B23" s="25" t="s">
        <v>608</v>
      </c>
      <c r="C23" s="24" t="s">
        <v>612</v>
      </c>
      <c r="D23" s="212">
        <v>2495631</v>
      </c>
      <c r="E23" s="573"/>
      <c r="F23" s="744">
        <f>E23/D23*100</f>
        <v>0</v>
      </c>
    </row>
    <row r="24" spans="1:6" ht="18.75" customHeight="1">
      <c r="A24" s="743" t="s">
        <v>609</v>
      </c>
      <c r="B24" s="25" t="s">
        <v>42</v>
      </c>
      <c r="C24" s="24" t="s">
        <v>651</v>
      </c>
      <c r="D24" s="212"/>
      <c r="E24" s="573">
        <v>4000000</v>
      </c>
      <c r="F24" s="744"/>
    </row>
    <row r="25" spans="1:6" ht="18.75" customHeight="1">
      <c r="A25" s="743" t="s">
        <v>615</v>
      </c>
      <c r="B25" s="28" t="s">
        <v>632</v>
      </c>
      <c r="C25" s="27" t="s">
        <v>614</v>
      </c>
      <c r="D25" s="574"/>
      <c r="E25" s="836"/>
      <c r="F25" s="745"/>
    </row>
    <row r="26" spans="1:6" ht="18.75" customHeight="1">
      <c r="A26" s="755" t="s">
        <v>623</v>
      </c>
      <c r="B26" s="756" t="s">
        <v>18</v>
      </c>
      <c r="C26" s="21"/>
      <c r="D26" s="213">
        <f>SUM(D27:D33)</f>
        <v>674073</v>
      </c>
      <c r="E26" s="736">
        <f>SUM(E27:E33)</f>
        <v>5583372</v>
      </c>
      <c r="F26" s="746">
        <f>E26/D26*100</f>
        <v>828.3037593851111</v>
      </c>
    </row>
    <row r="27" spans="1:6" ht="18.75" customHeight="1">
      <c r="A27" s="741" t="s">
        <v>597</v>
      </c>
      <c r="B27" s="23" t="s">
        <v>635</v>
      </c>
      <c r="C27" s="22" t="s">
        <v>617</v>
      </c>
      <c r="D27" s="214">
        <v>522825</v>
      </c>
      <c r="E27" s="572">
        <v>3990000</v>
      </c>
      <c r="F27" s="747">
        <f>E27/D27*100</f>
        <v>763.1616697747812</v>
      </c>
    </row>
    <row r="28" spans="1:6" ht="18.75" customHeight="1">
      <c r="A28" s="743" t="s">
        <v>598</v>
      </c>
      <c r="B28" s="25" t="s">
        <v>616</v>
      </c>
      <c r="C28" s="24" t="s">
        <v>617</v>
      </c>
      <c r="D28" s="212">
        <v>151248</v>
      </c>
      <c r="E28" s="573">
        <v>10000</v>
      </c>
      <c r="F28" s="748">
        <f>E28/D28*100</f>
        <v>6.611657674812228</v>
      </c>
    </row>
    <row r="29" spans="1:6" ht="38.25">
      <c r="A29" s="743" t="s">
        <v>599</v>
      </c>
      <c r="B29" s="26" t="s">
        <v>638</v>
      </c>
      <c r="C29" s="24" t="s">
        <v>639</v>
      </c>
      <c r="D29" s="212"/>
      <c r="E29" s="573"/>
      <c r="F29" s="744"/>
    </row>
    <row r="30" spans="1:6" ht="18.75" customHeight="1">
      <c r="A30" s="743" t="s">
        <v>587</v>
      </c>
      <c r="B30" s="25" t="s">
        <v>636</v>
      </c>
      <c r="C30" s="24" t="s">
        <v>630</v>
      </c>
      <c r="D30" s="212"/>
      <c r="E30" s="573">
        <f>15000+288888</f>
        <v>303888</v>
      </c>
      <c r="F30" s="744">
        <v>0</v>
      </c>
    </row>
    <row r="31" spans="1:6" ht="18.75" customHeight="1">
      <c r="A31" s="743" t="s">
        <v>604</v>
      </c>
      <c r="B31" s="25" t="s">
        <v>637</v>
      </c>
      <c r="C31" s="24" t="s">
        <v>619</v>
      </c>
      <c r="D31" s="212"/>
      <c r="E31" s="573">
        <f>547847+1454637-723000</f>
        <v>1279484</v>
      </c>
      <c r="F31" s="744"/>
    </row>
    <row r="32" spans="1:6" ht="18.75" customHeight="1">
      <c r="A32" s="743" t="s">
        <v>607</v>
      </c>
      <c r="B32" s="25" t="s">
        <v>43</v>
      </c>
      <c r="C32" s="24" t="s">
        <v>620</v>
      </c>
      <c r="D32" s="212"/>
      <c r="E32" s="573"/>
      <c r="F32" s="744"/>
    </row>
    <row r="33" spans="1:6" ht="18.75" customHeight="1" thickBot="1">
      <c r="A33" s="749" t="s">
        <v>609</v>
      </c>
      <c r="B33" s="750" t="s">
        <v>621</v>
      </c>
      <c r="C33" s="751" t="s">
        <v>618</v>
      </c>
      <c r="D33" s="752"/>
      <c r="E33" s="753"/>
      <c r="F33" s="754"/>
    </row>
    <row r="34" spans="1:5" ht="7.5" customHeight="1">
      <c r="A34" s="3"/>
      <c r="B34" s="4"/>
      <c r="C34" s="4"/>
      <c r="D34" s="4"/>
      <c r="E34" s="4"/>
    </row>
    <row r="35" spans="1:7" ht="12.75">
      <c r="A35" s="39"/>
      <c r="B35" s="38"/>
      <c r="C35" s="38"/>
      <c r="D35" s="38"/>
      <c r="E35" s="38"/>
      <c r="F35" s="35"/>
      <c r="G35" s="35"/>
    </row>
  </sheetData>
  <mergeCells count="7">
    <mergeCell ref="F9:F11"/>
    <mergeCell ref="A6:E6"/>
    <mergeCell ref="A9:A11"/>
    <mergeCell ref="C9:C11"/>
    <mergeCell ref="B9:B11"/>
    <mergeCell ref="E9:E11"/>
    <mergeCell ref="D9:D11"/>
  </mergeCells>
  <printOptions horizontalCentered="1"/>
  <pageMargins left="0.74" right="0.3937007874015748" top="0.56" bottom="0.5905511811023623" header="0.5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workbookViewId="0" topLeftCell="A60">
      <selection activeCell="F22" sqref="F22"/>
    </sheetView>
  </sheetViews>
  <sheetFormatPr defaultColWidth="9.00390625" defaultRowHeight="12.75"/>
  <cols>
    <col min="1" max="1" width="4.625" style="89" customWidth="1"/>
    <col min="2" max="2" width="6.125" style="89" customWidth="1"/>
    <col min="3" max="3" width="5.00390625" style="89" customWidth="1"/>
    <col min="4" max="4" width="46.875" style="89" customWidth="1"/>
    <col min="5" max="5" width="13.00390625" style="89" customWidth="1"/>
    <col min="6" max="6" width="11.00390625" style="89" customWidth="1"/>
    <col min="7" max="16384" width="9.125" style="89" customWidth="1"/>
  </cols>
  <sheetData>
    <row r="1" spans="5:6" ht="12">
      <c r="E1" s="102"/>
      <c r="F1" s="90" t="s">
        <v>370</v>
      </c>
    </row>
    <row r="2" spans="5:6" ht="12">
      <c r="E2" s="102"/>
      <c r="F2" s="90" t="s">
        <v>371</v>
      </c>
    </row>
    <row r="3" spans="5:6" ht="12">
      <c r="E3" s="102"/>
      <c r="F3" s="90" t="s">
        <v>218</v>
      </c>
    </row>
    <row r="4" spans="5:6" ht="12">
      <c r="E4" s="102"/>
      <c r="F4" s="90" t="s">
        <v>723</v>
      </c>
    </row>
    <row r="9" spans="1:6" ht="16.5" customHeight="1">
      <c r="A9" s="1034" t="s">
        <v>372</v>
      </c>
      <c r="B9" s="1034"/>
      <c r="C9" s="1034"/>
      <c r="D9" s="1034"/>
      <c r="E9" s="1034"/>
      <c r="F9" s="1034"/>
    </row>
    <row r="10" spans="1:6" ht="15.75">
      <c r="A10" s="1035" t="s">
        <v>553</v>
      </c>
      <c r="B10" s="1035"/>
      <c r="C10" s="1035"/>
      <c r="D10" s="1035"/>
      <c r="E10" s="1035"/>
      <c r="F10" s="1035"/>
    </row>
    <row r="11" spans="1:6" ht="20.25" customHeight="1">
      <c r="A11" s="1035" t="s">
        <v>552</v>
      </c>
      <c r="B11" s="1035"/>
      <c r="C11" s="1035"/>
      <c r="D11" s="1035"/>
      <c r="E11" s="1035"/>
      <c r="F11" s="1035"/>
    </row>
    <row r="12" spans="2:6" ht="9.75">
      <c r="B12" s="93"/>
      <c r="C12" s="93"/>
      <c r="D12" s="93"/>
      <c r="E12" s="93"/>
      <c r="F12" s="93"/>
    </row>
    <row r="13" spans="5:6" ht="10.5" thickBot="1">
      <c r="E13" s="328"/>
      <c r="F13" s="328"/>
    </row>
    <row r="14" spans="1:7" ht="11.25">
      <c r="A14" s="330" t="s">
        <v>72</v>
      </c>
      <c r="B14" s="331" t="s">
        <v>625</v>
      </c>
      <c r="C14" s="331" t="s">
        <v>590</v>
      </c>
      <c r="D14" s="331" t="s">
        <v>374</v>
      </c>
      <c r="E14" s="1036" t="s">
        <v>686</v>
      </c>
      <c r="F14" s="1038" t="s">
        <v>594</v>
      </c>
      <c r="G14" s="329" t="s">
        <v>791</v>
      </c>
    </row>
    <row r="15" spans="1:7" ht="11.25">
      <c r="A15" s="332"/>
      <c r="B15" s="333"/>
      <c r="C15" s="333"/>
      <c r="D15" s="334"/>
      <c r="E15" s="1015"/>
      <c r="F15" s="1039"/>
      <c r="G15" s="335" t="s">
        <v>792</v>
      </c>
    </row>
    <row r="16" spans="1:7" ht="12" thickBot="1">
      <c r="A16" s="336"/>
      <c r="B16" s="337"/>
      <c r="C16" s="338"/>
      <c r="D16" s="339"/>
      <c r="E16" s="1037"/>
      <c r="F16" s="1040"/>
      <c r="G16" s="340"/>
    </row>
    <row r="17" spans="1:7" s="100" customFormat="1" ht="10.5" customHeight="1" thickBot="1">
      <c r="A17" s="95">
        <v>1</v>
      </c>
      <c r="B17" s="97">
        <v>2</v>
      </c>
      <c r="C17" s="97">
        <v>3</v>
      </c>
      <c r="D17" s="97">
        <v>4</v>
      </c>
      <c r="E17" s="96">
        <v>5</v>
      </c>
      <c r="F17" s="98">
        <v>6</v>
      </c>
      <c r="G17" s="98"/>
    </row>
    <row r="18" spans="1:7" ht="13.5" thickBot="1">
      <c r="A18" s="58" t="s">
        <v>55</v>
      </c>
      <c r="B18" s="103"/>
      <c r="C18" s="103"/>
      <c r="D18" s="341" t="s">
        <v>56</v>
      </c>
      <c r="E18" s="342">
        <f>E19</f>
        <v>25000</v>
      </c>
      <c r="F18" s="343">
        <f>F19</f>
        <v>25000</v>
      </c>
      <c r="G18" s="343">
        <f>G23</f>
        <v>2276</v>
      </c>
    </row>
    <row r="19" spans="1:7" ht="12.75">
      <c r="A19" s="105"/>
      <c r="B19" s="60" t="s">
        <v>58</v>
      </c>
      <c r="C19" s="106"/>
      <c r="D19" s="344" t="s">
        <v>375</v>
      </c>
      <c r="E19" s="345">
        <f>E20</f>
        <v>25000</v>
      </c>
      <c r="F19" s="346">
        <f>SUM(F20:F21)</f>
        <v>25000</v>
      </c>
      <c r="G19" s="346"/>
    </row>
    <row r="20" spans="1:7" ht="12.75">
      <c r="A20" s="105"/>
      <c r="B20" s="107"/>
      <c r="C20" s="108" t="s">
        <v>259</v>
      </c>
      <c r="D20" s="125" t="s">
        <v>376</v>
      </c>
      <c r="E20" s="127">
        <f>'Dochody-ukł.wykon.'!H14</f>
        <v>25000</v>
      </c>
      <c r="F20" s="347"/>
      <c r="G20" s="347"/>
    </row>
    <row r="21" spans="1:7" ht="12.75">
      <c r="A21" s="105"/>
      <c r="B21" s="107"/>
      <c r="C21" s="108" t="s">
        <v>75</v>
      </c>
      <c r="D21" s="125" t="s">
        <v>76</v>
      </c>
      <c r="E21" s="127"/>
      <c r="F21" s="347">
        <f>'WYDATKI ukł.wyk.'!H17</f>
        <v>25000</v>
      </c>
      <c r="G21" s="347"/>
    </row>
    <row r="22" spans="1:7" ht="12.75">
      <c r="A22" s="105"/>
      <c r="B22" s="107"/>
      <c r="C22" s="108"/>
      <c r="D22" s="125"/>
      <c r="E22" s="127"/>
      <c r="F22" s="347"/>
      <c r="G22" s="347"/>
    </row>
    <row r="23" spans="1:7" ht="12.75">
      <c r="A23" s="105"/>
      <c r="B23" s="60" t="s">
        <v>789</v>
      </c>
      <c r="C23" s="111"/>
      <c r="D23" s="348" t="s">
        <v>790</v>
      </c>
      <c r="E23" s="842"/>
      <c r="F23" s="346"/>
      <c r="G23" s="346">
        <f>G24</f>
        <v>2276</v>
      </c>
    </row>
    <row r="24" spans="1:7" ht="12.75">
      <c r="A24" s="105"/>
      <c r="B24" s="107"/>
      <c r="C24" s="108" t="s">
        <v>786</v>
      </c>
      <c r="D24" s="125" t="s">
        <v>787</v>
      </c>
      <c r="E24" s="127"/>
      <c r="F24" s="347"/>
      <c r="G24" s="347">
        <v>2276</v>
      </c>
    </row>
    <row r="25" spans="1:7" ht="12.75">
      <c r="A25" s="114"/>
      <c r="B25" s="107"/>
      <c r="C25" s="108"/>
      <c r="D25" s="125" t="s">
        <v>788</v>
      </c>
      <c r="E25" s="127"/>
      <c r="F25" s="347"/>
      <c r="G25" s="347"/>
    </row>
    <row r="26" spans="1:7" ht="13.5" thickBot="1">
      <c r="A26" s="79">
        <v>700</v>
      </c>
      <c r="B26" s="103"/>
      <c r="C26" s="103"/>
      <c r="D26" s="134" t="s">
        <v>111</v>
      </c>
      <c r="E26" s="342">
        <f>E27</f>
        <v>55050</v>
      </c>
      <c r="F26" s="343">
        <f>F27</f>
        <v>55050</v>
      </c>
      <c r="G26" s="343">
        <f>G27</f>
        <v>358000</v>
      </c>
    </row>
    <row r="27" spans="1:7" ht="12.75">
      <c r="A27" s="114"/>
      <c r="B27" s="80">
        <v>70005</v>
      </c>
      <c r="C27" s="106"/>
      <c r="D27" s="348" t="s">
        <v>112</v>
      </c>
      <c r="E27" s="345">
        <f>E28</f>
        <v>55050</v>
      </c>
      <c r="F27" s="346">
        <f>SUM(F31:F38)</f>
        <v>55050</v>
      </c>
      <c r="G27" s="346">
        <f>G29</f>
        <v>358000</v>
      </c>
    </row>
    <row r="28" spans="1:7" ht="12.75">
      <c r="A28" s="114"/>
      <c r="B28" s="107"/>
      <c r="C28" s="108" t="s">
        <v>259</v>
      </c>
      <c r="D28" s="125" t="s">
        <v>376</v>
      </c>
      <c r="E28" s="127">
        <f>'Dochody-ukł.wykon.'!H41</f>
        <v>55050</v>
      </c>
      <c r="F28" s="347"/>
      <c r="G28" s="347"/>
    </row>
    <row r="29" spans="1:7" ht="12.75">
      <c r="A29" s="114"/>
      <c r="B29" s="107"/>
      <c r="C29" s="108" t="s">
        <v>786</v>
      </c>
      <c r="D29" s="125" t="s">
        <v>787</v>
      </c>
      <c r="E29" s="127"/>
      <c r="F29" s="347"/>
      <c r="G29" s="347">
        <v>358000</v>
      </c>
    </row>
    <row r="30" spans="1:7" ht="12.75">
      <c r="A30" s="114"/>
      <c r="B30" s="107"/>
      <c r="C30" s="108"/>
      <c r="D30" s="125" t="s">
        <v>788</v>
      </c>
      <c r="E30" s="127"/>
      <c r="F30" s="347"/>
      <c r="G30" s="347"/>
    </row>
    <row r="31" spans="1:7" ht="12.75">
      <c r="A31" s="114"/>
      <c r="B31" s="107"/>
      <c r="C31" s="130">
        <v>4110</v>
      </c>
      <c r="D31" s="126" t="s">
        <v>84</v>
      </c>
      <c r="E31" s="127"/>
      <c r="F31" s="349">
        <f>'WYDATKI ukł.wyk.'!H68</f>
        <v>5340</v>
      </c>
      <c r="G31" s="725"/>
    </row>
    <row r="32" spans="1:7" ht="12.75">
      <c r="A32" s="114"/>
      <c r="B32" s="107"/>
      <c r="C32" s="130">
        <v>4120</v>
      </c>
      <c r="D32" s="126" t="s">
        <v>377</v>
      </c>
      <c r="E32" s="127"/>
      <c r="F32" s="349">
        <f>'WYDATKI ukł.wyk.'!H69</f>
        <v>758</v>
      </c>
      <c r="G32" s="725"/>
    </row>
    <row r="33" spans="1:7" ht="12.75">
      <c r="A33" s="114"/>
      <c r="B33" s="107"/>
      <c r="C33" s="108" t="s">
        <v>757</v>
      </c>
      <c r="D33" s="125" t="s">
        <v>86</v>
      </c>
      <c r="E33" s="127"/>
      <c r="F33" s="349">
        <f>'WYDATKI ukł.wyk.'!H70</f>
        <v>13902</v>
      </c>
      <c r="G33" s="725"/>
    </row>
    <row r="34" spans="1:7" ht="12.75">
      <c r="A34" s="114"/>
      <c r="B34" s="107"/>
      <c r="C34" s="108" t="s">
        <v>175</v>
      </c>
      <c r="D34" s="125" t="s">
        <v>89</v>
      </c>
      <c r="E34" s="127"/>
      <c r="F34" s="349">
        <f>10000+8550-2913</f>
        <v>15637</v>
      </c>
      <c r="G34" s="725"/>
    </row>
    <row r="35" spans="1:7" ht="12.75">
      <c r="A35" s="114"/>
      <c r="B35" s="107"/>
      <c r="C35" s="108" t="s">
        <v>75</v>
      </c>
      <c r="D35" s="125" t="s">
        <v>76</v>
      </c>
      <c r="E35" s="127"/>
      <c r="F35" s="349">
        <f>10000+500+4464-580</f>
        <v>14384</v>
      </c>
      <c r="G35" s="725"/>
    </row>
    <row r="36" spans="1:7" ht="12.75">
      <c r="A36" s="114"/>
      <c r="B36" s="107"/>
      <c r="C36" s="108" t="s">
        <v>379</v>
      </c>
      <c r="D36" s="125" t="s">
        <v>95</v>
      </c>
      <c r="E36" s="127"/>
      <c r="F36" s="349">
        <f>600</f>
        <v>600</v>
      </c>
      <c r="G36" s="725"/>
    </row>
    <row r="37" spans="1:7" ht="12.75">
      <c r="A37" s="114"/>
      <c r="B37" s="107"/>
      <c r="C37" s="108" t="s">
        <v>113</v>
      </c>
      <c r="D37" s="125" t="s">
        <v>97</v>
      </c>
      <c r="E37" s="127"/>
      <c r="F37" s="349">
        <f>4900-1531</f>
        <v>3369</v>
      </c>
      <c r="G37" s="725"/>
    </row>
    <row r="38" spans="1:7" ht="12.75">
      <c r="A38" s="114"/>
      <c r="B38" s="107"/>
      <c r="C38" s="108" t="s">
        <v>114</v>
      </c>
      <c r="D38" s="126" t="s">
        <v>396</v>
      </c>
      <c r="E38" s="127"/>
      <c r="F38" s="349">
        <f>500-20+580</f>
        <v>1060</v>
      </c>
      <c r="G38" s="725"/>
    </row>
    <row r="39" spans="1:7" ht="12.75">
      <c r="A39" s="114"/>
      <c r="B39" s="107"/>
      <c r="C39" s="108"/>
      <c r="D39" s="125"/>
      <c r="E39" s="127"/>
      <c r="F39" s="347"/>
      <c r="G39" s="887"/>
    </row>
    <row r="40" spans="1:7" ht="13.5" thickBot="1">
      <c r="A40" s="79">
        <v>710</v>
      </c>
      <c r="B40" s="103"/>
      <c r="C40" s="117"/>
      <c r="D40" s="134" t="s">
        <v>116</v>
      </c>
      <c r="E40" s="342">
        <f>E41+E46+E50</f>
        <v>288145</v>
      </c>
      <c r="F40" s="343">
        <f>F41+F46+F50</f>
        <v>288145</v>
      </c>
      <c r="G40" s="888"/>
    </row>
    <row r="41" spans="1:7" ht="12.75">
      <c r="A41" s="114"/>
      <c r="B41" s="80">
        <v>71013</v>
      </c>
      <c r="C41" s="111"/>
      <c r="D41" s="348" t="s">
        <v>287</v>
      </c>
      <c r="E41" s="345">
        <f>E42</f>
        <v>40000</v>
      </c>
      <c r="F41" s="346">
        <f>SUM(F43:F44)</f>
        <v>40000</v>
      </c>
      <c r="G41" s="887"/>
    </row>
    <row r="42" spans="1:7" ht="12.75">
      <c r="A42" s="114"/>
      <c r="B42" s="107"/>
      <c r="C42" s="108" t="s">
        <v>259</v>
      </c>
      <c r="D42" s="125" t="s">
        <v>376</v>
      </c>
      <c r="E42" s="127">
        <f>'Dochody-ukł.wykon.'!H53</f>
        <v>40000</v>
      </c>
      <c r="F42" s="347"/>
      <c r="G42" s="887"/>
    </row>
    <row r="43" spans="1:7" ht="12.75">
      <c r="A43" s="114"/>
      <c r="B43" s="107"/>
      <c r="C43" s="108" t="s">
        <v>75</v>
      </c>
      <c r="D43" s="125" t="s">
        <v>76</v>
      </c>
      <c r="E43" s="127"/>
      <c r="F43" s="347">
        <f>'WYDATKI ukł.wyk.'!H80</f>
        <v>39520</v>
      </c>
      <c r="G43" s="887"/>
    </row>
    <row r="44" spans="1:7" ht="12.75">
      <c r="A44" s="114"/>
      <c r="B44" s="107"/>
      <c r="C44" s="108" t="s">
        <v>114</v>
      </c>
      <c r="D44" s="126" t="s">
        <v>115</v>
      </c>
      <c r="E44" s="127"/>
      <c r="F44" s="347">
        <f>'WYDATKI ukł.wyk.'!H81</f>
        <v>480</v>
      </c>
      <c r="G44" s="887"/>
    </row>
    <row r="45" spans="1:7" ht="12.75">
      <c r="A45" s="114"/>
      <c r="B45" s="107"/>
      <c r="C45" s="108"/>
      <c r="D45" s="125"/>
      <c r="E45" s="127"/>
      <c r="F45" s="347"/>
      <c r="G45" s="887"/>
    </row>
    <row r="46" spans="1:7" ht="12.75">
      <c r="A46" s="114"/>
      <c r="B46" s="80">
        <v>71014</v>
      </c>
      <c r="C46" s="111"/>
      <c r="D46" s="348" t="s">
        <v>118</v>
      </c>
      <c r="E46" s="345">
        <f>E47</f>
        <v>15000</v>
      </c>
      <c r="F46" s="346">
        <f>SUM(F48)</f>
        <v>15000</v>
      </c>
      <c r="G46" s="887"/>
    </row>
    <row r="47" spans="1:7" ht="12.75">
      <c r="A47" s="114"/>
      <c r="B47" s="107"/>
      <c r="C47" s="108" t="s">
        <v>259</v>
      </c>
      <c r="D47" s="125" t="s">
        <v>376</v>
      </c>
      <c r="E47" s="127">
        <f>'Dochody-ukł.wykon.'!H57</f>
        <v>15000</v>
      </c>
      <c r="F47" s="347"/>
      <c r="G47" s="887"/>
    </row>
    <row r="48" spans="1:7" ht="12.75">
      <c r="A48" s="114"/>
      <c r="B48" s="107"/>
      <c r="C48" s="108" t="s">
        <v>75</v>
      </c>
      <c r="D48" s="125" t="s">
        <v>76</v>
      </c>
      <c r="E48" s="127"/>
      <c r="F48" s="347">
        <f>'WYDATKI ukł.wyk.'!H84</f>
        <v>15000</v>
      </c>
      <c r="G48" s="887"/>
    </row>
    <row r="49" spans="1:7" ht="12.75">
      <c r="A49" s="114"/>
      <c r="B49" s="107"/>
      <c r="C49" s="108"/>
      <c r="D49" s="125"/>
      <c r="E49" s="127"/>
      <c r="F49" s="347"/>
      <c r="G49" s="887"/>
    </row>
    <row r="50" spans="1:7" ht="12.75">
      <c r="A50" s="114"/>
      <c r="B50" s="80">
        <v>71015</v>
      </c>
      <c r="C50" s="106"/>
      <c r="D50" s="348" t="s">
        <v>119</v>
      </c>
      <c r="E50" s="345">
        <f>SUM(E51:E51)</f>
        <v>233145</v>
      </c>
      <c r="F50" s="346">
        <f>SUM(F52:F69)</f>
        <v>233145</v>
      </c>
      <c r="G50" s="887"/>
    </row>
    <row r="51" spans="1:7" ht="12.75">
      <c r="A51" s="114"/>
      <c r="B51" s="107"/>
      <c r="C51" s="299">
        <v>2110</v>
      </c>
      <c r="D51" s="125" t="s">
        <v>376</v>
      </c>
      <c r="E51" s="127">
        <f>'Dochody-ukł.wykon.'!H61</f>
        <v>233145</v>
      </c>
      <c r="F51" s="347"/>
      <c r="G51" s="887"/>
    </row>
    <row r="52" spans="1:7" ht="12.75">
      <c r="A52" s="114"/>
      <c r="B52" s="107"/>
      <c r="C52" s="130">
        <v>4010</v>
      </c>
      <c r="D52" s="126" t="s">
        <v>82</v>
      </c>
      <c r="E52" s="127"/>
      <c r="F52" s="347">
        <f>'WYDATKI ukł.wyk.'!H87</f>
        <v>139996</v>
      </c>
      <c r="G52" s="887"/>
    </row>
    <row r="53" spans="1:7" ht="12.75">
      <c r="A53" s="114"/>
      <c r="B53" s="107"/>
      <c r="C53" s="130">
        <v>4040</v>
      </c>
      <c r="D53" s="126" t="s">
        <v>83</v>
      </c>
      <c r="E53" s="127"/>
      <c r="F53" s="347">
        <f>'WYDATKI ukł.wyk.'!H88</f>
        <v>9723</v>
      </c>
      <c r="G53" s="887"/>
    </row>
    <row r="54" spans="1:7" ht="12.75">
      <c r="A54" s="114"/>
      <c r="B54" s="107"/>
      <c r="C54" s="130">
        <v>4110</v>
      </c>
      <c r="D54" s="126" t="s">
        <v>84</v>
      </c>
      <c r="E54" s="127"/>
      <c r="F54" s="347">
        <f>'WYDATKI ukł.wyk.'!H89</f>
        <v>26586</v>
      </c>
      <c r="G54" s="887"/>
    </row>
    <row r="55" spans="1:7" ht="12.75">
      <c r="A55" s="114"/>
      <c r="B55" s="107"/>
      <c r="C55" s="130">
        <v>4120</v>
      </c>
      <c r="D55" s="126" t="s">
        <v>377</v>
      </c>
      <c r="E55" s="127"/>
      <c r="F55" s="347">
        <f>'WYDATKI ukł.wyk.'!H90</f>
        <v>3607</v>
      </c>
      <c r="G55" s="887"/>
    </row>
    <row r="56" spans="1:7" ht="12.75">
      <c r="A56" s="114"/>
      <c r="B56" s="107"/>
      <c r="C56" s="130">
        <v>4170</v>
      </c>
      <c r="D56" s="126" t="s">
        <v>86</v>
      </c>
      <c r="E56" s="127"/>
      <c r="F56" s="347">
        <f>'WYDATKI ukł.wyk.'!H91</f>
        <v>2200</v>
      </c>
      <c r="G56" s="887"/>
    </row>
    <row r="57" spans="1:7" ht="12.75">
      <c r="A57" s="114"/>
      <c r="B57" s="107"/>
      <c r="C57" s="130">
        <v>4210</v>
      </c>
      <c r="D57" s="126" t="s">
        <v>87</v>
      </c>
      <c r="E57" s="127"/>
      <c r="F57" s="347">
        <f>'WYDATKI ukł.wyk.'!H92</f>
        <v>18551</v>
      </c>
      <c r="G57" s="887"/>
    </row>
    <row r="58" spans="1:7" ht="12.75">
      <c r="A58" s="114"/>
      <c r="B58" s="107"/>
      <c r="C58" s="107">
        <v>4270</v>
      </c>
      <c r="D58" s="126" t="s">
        <v>89</v>
      </c>
      <c r="E58" s="127"/>
      <c r="F58" s="347">
        <f>'WYDATKI ukł.wyk.'!H93</f>
        <v>1385</v>
      </c>
      <c r="G58" s="887"/>
    </row>
    <row r="59" spans="1:7" ht="12.75">
      <c r="A59" s="114"/>
      <c r="B59" s="107"/>
      <c r="C59" s="130">
        <v>4280</v>
      </c>
      <c r="D59" s="126" t="s">
        <v>90</v>
      </c>
      <c r="E59" s="127"/>
      <c r="F59" s="347">
        <f>'WYDATKI ukł.wyk.'!H94</f>
        <v>107</v>
      </c>
      <c r="G59" s="887"/>
    </row>
    <row r="60" spans="1:7" ht="12.75">
      <c r="A60" s="114"/>
      <c r="B60" s="107"/>
      <c r="C60" s="350" t="s">
        <v>75</v>
      </c>
      <c r="D60" s="126" t="s">
        <v>76</v>
      </c>
      <c r="E60" s="127"/>
      <c r="F60" s="347">
        <f>'WYDATKI ukł.wyk.'!H95</f>
        <v>7852</v>
      </c>
      <c r="G60" s="887"/>
    </row>
    <row r="61" spans="1:7" ht="12.75">
      <c r="A61" s="114"/>
      <c r="B61" s="107"/>
      <c r="C61" s="107">
        <v>4350</v>
      </c>
      <c r="D61" s="126" t="s">
        <v>91</v>
      </c>
      <c r="E61" s="127"/>
      <c r="F61" s="347">
        <f>'WYDATKI ukł.wyk.'!H96</f>
        <v>2430</v>
      </c>
      <c r="G61" s="887"/>
    </row>
    <row r="62" spans="1:7" ht="12.75">
      <c r="A62" s="114"/>
      <c r="B62" s="107"/>
      <c r="C62" s="107">
        <v>4360</v>
      </c>
      <c r="D62" s="126" t="s">
        <v>92</v>
      </c>
      <c r="E62" s="127"/>
      <c r="F62" s="347">
        <f>'WYDATKI ukł.wyk.'!H97</f>
        <v>100</v>
      </c>
      <c r="G62" s="887"/>
    </row>
    <row r="63" spans="1:7" ht="12.75">
      <c r="A63" s="114"/>
      <c r="B63" s="107"/>
      <c r="C63" s="107">
        <v>4370</v>
      </c>
      <c r="D63" s="126" t="s">
        <v>378</v>
      </c>
      <c r="E63" s="127"/>
      <c r="F63" s="347">
        <f>'WYDATKI ukł.wyk.'!H98</f>
        <v>3378</v>
      </c>
      <c r="G63" s="887"/>
    </row>
    <row r="64" spans="1:7" ht="12.75">
      <c r="A64" s="114"/>
      <c r="B64" s="107"/>
      <c r="C64" s="107">
        <v>4400</v>
      </c>
      <c r="D64" s="126" t="s">
        <v>120</v>
      </c>
      <c r="E64" s="127"/>
      <c r="F64" s="347">
        <f>'WYDATKI ukł.wyk.'!H99</f>
        <v>5570</v>
      </c>
      <c r="G64" s="887"/>
    </row>
    <row r="65" spans="1:7" ht="12.75">
      <c r="A65" s="114"/>
      <c r="B65" s="107"/>
      <c r="C65" s="107">
        <v>4410</v>
      </c>
      <c r="D65" s="126" t="s">
        <v>94</v>
      </c>
      <c r="E65" s="127"/>
      <c r="F65" s="347">
        <f>'WYDATKI ukł.wyk.'!H100</f>
        <v>400</v>
      </c>
      <c r="G65" s="887"/>
    </row>
    <row r="66" spans="1:7" ht="12.75">
      <c r="A66" s="114"/>
      <c r="B66" s="107"/>
      <c r="C66" s="350" t="s">
        <v>379</v>
      </c>
      <c r="D66" s="126" t="s">
        <v>95</v>
      </c>
      <c r="E66" s="127"/>
      <c r="F66" s="347">
        <f>'WYDATKI ukł.wyk.'!H101</f>
        <v>1840</v>
      </c>
      <c r="G66" s="887"/>
    </row>
    <row r="67" spans="1:7" ht="12.75">
      <c r="A67" s="114"/>
      <c r="B67" s="107"/>
      <c r="C67" s="350" t="s">
        <v>380</v>
      </c>
      <c r="D67" s="126" t="s">
        <v>381</v>
      </c>
      <c r="E67" s="127"/>
      <c r="F67" s="347">
        <f>'WYDATKI ukł.wyk.'!H102</f>
        <v>3420</v>
      </c>
      <c r="G67" s="887"/>
    </row>
    <row r="68" spans="1:7" ht="12.75">
      <c r="A68" s="114"/>
      <c r="B68" s="107"/>
      <c r="C68" s="350" t="s">
        <v>114</v>
      </c>
      <c r="D68" s="125" t="s">
        <v>386</v>
      </c>
      <c r="E68" s="127"/>
      <c r="F68" s="347">
        <f>'WYDATKI ukł.wyk.'!H103</f>
        <v>900</v>
      </c>
      <c r="G68" s="887"/>
    </row>
    <row r="69" spans="1:7" ht="12.75">
      <c r="A69" s="114"/>
      <c r="B69" s="107"/>
      <c r="C69" s="141" t="s">
        <v>389</v>
      </c>
      <c r="D69" s="125" t="s">
        <v>390</v>
      </c>
      <c r="E69" s="127"/>
      <c r="F69" s="347">
        <f>'WYDATKI ukł.wyk.'!H104</f>
        <v>5100</v>
      </c>
      <c r="G69" s="887"/>
    </row>
    <row r="70" spans="1:7" ht="12.75">
      <c r="A70" s="105"/>
      <c r="B70" s="115"/>
      <c r="C70" s="107"/>
      <c r="D70" s="125"/>
      <c r="E70" s="127"/>
      <c r="F70" s="347"/>
      <c r="G70" s="887"/>
    </row>
    <row r="71" spans="1:7" ht="13.5" thickBot="1">
      <c r="A71" s="79">
        <v>750</v>
      </c>
      <c r="B71" s="103"/>
      <c r="C71" s="103"/>
      <c r="D71" s="134" t="s">
        <v>122</v>
      </c>
      <c r="E71" s="342">
        <f>E72+E93</f>
        <v>171399</v>
      </c>
      <c r="F71" s="343">
        <f>F72+F93</f>
        <v>171399</v>
      </c>
      <c r="G71" s="888"/>
    </row>
    <row r="72" spans="1:7" ht="12.75">
      <c r="A72" s="114"/>
      <c r="B72" s="80">
        <v>75011</v>
      </c>
      <c r="C72" s="106"/>
      <c r="D72" s="348" t="s">
        <v>123</v>
      </c>
      <c r="E72" s="345">
        <f>E73</f>
        <v>154421</v>
      </c>
      <c r="F72" s="346">
        <f>SUM(F74:F91)</f>
        <v>154421</v>
      </c>
      <c r="G72" s="887"/>
    </row>
    <row r="73" spans="1:7" ht="12.75">
      <c r="A73" s="114"/>
      <c r="B73" s="107"/>
      <c r="C73" s="107">
        <v>2110</v>
      </c>
      <c r="D73" s="125" t="s">
        <v>376</v>
      </c>
      <c r="E73" s="127">
        <f>'Dochody-ukł.wykon.'!H66</f>
        <v>154421</v>
      </c>
      <c r="F73" s="347"/>
      <c r="G73" s="887"/>
    </row>
    <row r="74" spans="1:7" ht="12.75">
      <c r="A74" s="114"/>
      <c r="B74" s="107"/>
      <c r="C74" s="130">
        <v>3020</v>
      </c>
      <c r="D74" s="113" t="s">
        <v>194</v>
      </c>
      <c r="E74" s="124"/>
      <c r="F74" s="349">
        <f>178+292</f>
        <v>470</v>
      </c>
      <c r="G74" s="725"/>
    </row>
    <row r="75" spans="1:7" ht="12.75">
      <c r="A75" s="114"/>
      <c r="B75" s="107"/>
      <c r="C75" s="130">
        <v>4010</v>
      </c>
      <c r="D75" s="126" t="s">
        <v>82</v>
      </c>
      <c r="E75" s="127"/>
      <c r="F75" s="349">
        <f>32406+27000+15000+4000</f>
        <v>78406</v>
      </c>
      <c r="G75" s="725"/>
    </row>
    <row r="76" spans="1:7" ht="12.75">
      <c r="A76" s="114"/>
      <c r="B76" s="107"/>
      <c r="C76" s="130">
        <v>4040</v>
      </c>
      <c r="D76" s="126" t="s">
        <v>83</v>
      </c>
      <c r="E76" s="127"/>
      <c r="F76" s="349">
        <f>2067+9714-101+736</f>
        <v>12416</v>
      </c>
      <c r="G76" s="725"/>
    </row>
    <row r="77" spans="1:7" ht="12.75">
      <c r="A77" s="114"/>
      <c r="B77" s="107"/>
      <c r="C77" s="130">
        <v>4110</v>
      </c>
      <c r="D77" s="126" t="s">
        <v>84</v>
      </c>
      <c r="E77" s="127"/>
      <c r="F77" s="349">
        <f>5852+4841+3000+101+600</f>
        <v>14394</v>
      </c>
      <c r="G77" s="725"/>
    </row>
    <row r="78" spans="1:7" ht="12.75">
      <c r="A78" s="114"/>
      <c r="B78" s="107"/>
      <c r="C78" s="130">
        <v>4120</v>
      </c>
      <c r="D78" s="126" t="s">
        <v>85</v>
      </c>
      <c r="E78" s="127"/>
      <c r="F78" s="349">
        <f>746+709+746+200</f>
        <v>2401</v>
      </c>
      <c r="G78" s="725"/>
    </row>
    <row r="79" spans="1:7" ht="12.75">
      <c r="A79" s="114"/>
      <c r="B79" s="107"/>
      <c r="C79" s="130">
        <v>4170</v>
      </c>
      <c r="D79" s="126" t="s">
        <v>86</v>
      </c>
      <c r="E79" s="127"/>
      <c r="F79" s="349">
        <v>5640</v>
      </c>
      <c r="G79" s="725"/>
    </row>
    <row r="80" spans="1:7" ht="12.75">
      <c r="A80" s="114"/>
      <c r="B80" s="107"/>
      <c r="C80" s="130">
        <v>4210</v>
      </c>
      <c r="D80" s="126" t="s">
        <v>87</v>
      </c>
      <c r="E80" s="127"/>
      <c r="F80" s="349">
        <f>3000+3000-1120-500-2000-325</f>
        <v>2055</v>
      </c>
      <c r="G80" s="725"/>
    </row>
    <row r="81" spans="1:7" ht="12.75">
      <c r="A81" s="114"/>
      <c r="B81" s="107"/>
      <c r="C81" s="130">
        <v>4260</v>
      </c>
      <c r="D81" s="126" t="s">
        <v>88</v>
      </c>
      <c r="E81" s="127"/>
      <c r="F81" s="349">
        <f>6425+1000+300</f>
        <v>7725</v>
      </c>
      <c r="G81" s="725"/>
    </row>
    <row r="82" spans="1:7" ht="12.75">
      <c r="A82" s="114"/>
      <c r="B82" s="107"/>
      <c r="C82" s="130">
        <v>4270</v>
      </c>
      <c r="D82" s="126" t="s">
        <v>89</v>
      </c>
      <c r="E82" s="127"/>
      <c r="F82" s="349">
        <f>600+500+400</f>
        <v>1500</v>
      </c>
      <c r="G82" s="725"/>
    </row>
    <row r="83" spans="1:7" ht="12.75">
      <c r="A83" s="114"/>
      <c r="B83" s="107"/>
      <c r="C83" s="130">
        <v>4280</v>
      </c>
      <c r="D83" s="126" t="s">
        <v>90</v>
      </c>
      <c r="E83" s="127"/>
      <c r="F83" s="349">
        <f>245+33+25</f>
        <v>303</v>
      </c>
      <c r="G83" s="725"/>
    </row>
    <row r="84" spans="1:7" ht="12.75">
      <c r="A84" s="114"/>
      <c r="B84" s="107"/>
      <c r="C84" s="350" t="s">
        <v>75</v>
      </c>
      <c r="D84" s="126" t="s">
        <v>76</v>
      </c>
      <c r="E84" s="127"/>
      <c r="F84" s="349">
        <f>10679+5300-3000-736-845-3200-1108</f>
        <v>7090</v>
      </c>
      <c r="G84" s="725"/>
    </row>
    <row r="85" spans="1:7" ht="12.75">
      <c r="A85" s="114"/>
      <c r="B85" s="107"/>
      <c r="C85" s="350" t="s">
        <v>382</v>
      </c>
      <c r="D85" s="126" t="s">
        <v>91</v>
      </c>
      <c r="E85" s="127"/>
      <c r="F85" s="349">
        <f>2828+1120+1075</f>
        <v>5023</v>
      </c>
      <c r="G85" s="725"/>
    </row>
    <row r="86" spans="1:7" ht="12.75">
      <c r="A86" s="114"/>
      <c r="B86" s="107"/>
      <c r="C86" s="350" t="s">
        <v>383</v>
      </c>
      <c r="D86" s="126" t="s">
        <v>384</v>
      </c>
      <c r="E86" s="127"/>
      <c r="F86" s="349">
        <f>1675+1792</f>
        <v>3467</v>
      </c>
      <c r="G86" s="725"/>
    </row>
    <row r="87" spans="1:7" ht="12.75">
      <c r="A87" s="114"/>
      <c r="B87" s="107"/>
      <c r="C87" s="350" t="s">
        <v>385</v>
      </c>
      <c r="D87" s="126" t="s">
        <v>94</v>
      </c>
      <c r="E87" s="127"/>
      <c r="F87" s="349">
        <f>1000+1500</f>
        <v>2500</v>
      </c>
      <c r="G87" s="725"/>
    </row>
    <row r="88" spans="1:7" ht="12.75">
      <c r="A88" s="114"/>
      <c r="B88" s="107"/>
      <c r="C88" s="350" t="s">
        <v>380</v>
      </c>
      <c r="D88" s="126" t="s">
        <v>381</v>
      </c>
      <c r="E88" s="127"/>
      <c r="F88" s="349">
        <f>4586+845</f>
        <v>5431</v>
      </c>
      <c r="G88" s="725"/>
    </row>
    <row r="89" spans="1:7" ht="12.75">
      <c r="A89" s="114"/>
      <c r="B89" s="107"/>
      <c r="C89" s="141" t="s">
        <v>114</v>
      </c>
      <c r="D89" s="125" t="s">
        <v>386</v>
      </c>
      <c r="E89" s="127"/>
      <c r="F89" s="349">
        <v>500</v>
      </c>
      <c r="G89" s="725"/>
    </row>
    <row r="90" spans="1:7" ht="12.75">
      <c r="A90" s="114"/>
      <c r="B90" s="107"/>
      <c r="C90" s="141" t="s">
        <v>387</v>
      </c>
      <c r="D90" s="125" t="s">
        <v>388</v>
      </c>
      <c r="E90" s="127"/>
      <c r="F90" s="349">
        <v>1100</v>
      </c>
      <c r="G90" s="725"/>
    </row>
    <row r="91" spans="1:7" ht="12.75">
      <c r="A91" s="114"/>
      <c r="B91" s="107"/>
      <c r="C91" s="141" t="s">
        <v>389</v>
      </c>
      <c r="D91" s="125" t="s">
        <v>390</v>
      </c>
      <c r="E91" s="127"/>
      <c r="F91" s="349">
        <f>1000+3000</f>
        <v>4000</v>
      </c>
      <c r="G91" s="725"/>
    </row>
    <row r="92" spans="1:7" ht="12.75">
      <c r="A92" s="114"/>
      <c r="B92" s="107"/>
      <c r="C92" s="108"/>
      <c r="D92" s="125"/>
      <c r="E92" s="127"/>
      <c r="F92" s="349"/>
      <c r="G92" s="725"/>
    </row>
    <row r="93" spans="1:7" ht="12.75">
      <c r="A93" s="114"/>
      <c r="B93" s="80">
        <v>75045</v>
      </c>
      <c r="C93" s="106"/>
      <c r="D93" s="348" t="s">
        <v>133</v>
      </c>
      <c r="E93" s="345">
        <f>E94</f>
        <v>16978</v>
      </c>
      <c r="F93" s="346">
        <f>SUM(F95:F105)</f>
        <v>16978</v>
      </c>
      <c r="G93" s="887"/>
    </row>
    <row r="94" spans="1:7" ht="12.75">
      <c r="A94" s="114"/>
      <c r="B94" s="107"/>
      <c r="C94" s="107">
        <v>2110</v>
      </c>
      <c r="D94" s="125" t="s">
        <v>376</v>
      </c>
      <c r="E94" s="127">
        <f>'Dochody-ukł.wykon.'!H81</f>
        <v>16978</v>
      </c>
      <c r="F94" s="347"/>
      <c r="G94" s="887"/>
    </row>
    <row r="95" spans="1:7" ht="12.75">
      <c r="A95" s="114"/>
      <c r="B95" s="107"/>
      <c r="C95" s="350" t="s">
        <v>391</v>
      </c>
      <c r="D95" s="126" t="s">
        <v>127</v>
      </c>
      <c r="E95" s="127"/>
      <c r="F95" s="347">
        <f>'WYDATKI ukł.wyk.'!H167</f>
        <v>1330</v>
      </c>
      <c r="G95" s="887"/>
    </row>
    <row r="96" spans="1:7" ht="12.75">
      <c r="A96" s="114"/>
      <c r="B96" s="107"/>
      <c r="C96" s="130">
        <v>4110</v>
      </c>
      <c r="D96" s="126" t="s">
        <v>84</v>
      </c>
      <c r="E96" s="127"/>
      <c r="F96" s="347">
        <f>'WYDATKI ukł.wyk.'!H168</f>
        <v>1123</v>
      </c>
      <c r="G96" s="887"/>
    </row>
    <row r="97" spans="1:7" ht="12.75">
      <c r="A97" s="114"/>
      <c r="B97" s="107"/>
      <c r="C97" s="130">
        <v>4120</v>
      </c>
      <c r="D97" s="126" t="s">
        <v>377</v>
      </c>
      <c r="E97" s="127"/>
      <c r="F97" s="347">
        <f>'WYDATKI ukł.wyk.'!H169</f>
        <v>159</v>
      </c>
      <c r="G97" s="887"/>
    </row>
    <row r="98" spans="1:7" ht="12.75">
      <c r="A98" s="114"/>
      <c r="B98" s="107"/>
      <c r="C98" s="130">
        <v>4170</v>
      </c>
      <c r="D98" s="126" t="s">
        <v>86</v>
      </c>
      <c r="E98" s="127"/>
      <c r="F98" s="347">
        <f>'WYDATKI ukł.wyk.'!H170</f>
        <v>6800</v>
      </c>
      <c r="G98" s="887"/>
    </row>
    <row r="99" spans="1:7" ht="12.75">
      <c r="A99" s="114"/>
      <c r="B99" s="107"/>
      <c r="C99" s="130">
        <v>4210</v>
      </c>
      <c r="D99" s="126" t="s">
        <v>87</v>
      </c>
      <c r="E99" s="127"/>
      <c r="F99" s="347">
        <f>'WYDATKI ukł.wyk.'!H171</f>
        <v>635</v>
      </c>
      <c r="G99" s="887"/>
    </row>
    <row r="100" spans="1:7" ht="12.75">
      <c r="A100" s="114"/>
      <c r="B100" s="107"/>
      <c r="C100" s="141" t="s">
        <v>75</v>
      </c>
      <c r="D100" s="126" t="s">
        <v>76</v>
      </c>
      <c r="E100" s="127"/>
      <c r="F100" s="347">
        <f>'WYDATKI ukł.wyk.'!H172</f>
        <v>407</v>
      </c>
      <c r="G100" s="887"/>
    </row>
    <row r="101" spans="1:7" ht="12.75">
      <c r="A101" s="114"/>
      <c r="B101" s="107"/>
      <c r="C101" s="107">
        <v>4370</v>
      </c>
      <c r="D101" s="126" t="s">
        <v>392</v>
      </c>
      <c r="E101" s="127"/>
      <c r="F101" s="347">
        <f>'WYDATKI ukł.wyk.'!H173</f>
        <v>49</v>
      </c>
      <c r="G101" s="887"/>
    </row>
    <row r="102" spans="1:7" ht="12.75">
      <c r="A102" s="114"/>
      <c r="B102" s="107"/>
      <c r="C102" s="849">
        <v>4400</v>
      </c>
      <c r="D102" s="126" t="s">
        <v>755</v>
      </c>
      <c r="E102" s="127"/>
      <c r="F102" s="347">
        <f>'WYDATKI ukł.wyk.'!H174</f>
        <v>2200</v>
      </c>
      <c r="G102" s="887"/>
    </row>
    <row r="103" spans="1:7" ht="12.75">
      <c r="A103" s="114"/>
      <c r="B103" s="107"/>
      <c r="C103" s="141" t="s">
        <v>385</v>
      </c>
      <c r="D103" s="126" t="s">
        <v>94</v>
      </c>
      <c r="E103" s="127"/>
      <c r="F103" s="347">
        <f>'WYDATKI ukł.wyk.'!H175</f>
        <v>0</v>
      </c>
      <c r="G103" s="887"/>
    </row>
    <row r="104" spans="1:7" ht="12.75">
      <c r="A104" s="114"/>
      <c r="B104" s="107"/>
      <c r="C104" s="107">
        <v>4740</v>
      </c>
      <c r="D104" s="126" t="s">
        <v>393</v>
      </c>
      <c r="E104" s="127"/>
      <c r="F104" s="347">
        <f>'WYDATKI ukł.wyk.'!H176</f>
        <v>120</v>
      </c>
      <c r="G104" s="887"/>
    </row>
    <row r="105" spans="1:7" ht="12.75">
      <c r="A105" s="114"/>
      <c r="B105" s="107"/>
      <c r="C105" s="107">
        <v>4750</v>
      </c>
      <c r="D105" s="126" t="s">
        <v>390</v>
      </c>
      <c r="E105" s="127"/>
      <c r="F105" s="347">
        <f>'WYDATKI ukł.wyk.'!H177</f>
        <v>4155</v>
      </c>
      <c r="G105" s="887"/>
    </row>
    <row r="106" spans="1:7" ht="12.75">
      <c r="A106" s="114"/>
      <c r="B106" s="107"/>
      <c r="C106" s="141"/>
      <c r="D106" s="126"/>
      <c r="E106" s="127"/>
      <c r="F106" s="347"/>
      <c r="G106" s="887"/>
    </row>
    <row r="107" spans="1:7" ht="13.5" thickBot="1">
      <c r="A107" s="79">
        <v>754</v>
      </c>
      <c r="B107" s="103"/>
      <c r="C107" s="351"/>
      <c r="D107" s="134" t="s">
        <v>134</v>
      </c>
      <c r="E107" s="352">
        <f>E108</f>
        <v>1000</v>
      </c>
      <c r="F107" s="343">
        <f>F108</f>
        <v>1000</v>
      </c>
      <c r="G107" s="888"/>
    </row>
    <row r="108" spans="1:7" ht="12.75">
      <c r="A108" s="114"/>
      <c r="B108" s="121">
        <v>75414</v>
      </c>
      <c r="C108" s="74"/>
      <c r="D108" s="353" t="s">
        <v>135</v>
      </c>
      <c r="E108" s="354">
        <f>E109</f>
        <v>1000</v>
      </c>
      <c r="F108" s="355">
        <f>F110</f>
        <v>1000</v>
      </c>
      <c r="G108" s="887"/>
    </row>
    <row r="109" spans="1:7" ht="12.75">
      <c r="A109" s="114"/>
      <c r="B109" s="107"/>
      <c r="C109" s="110">
        <v>2110</v>
      </c>
      <c r="D109" s="125" t="s">
        <v>376</v>
      </c>
      <c r="E109" s="127">
        <f>'Dochody-ukł.wykon.'!H93</f>
        <v>1000</v>
      </c>
      <c r="F109" s="347"/>
      <c r="G109" s="887"/>
    </row>
    <row r="110" spans="1:7" ht="12.75">
      <c r="A110" s="114"/>
      <c r="B110" s="107"/>
      <c r="C110" s="141" t="s">
        <v>110</v>
      </c>
      <c r="D110" s="126" t="s">
        <v>87</v>
      </c>
      <c r="E110" s="127"/>
      <c r="F110" s="347">
        <f>'WYDATKI ukł.wyk.'!H194</f>
        <v>1000</v>
      </c>
      <c r="G110" s="887"/>
    </row>
    <row r="111" spans="1:7" ht="12.75">
      <c r="A111" s="114"/>
      <c r="B111" s="107"/>
      <c r="C111" s="141"/>
      <c r="D111" s="125"/>
      <c r="E111" s="127"/>
      <c r="F111" s="347"/>
      <c r="G111" s="887"/>
    </row>
    <row r="112" spans="1:7" ht="13.5" thickBot="1">
      <c r="A112" s="79">
        <v>851</v>
      </c>
      <c r="B112" s="129"/>
      <c r="C112" s="103"/>
      <c r="D112" s="86" t="s">
        <v>156</v>
      </c>
      <c r="E112" s="342">
        <f>E113</f>
        <v>56417</v>
      </c>
      <c r="F112" s="343">
        <f>F113</f>
        <v>56417</v>
      </c>
      <c r="G112" s="888"/>
    </row>
    <row r="113" spans="1:7" ht="12.75">
      <c r="A113" s="114"/>
      <c r="B113" s="80">
        <v>85156</v>
      </c>
      <c r="C113" s="106"/>
      <c r="D113" s="131" t="s">
        <v>394</v>
      </c>
      <c r="E113" s="345">
        <f>E114</f>
        <v>56417</v>
      </c>
      <c r="F113" s="346">
        <f>SUM(F115)</f>
        <v>56417</v>
      </c>
      <c r="G113" s="887"/>
    </row>
    <row r="114" spans="1:7" ht="12.75">
      <c r="A114" s="114"/>
      <c r="B114" s="110"/>
      <c r="C114" s="107">
        <v>2110</v>
      </c>
      <c r="D114" s="125" t="s">
        <v>376</v>
      </c>
      <c r="E114" s="127">
        <f>'Dochody-ukł.wykon.'!H167</f>
        <v>56417</v>
      </c>
      <c r="F114" s="347"/>
      <c r="G114" s="887"/>
    </row>
    <row r="115" spans="1:7" ht="12.75">
      <c r="A115" s="114"/>
      <c r="B115" s="107"/>
      <c r="C115" s="107">
        <v>4130</v>
      </c>
      <c r="D115" s="125" t="s">
        <v>161</v>
      </c>
      <c r="E115" s="127"/>
      <c r="F115" s="347">
        <f>'WYDATKI ukł.wyk.'!H351</f>
        <v>56417</v>
      </c>
      <c r="G115" s="887"/>
    </row>
    <row r="116" spans="1:7" ht="12.75">
      <c r="A116" s="114"/>
      <c r="B116" s="107"/>
      <c r="C116" s="107"/>
      <c r="D116" s="125"/>
      <c r="E116" s="127"/>
      <c r="F116" s="347"/>
      <c r="G116" s="887"/>
    </row>
    <row r="117" spans="1:7" ht="13.5" thickBot="1">
      <c r="A117" s="79">
        <v>852</v>
      </c>
      <c r="B117" s="103"/>
      <c r="C117" s="103"/>
      <c r="D117" s="134" t="s">
        <v>162</v>
      </c>
      <c r="E117" s="352">
        <f>E118+E144</f>
        <v>332100</v>
      </c>
      <c r="F117" s="343">
        <f>F118+F144</f>
        <v>332100</v>
      </c>
      <c r="G117" s="888"/>
    </row>
    <row r="118" spans="1:7" ht="12.75">
      <c r="A118" s="114"/>
      <c r="B118" s="121">
        <v>85203</v>
      </c>
      <c r="C118" s="122"/>
      <c r="D118" s="87" t="s">
        <v>169</v>
      </c>
      <c r="E118" s="354">
        <f>E119</f>
        <v>323100</v>
      </c>
      <c r="F118" s="355">
        <f>SUM(F120:F142)</f>
        <v>323100</v>
      </c>
      <c r="G118" s="887"/>
    </row>
    <row r="119" spans="1:7" ht="12.75">
      <c r="A119" s="114"/>
      <c r="B119" s="107"/>
      <c r="C119" s="107">
        <v>2110</v>
      </c>
      <c r="D119" s="126" t="s">
        <v>376</v>
      </c>
      <c r="E119" s="127">
        <f>'Dochody-ukł.wykon.'!H193</f>
        <v>323100</v>
      </c>
      <c r="F119" s="347"/>
      <c r="G119" s="887"/>
    </row>
    <row r="120" spans="1:7" ht="12.75">
      <c r="A120" s="114"/>
      <c r="B120" s="107"/>
      <c r="C120" s="107">
        <v>3020</v>
      </c>
      <c r="D120" s="126" t="s">
        <v>194</v>
      </c>
      <c r="E120" s="127"/>
      <c r="F120" s="347">
        <f>'WYDATKI ukł.wyk.'!H414</f>
        <v>700</v>
      </c>
      <c r="G120" s="887"/>
    </row>
    <row r="121" spans="1:7" ht="12.75">
      <c r="A121" s="114"/>
      <c r="B121" s="107"/>
      <c r="C121" s="107">
        <v>4010</v>
      </c>
      <c r="D121" s="126" t="s">
        <v>82</v>
      </c>
      <c r="E121" s="127"/>
      <c r="F121" s="347">
        <f>'WYDATKI ukł.wyk.'!H415</f>
        <v>119470</v>
      </c>
      <c r="G121" s="887"/>
    </row>
    <row r="122" spans="1:7" ht="12.75">
      <c r="A122" s="114"/>
      <c r="B122" s="107"/>
      <c r="C122" s="107">
        <v>4040</v>
      </c>
      <c r="D122" s="126" t="s">
        <v>395</v>
      </c>
      <c r="E122" s="127"/>
      <c r="F122" s="347">
        <f>'WYDATKI ukł.wyk.'!H416</f>
        <v>6811</v>
      </c>
      <c r="G122" s="887"/>
    </row>
    <row r="123" spans="1:7" ht="12.75">
      <c r="A123" s="114"/>
      <c r="B123" s="107"/>
      <c r="C123" s="107">
        <v>4110</v>
      </c>
      <c r="D123" s="126" t="s">
        <v>84</v>
      </c>
      <c r="E123" s="127"/>
      <c r="F123" s="347">
        <f>'WYDATKI ukł.wyk.'!H417</f>
        <v>22023</v>
      </c>
      <c r="G123" s="887"/>
    </row>
    <row r="124" spans="1:7" ht="12.75">
      <c r="A124" s="114"/>
      <c r="B124" s="107"/>
      <c r="C124" s="107">
        <v>4120</v>
      </c>
      <c r="D124" s="126" t="s">
        <v>85</v>
      </c>
      <c r="E124" s="127"/>
      <c r="F124" s="347">
        <f>'WYDATKI ukł.wyk.'!H418</f>
        <v>3094</v>
      </c>
      <c r="G124" s="887"/>
    </row>
    <row r="125" spans="1:7" ht="12.75">
      <c r="A125" s="114"/>
      <c r="B125" s="107"/>
      <c r="C125" s="107">
        <v>4170</v>
      </c>
      <c r="D125" s="126" t="s">
        <v>86</v>
      </c>
      <c r="E125" s="127"/>
      <c r="F125" s="347">
        <f>'WYDATKI ukł.wyk.'!H419</f>
        <v>1120</v>
      </c>
      <c r="G125" s="887"/>
    </row>
    <row r="126" spans="1:7" ht="12.75">
      <c r="A126" s="114"/>
      <c r="B126" s="107"/>
      <c r="C126" s="107">
        <v>4210</v>
      </c>
      <c r="D126" s="126" t="s">
        <v>87</v>
      </c>
      <c r="E126" s="127"/>
      <c r="F126" s="347">
        <f>'WYDATKI ukł.wyk.'!H420-8704-131</f>
        <v>62873</v>
      </c>
      <c r="G126" s="887"/>
    </row>
    <row r="127" spans="1:7" ht="12.75">
      <c r="A127" s="114"/>
      <c r="B127" s="107"/>
      <c r="C127" s="107">
        <v>4220</v>
      </c>
      <c r="D127" s="126" t="s">
        <v>165</v>
      </c>
      <c r="E127" s="127"/>
      <c r="F127" s="347">
        <f>'WYDATKI ukł.wyk.'!H421</f>
        <v>20000</v>
      </c>
      <c r="G127" s="887"/>
    </row>
    <row r="128" spans="1:7" ht="12.75">
      <c r="A128" s="114"/>
      <c r="B128" s="107"/>
      <c r="C128" s="107">
        <v>4230</v>
      </c>
      <c r="D128" s="126" t="s">
        <v>170</v>
      </c>
      <c r="E128" s="127"/>
      <c r="F128" s="347">
        <f>'WYDATKI ukł.wyk.'!H422</f>
        <v>1000</v>
      </c>
      <c r="G128" s="887"/>
    </row>
    <row r="129" spans="1:7" ht="12.75">
      <c r="A129" s="114"/>
      <c r="B129" s="107"/>
      <c r="C129" s="107">
        <v>4260</v>
      </c>
      <c r="D129" s="126" t="s">
        <v>88</v>
      </c>
      <c r="E129" s="127"/>
      <c r="F129" s="347">
        <f>'WYDATKI ukł.wyk.'!H423</f>
        <v>5800</v>
      </c>
      <c r="G129" s="887"/>
    </row>
    <row r="130" spans="1:7" ht="12.75">
      <c r="A130" s="114"/>
      <c r="B130" s="107"/>
      <c r="C130" s="107">
        <v>4270</v>
      </c>
      <c r="D130" s="126" t="s">
        <v>89</v>
      </c>
      <c r="E130" s="127"/>
      <c r="F130" s="347">
        <f>'WYDATKI ukł.wyk.'!H424</f>
        <v>53956</v>
      </c>
      <c r="G130" s="887"/>
    </row>
    <row r="131" spans="1:7" ht="12.75">
      <c r="A131" s="114"/>
      <c r="B131" s="107"/>
      <c r="C131" s="107">
        <v>4280</v>
      </c>
      <c r="D131" s="126" t="s">
        <v>90</v>
      </c>
      <c r="E131" s="127"/>
      <c r="F131" s="347">
        <f>'WYDATKI ukł.wyk.'!H425</f>
        <v>400</v>
      </c>
      <c r="G131" s="887"/>
    </row>
    <row r="132" spans="1:7" ht="12.75">
      <c r="A132" s="114"/>
      <c r="B132" s="107"/>
      <c r="C132" s="107">
        <v>4300</v>
      </c>
      <c r="D132" s="126" t="s">
        <v>76</v>
      </c>
      <c r="E132" s="127"/>
      <c r="F132" s="347">
        <f>'WYDATKI ukł.wyk.'!H426</f>
        <v>8200</v>
      </c>
      <c r="G132" s="887"/>
    </row>
    <row r="133" spans="1:7" ht="12.75">
      <c r="A133" s="114"/>
      <c r="B133" s="107"/>
      <c r="C133" s="350" t="s">
        <v>382</v>
      </c>
      <c r="D133" s="126" t="s">
        <v>91</v>
      </c>
      <c r="E133" s="127"/>
      <c r="F133" s="347">
        <f>'WYDATKI ukł.wyk.'!H427</f>
        <v>475</v>
      </c>
      <c r="G133" s="887"/>
    </row>
    <row r="134" spans="1:7" ht="12.75">
      <c r="A134" s="114"/>
      <c r="B134" s="107"/>
      <c r="C134" s="107">
        <v>4360</v>
      </c>
      <c r="D134" s="126" t="s">
        <v>92</v>
      </c>
      <c r="E134" s="127"/>
      <c r="F134" s="347">
        <f>'WYDATKI ukł.wyk.'!H428</f>
        <v>200</v>
      </c>
      <c r="G134" s="887"/>
    </row>
    <row r="135" spans="1:7" ht="12.75">
      <c r="A135" s="114"/>
      <c r="B135" s="107"/>
      <c r="C135" s="107">
        <v>4370</v>
      </c>
      <c r="D135" s="126" t="s">
        <v>694</v>
      </c>
      <c r="E135" s="127"/>
      <c r="F135" s="347">
        <f>'WYDATKI ukł.wyk.'!H429</f>
        <v>1500</v>
      </c>
      <c r="G135" s="887"/>
    </row>
    <row r="136" spans="1:7" ht="12.75">
      <c r="A136" s="114"/>
      <c r="B136" s="107"/>
      <c r="C136" s="107">
        <v>4410</v>
      </c>
      <c r="D136" s="126" t="s">
        <v>94</v>
      </c>
      <c r="E136" s="127"/>
      <c r="F136" s="347">
        <f>'WYDATKI ukł.wyk.'!H430</f>
        <v>1500</v>
      </c>
      <c r="G136" s="887"/>
    </row>
    <row r="137" spans="1:7" ht="12.75">
      <c r="A137" s="114"/>
      <c r="B137" s="107"/>
      <c r="C137" s="107">
        <v>4430</v>
      </c>
      <c r="D137" s="126" t="s">
        <v>95</v>
      </c>
      <c r="E137" s="127"/>
      <c r="F137" s="347">
        <f>'WYDATKI ukł.wyk.'!H431</f>
        <v>1796</v>
      </c>
      <c r="G137" s="887"/>
    </row>
    <row r="138" spans="1:7" ht="12.75">
      <c r="A138" s="114"/>
      <c r="B138" s="107"/>
      <c r="C138" s="107">
        <v>4440</v>
      </c>
      <c r="D138" s="126" t="s">
        <v>96</v>
      </c>
      <c r="E138" s="127"/>
      <c r="F138" s="347">
        <f>'WYDATKI ukł.wyk.'!H432</f>
        <v>5632</v>
      </c>
      <c r="G138" s="887"/>
    </row>
    <row r="139" spans="1:7" ht="12.75">
      <c r="A139" s="114"/>
      <c r="B139" s="107"/>
      <c r="C139" s="107">
        <v>4510</v>
      </c>
      <c r="D139" s="126" t="s">
        <v>99</v>
      </c>
      <c r="E139" s="127"/>
      <c r="F139" s="347">
        <f>'WYDATKI ukł.wyk.'!H433</f>
        <v>50</v>
      </c>
      <c r="G139" s="887"/>
    </row>
    <row r="140" spans="1:7" ht="12.75">
      <c r="A140" s="114"/>
      <c r="B140" s="107"/>
      <c r="C140" s="107">
        <v>4700</v>
      </c>
      <c r="D140" s="126" t="s">
        <v>396</v>
      </c>
      <c r="E140" s="127"/>
      <c r="F140" s="347">
        <f>'WYDATKI ukł.wyk.'!H434</f>
        <v>3000</v>
      </c>
      <c r="G140" s="887"/>
    </row>
    <row r="141" spans="1:7" ht="12.75">
      <c r="A141" s="114"/>
      <c r="B141" s="107"/>
      <c r="C141" s="107">
        <v>4740</v>
      </c>
      <c r="D141" s="126" t="s">
        <v>397</v>
      </c>
      <c r="E141" s="127"/>
      <c r="F141" s="347">
        <f>'WYDATKI ukł.wyk.'!H435</f>
        <v>500</v>
      </c>
      <c r="G141" s="887"/>
    </row>
    <row r="142" spans="1:7" ht="12.75">
      <c r="A142" s="114"/>
      <c r="B142" s="107"/>
      <c r="C142" s="107">
        <v>4750</v>
      </c>
      <c r="D142" s="126" t="s">
        <v>390</v>
      </c>
      <c r="E142" s="127"/>
      <c r="F142" s="347">
        <f>'WYDATKI ukł.wyk.'!H436</f>
        <v>3000</v>
      </c>
      <c r="G142" s="887"/>
    </row>
    <row r="143" spans="1:7" ht="12.75">
      <c r="A143" s="114"/>
      <c r="B143" s="107"/>
      <c r="C143" s="107"/>
      <c r="D143" s="126"/>
      <c r="E143" s="127"/>
      <c r="F143" s="347"/>
      <c r="G143" s="887"/>
    </row>
    <row r="144" spans="1:7" ht="12.75">
      <c r="A144" s="114"/>
      <c r="B144" s="80">
        <v>85218</v>
      </c>
      <c r="C144" s="106"/>
      <c r="D144" s="131" t="s">
        <v>172</v>
      </c>
      <c r="E144" s="842">
        <f>E145</f>
        <v>9000</v>
      </c>
      <c r="F144" s="346">
        <f>F146</f>
        <v>9000</v>
      </c>
      <c r="G144" s="887"/>
    </row>
    <row r="145" spans="1:7" ht="12.75">
      <c r="A145" s="114"/>
      <c r="B145" s="107"/>
      <c r="C145" s="107">
        <v>2110</v>
      </c>
      <c r="D145" s="125" t="s">
        <v>376</v>
      </c>
      <c r="E145" s="127">
        <f>'Dochody-ukł.wykon.'!H202</f>
        <v>9000</v>
      </c>
      <c r="F145" s="347"/>
      <c r="G145" s="887"/>
    </row>
    <row r="146" spans="1:7" ht="12.75">
      <c r="A146" s="114"/>
      <c r="B146" s="107"/>
      <c r="C146" s="130">
        <v>4210</v>
      </c>
      <c r="D146" s="126" t="s">
        <v>87</v>
      </c>
      <c r="E146" s="127"/>
      <c r="F146" s="347">
        <v>9000</v>
      </c>
      <c r="G146" s="887"/>
    </row>
    <row r="147" spans="1:7" ht="12.75">
      <c r="A147" s="114"/>
      <c r="B147" s="107"/>
      <c r="C147" s="107"/>
      <c r="D147" s="126"/>
      <c r="E147" s="127"/>
      <c r="F147" s="347"/>
      <c r="G147" s="887"/>
    </row>
    <row r="148" spans="1:7" ht="12.75">
      <c r="A148" s="114"/>
      <c r="B148" s="107"/>
      <c r="C148" s="108"/>
      <c r="D148" s="126"/>
      <c r="E148" s="127"/>
      <c r="F148" s="347"/>
      <c r="G148" s="887"/>
    </row>
    <row r="149" spans="1:7" ht="13.5" thickBot="1">
      <c r="A149" s="79">
        <v>853</v>
      </c>
      <c r="B149" s="103"/>
      <c r="C149" s="103"/>
      <c r="D149" s="134" t="s">
        <v>176</v>
      </c>
      <c r="E149" s="342">
        <f>E150</f>
        <v>332175</v>
      </c>
      <c r="F149" s="343">
        <f>F150</f>
        <v>332175</v>
      </c>
      <c r="G149" s="888"/>
    </row>
    <row r="150" spans="1:7" ht="12.75">
      <c r="A150" s="114"/>
      <c r="B150" s="80">
        <v>85321</v>
      </c>
      <c r="C150" s="106"/>
      <c r="D150" s="348" t="s">
        <v>326</v>
      </c>
      <c r="E150" s="345">
        <f>E151</f>
        <v>332175</v>
      </c>
      <c r="F150" s="346">
        <f>SUM(F152:F170)</f>
        <v>332175</v>
      </c>
      <c r="G150" s="887"/>
    </row>
    <row r="151" spans="1:7" ht="12.75">
      <c r="A151" s="114"/>
      <c r="B151" s="107"/>
      <c r="C151" s="107">
        <v>2110</v>
      </c>
      <c r="D151" s="125" t="s">
        <v>376</v>
      </c>
      <c r="E151" s="127">
        <f>'Dochody-ukł.wykon.'!H218</f>
        <v>332175</v>
      </c>
      <c r="F151" s="347"/>
      <c r="G151" s="887"/>
    </row>
    <row r="152" spans="1:7" ht="12.75">
      <c r="A152" s="114"/>
      <c r="B152" s="107"/>
      <c r="C152" s="130">
        <v>4010</v>
      </c>
      <c r="D152" s="126" t="s">
        <v>82</v>
      </c>
      <c r="E152" s="127"/>
      <c r="F152" s="347">
        <f>'WYDATKI ukł.wyk.'!H494</f>
        <v>78675</v>
      </c>
      <c r="G152" s="887"/>
    </row>
    <row r="153" spans="1:7" ht="12.75">
      <c r="A153" s="114"/>
      <c r="B153" s="107"/>
      <c r="C153" s="130">
        <v>4040</v>
      </c>
      <c r="D153" s="126" t="s">
        <v>83</v>
      </c>
      <c r="E153" s="127"/>
      <c r="F153" s="347">
        <f>'WYDATKI ukł.wyk.'!H495</f>
        <v>4510</v>
      </c>
      <c r="G153" s="887"/>
    </row>
    <row r="154" spans="1:7" ht="12.75">
      <c r="A154" s="114"/>
      <c r="B154" s="107"/>
      <c r="C154" s="130">
        <v>4110</v>
      </c>
      <c r="D154" s="126" t="s">
        <v>84</v>
      </c>
      <c r="E154" s="127"/>
      <c r="F154" s="347">
        <f>'WYDATKI ukł.wyk.'!H496</f>
        <v>17599</v>
      </c>
      <c r="G154" s="887"/>
    </row>
    <row r="155" spans="1:7" ht="12.75">
      <c r="A155" s="114"/>
      <c r="B155" s="107"/>
      <c r="C155" s="130">
        <v>4120</v>
      </c>
      <c r="D155" s="126" t="s">
        <v>377</v>
      </c>
      <c r="E155" s="127"/>
      <c r="F155" s="347">
        <f>'WYDATKI ukł.wyk.'!H497</f>
        <v>2042</v>
      </c>
      <c r="G155" s="887"/>
    </row>
    <row r="156" spans="1:7" ht="12.75">
      <c r="A156" s="114"/>
      <c r="B156" s="107"/>
      <c r="C156" s="130">
        <v>4170</v>
      </c>
      <c r="D156" s="126" t="s">
        <v>86</v>
      </c>
      <c r="E156" s="127"/>
      <c r="F156" s="347">
        <f>'WYDATKI ukł.wyk.'!H498</f>
        <v>40300</v>
      </c>
      <c r="G156" s="887"/>
    </row>
    <row r="157" spans="1:7" ht="12.75">
      <c r="A157" s="114"/>
      <c r="B157" s="107"/>
      <c r="C157" s="130">
        <v>4210</v>
      </c>
      <c r="D157" s="126" t="s">
        <v>87</v>
      </c>
      <c r="E157" s="127"/>
      <c r="F157" s="347">
        <f>'WYDATKI ukł.wyk.'!H499</f>
        <v>17625</v>
      </c>
      <c r="G157" s="887"/>
    </row>
    <row r="158" spans="1:7" ht="12.75">
      <c r="A158" s="114"/>
      <c r="B158" s="107"/>
      <c r="C158" s="130">
        <v>4260</v>
      </c>
      <c r="D158" s="126" t="s">
        <v>88</v>
      </c>
      <c r="E158" s="127"/>
      <c r="F158" s="347">
        <f>'WYDATKI ukł.wyk.'!H500</f>
        <v>11640</v>
      </c>
      <c r="G158" s="887"/>
    </row>
    <row r="159" spans="1:7" ht="12.75">
      <c r="A159" s="114"/>
      <c r="B159" s="107"/>
      <c r="C159" s="130">
        <v>4270</v>
      </c>
      <c r="D159" s="126" t="s">
        <v>89</v>
      </c>
      <c r="E159" s="127"/>
      <c r="F159" s="347">
        <f>'WYDATKI ukł.wyk.'!H501</f>
        <v>2254</v>
      </c>
      <c r="G159" s="887"/>
    </row>
    <row r="160" spans="1:7" ht="12.75">
      <c r="A160" s="114"/>
      <c r="B160" s="107"/>
      <c r="C160" s="130">
        <v>4280</v>
      </c>
      <c r="D160" s="126" t="s">
        <v>90</v>
      </c>
      <c r="E160" s="127"/>
      <c r="F160" s="347">
        <f>'WYDATKI ukł.wyk.'!H502</f>
        <v>100</v>
      </c>
      <c r="G160" s="887"/>
    </row>
    <row r="161" spans="1:7" ht="12.75">
      <c r="A161" s="114"/>
      <c r="B161" s="107"/>
      <c r="C161" s="350" t="s">
        <v>75</v>
      </c>
      <c r="D161" s="126" t="s">
        <v>76</v>
      </c>
      <c r="E161" s="127"/>
      <c r="F161" s="347">
        <f>'WYDATKI ukł.wyk.'!H503</f>
        <v>140920</v>
      </c>
      <c r="G161" s="887"/>
    </row>
    <row r="162" spans="1:7" ht="12.75">
      <c r="A162" s="114"/>
      <c r="B162" s="107"/>
      <c r="C162" s="107">
        <v>4370</v>
      </c>
      <c r="D162" s="126" t="s">
        <v>384</v>
      </c>
      <c r="E162" s="127"/>
      <c r="F162" s="347">
        <f>'WYDATKI ukł.wyk.'!H504</f>
        <v>4800</v>
      </c>
      <c r="G162" s="887"/>
    </row>
    <row r="163" spans="1:7" ht="12.75">
      <c r="A163" s="114"/>
      <c r="B163" s="107"/>
      <c r="C163" s="130">
        <v>4410</v>
      </c>
      <c r="D163" s="126" t="s">
        <v>94</v>
      </c>
      <c r="E163" s="127"/>
      <c r="F163" s="347">
        <f>'WYDATKI ukł.wyk.'!H505</f>
        <v>3000</v>
      </c>
      <c r="G163" s="887"/>
    </row>
    <row r="164" spans="1:7" ht="12.75">
      <c r="A164" s="114"/>
      <c r="B164" s="107"/>
      <c r="C164" s="107">
        <v>4430</v>
      </c>
      <c r="D164" s="126" t="s">
        <v>95</v>
      </c>
      <c r="E164" s="127"/>
      <c r="F164" s="347">
        <f>'WYDATKI ukł.wyk.'!H506</f>
        <v>700</v>
      </c>
      <c r="G164" s="887"/>
    </row>
    <row r="165" spans="1:7" ht="12.75">
      <c r="A165" s="114"/>
      <c r="B165" s="107"/>
      <c r="C165" s="350" t="s">
        <v>380</v>
      </c>
      <c r="D165" s="126" t="s">
        <v>381</v>
      </c>
      <c r="E165" s="127"/>
      <c r="F165" s="347">
        <f>'WYDATKI ukł.wyk.'!H507</f>
        <v>2897</v>
      </c>
      <c r="G165" s="887"/>
    </row>
    <row r="166" spans="1:7" ht="12.75">
      <c r="A166" s="114"/>
      <c r="B166" s="107"/>
      <c r="C166" s="350" t="s">
        <v>113</v>
      </c>
      <c r="D166" s="126" t="s">
        <v>97</v>
      </c>
      <c r="E166" s="127"/>
      <c r="F166" s="347">
        <f>'WYDATKI ukł.wyk.'!H508</f>
        <v>463</v>
      </c>
      <c r="G166" s="887"/>
    </row>
    <row r="167" spans="1:7" ht="12.75">
      <c r="A167" s="114"/>
      <c r="B167" s="107"/>
      <c r="C167" s="350" t="s">
        <v>702</v>
      </c>
      <c r="D167" s="126" t="s">
        <v>99</v>
      </c>
      <c r="E167" s="127"/>
      <c r="F167" s="347">
        <f>'WYDATKI ukł.wyk.'!H509</f>
        <v>150</v>
      </c>
      <c r="G167" s="887"/>
    </row>
    <row r="168" spans="1:7" ht="12.75">
      <c r="A168" s="114"/>
      <c r="B168" s="107"/>
      <c r="C168" s="107">
        <v>4700</v>
      </c>
      <c r="D168" s="126" t="s">
        <v>396</v>
      </c>
      <c r="E168" s="127"/>
      <c r="F168" s="347">
        <f>'WYDATKI ukł.wyk.'!H510</f>
        <v>0</v>
      </c>
      <c r="G168" s="887"/>
    </row>
    <row r="169" spans="1:7" ht="12.75">
      <c r="A169" s="114"/>
      <c r="B169" s="107"/>
      <c r="C169" s="107">
        <v>4740</v>
      </c>
      <c r="D169" s="126" t="s">
        <v>397</v>
      </c>
      <c r="E169" s="127"/>
      <c r="F169" s="347">
        <f>'WYDATKI ukł.wyk.'!H511</f>
        <v>1500</v>
      </c>
      <c r="G169" s="887"/>
    </row>
    <row r="170" spans="1:7" ht="12.75">
      <c r="A170" s="114"/>
      <c r="B170" s="107"/>
      <c r="C170" s="107">
        <v>4750</v>
      </c>
      <c r="D170" s="126" t="s">
        <v>390</v>
      </c>
      <c r="E170" s="127"/>
      <c r="F170" s="347">
        <f>'WYDATKI ukł.wyk.'!H512</f>
        <v>3000</v>
      </c>
      <c r="G170" s="887"/>
    </row>
    <row r="171" spans="1:7" ht="13.5" thickBot="1">
      <c r="A171" s="356"/>
      <c r="B171" s="357"/>
      <c r="C171" s="358"/>
      <c r="D171" s="359"/>
      <c r="E171" s="360"/>
      <c r="F171" s="361"/>
      <c r="G171" s="889"/>
    </row>
    <row r="172" spans="1:7" ht="13.5" customHeight="1" thickBot="1">
      <c r="A172" s="92"/>
      <c r="B172" s="92"/>
      <c r="C172" s="92"/>
      <c r="D172" s="362" t="s">
        <v>398</v>
      </c>
      <c r="E172" s="363">
        <f>E149+E117+E112+E107+E71+E40+E26+E18</f>
        <v>1261286</v>
      </c>
      <c r="F172" s="364">
        <f>F149+F117+F112+F107+F71+F40+F26+F18</f>
        <v>1261286</v>
      </c>
      <c r="G172" s="364">
        <f>G26+G18</f>
        <v>360276</v>
      </c>
    </row>
    <row r="173" spans="1:6" ht="13.5" customHeight="1">
      <c r="A173" s="92"/>
      <c r="B173" s="92"/>
      <c r="C173" s="92"/>
      <c r="D173" s="365" t="s">
        <v>399</v>
      </c>
      <c r="E173" s="366"/>
      <c r="F173" s="367">
        <f>SUM(F21,F31:F38,F43:F44,F48,F52:F69,F74:F91,F95:F105,F110,F115,F120:F142,F146,F152:F170)</f>
        <v>1261286</v>
      </c>
    </row>
    <row r="174" spans="1:6" ht="13.5" customHeight="1">
      <c r="A174" s="92"/>
      <c r="B174" s="92"/>
      <c r="C174" s="92"/>
      <c r="D174" s="368" t="s">
        <v>400</v>
      </c>
      <c r="E174" s="369"/>
      <c r="F174" s="370">
        <f>F33+F52+F53+F56+F75+F76+F79+F98+F121+F122+F125+F152+F153+F156</f>
        <v>519969</v>
      </c>
    </row>
    <row r="175" spans="1:6" ht="13.5" customHeight="1">
      <c r="A175" s="92"/>
      <c r="B175" s="92"/>
      <c r="C175" s="92"/>
      <c r="D175" s="368" t="s">
        <v>401</v>
      </c>
      <c r="E175" s="369"/>
      <c r="F175" s="370">
        <f>F31+F32+F54+F55+F77+F78+F96+F97+F123+F124+F154+F155</f>
        <v>99126</v>
      </c>
    </row>
    <row r="176" spans="1:6" ht="13.5" customHeight="1">
      <c r="A176" s="92"/>
      <c r="B176" s="92"/>
      <c r="C176" s="92"/>
      <c r="D176" s="371" t="s">
        <v>402</v>
      </c>
      <c r="E176" s="372"/>
      <c r="F176" s="373">
        <v>0</v>
      </c>
    </row>
    <row r="177" spans="1:6" ht="13.5" customHeight="1" thickBot="1">
      <c r="A177" s="92"/>
      <c r="B177" s="92"/>
      <c r="C177" s="92"/>
      <c r="D177" s="374" t="s">
        <v>403</v>
      </c>
      <c r="E177" s="375"/>
      <c r="F177" s="376">
        <v>0</v>
      </c>
    </row>
    <row r="178" spans="1:6" ht="13.5" customHeight="1">
      <c r="A178" s="92"/>
      <c r="B178" s="92"/>
      <c r="C178" s="92"/>
      <c r="D178" s="377"/>
      <c r="E178" s="92"/>
      <c r="F178" s="92"/>
    </row>
    <row r="179" ht="13.5" customHeight="1">
      <c r="D179" s="378"/>
    </row>
    <row r="180" ht="13.5" customHeight="1">
      <c r="D180" s="378"/>
    </row>
    <row r="181" ht="13.5" customHeight="1"/>
    <row r="182" ht="13.5" customHeight="1"/>
    <row r="183" ht="13.5" customHeight="1"/>
    <row r="184" ht="13.5" customHeight="1"/>
    <row r="185" ht="13.5" customHeight="1"/>
    <row r="186" ht="10.5" customHeight="1"/>
    <row r="187" ht="10.5" customHeight="1"/>
  </sheetData>
  <mergeCells count="5">
    <mergeCell ref="A9:F9"/>
    <mergeCell ref="A10:F10"/>
    <mergeCell ref="A11:F11"/>
    <mergeCell ref="E14:E16"/>
    <mergeCell ref="F14:F16"/>
  </mergeCells>
  <printOptions/>
  <pageMargins left="1.17" right="0.3937007874015748" top="0.25" bottom="0.19" header="0.25" footer="0.11811023622047245"/>
  <pageSetup fitToHeight="2" fitToWidth="2" horizontalDpi="600" verticalDpi="600" orientation="portrait" paperSize="9" scale="72" r:id="rId1"/>
  <rowBreaks count="1" manualBreakCount="1">
    <brk id="9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F39" sqref="F39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.875" style="0" customWidth="1"/>
    <col min="4" max="4" width="52.25390625" style="0" customWidth="1"/>
    <col min="5" max="5" width="11.625" style="0" customWidth="1"/>
    <col min="6" max="6" width="12.625" style="0" customWidth="1"/>
  </cols>
  <sheetData>
    <row r="1" ht="12.75">
      <c r="E1" s="90" t="s">
        <v>554</v>
      </c>
    </row>
    <row r="2" ht="12.75">
      <c r="E2" s="90" t="s">
        <v>404</v>
      </c>
    </row>
    <row r="3" ht="12.75">
      <c r="E3" s="90" t="s">
        <v>218</v>
      </c>
    </row>
    <row r="4" ht="12.75">
      <c r="E4" s="90" t="s">
        <v>691</v>
      </c>
    </row>
    <row r="7" spans="2:5" ht="18">
      <c r="B7" s="1041" t="s">
        <v>557</v>
      </c>
      <c r="C7" s="1041"/>
      <c r="D7" s="1041"/>
      <c r="E7" s="1041"/>
    </row>
    <row r="8" spans="2:5" ht="18">
      <c r="B8" s="1041" t="s">
        <v>556</v>
      </c>
      <c r="C8" s="1041"/>
      <c r="D8" s="1041"/>
      <c r="E8" s="1041"/>
    </row>
    <row r="9" spans="2:5" ht="18">
      <c r="B9" s="1041" t="s">
        <v>555</v>
      </c>
      <c r="C9" s="1041"/>
      <c r="D9" s="1041"/>
      <c r="E9" s="1041"/>
    </row>
    <row r="10" ht="13.5" thickBot="1">
      <c r="F10" s="613" t="s">
        <v>626</v>
      </c>
    </row>
    <row r="11" spans="1:6" ht="12.75">
      <c r="A11" s="1042" t="s">
        <v>220</v>
      </c>
      <c r="B11" s="1043"/>
      <c r="C11" s="1044"/>
      <c r="D11" s="886" t="s">
        <v>409</v>
      </c>
      <c r="E11" s="886" t="s">
        <v>373</v>
      </c>
      <c r="F11" s="1045" t="s">
        <v>594</v>
      </c>
    </row>
    <row r="12" spans="1:6" ht="12.75">
      <c r="A12" s="1048" t="s">
        <v>72</v>
      </c>
      <c r="B12" s="1049" t="s">
        <v>625</v>
      </c>
      <c r="C12" s="1049" t="s">
        <v>590</v>
      </c>
      <c r="D12" s="884"/>
      <c r="E12" s="884"/>
      <c r="F12" s="1046"/>
    </row>
    <row r="13" spans="1:6" ht="13.5" thickBot="1">
      <c r="A13" s="885"/>
      <c r="B13" s="879"/>
      <c r="C13" s="879"/>
      <c r="D13" s="879"/>
      <c r="E13" s="879"/>
      <c r="F13" s="1047"/>
    </row>
    <row r="14" spans="1:6" ht="12.75" customHeight="1" thickBot="1">
      <c r="A14" s="380">
        <v>1</v>
      </c>
      <c r="B14" s="381">
        <v>2</v>
      </c>
      <c r="C14" s="382">
        <v>3</v>
      </c>
      <c r="D14" s="382">
        <v>4</v>
      </c>
      <c r="E14" s="382">
        <v>5</v>
      </c>
      <c r="F14" s="383">
        <v>6</v>
      </c>
    </row>
    <row r="15" spans="1:6" ht="12.75" customHeight="1" thickBot="1">
      <c r="A15" s="757">
        <v>852</v>
      </c>
      <c r="B15" s="758"/>
      <c r="C15" s="451"/>
      <c r="D15" s="859" t="s">
        <v>162</v>
      </c>
      <c r="E15" s="864">
        <f>E16</f>
        <v>219526</v>
      </c>
      <c r="F15" s="760">
        <f>F16</f>
        <v>219526</v>
      </c>
    </row>
    <row r="16" spans="1:6" ht="12.75" customHeight="1">
      <c r="A16" s="390"/>
      <c r="B16" s="391">
        <v>85295</v>
      </c>
      <c r="C16" s="392"/>
      <c r="D16" s="393" t="s">
        <v>60</v>
      </c>
      <c r="E16" s="861">
        <f>E17</f>
        <v>219526</v>
      </c>
      <c r="F16" s="395">
        <f>SUM(F19:F20)</f>
        <v>219526</v>
      </c>
    </row>
    <row r="17" spans="1:6" ht="12.75" customHeight="1">
      <c r="A17" s="390"/>
      <c r="B17" s="396"/>
      <c r="C17" s="397">
        <v>2120</v>
      </c>
      <c r="D17" s="242" t="s">
        <v>547</v>
      </c>
      <c r="E17" s="860">
        <f>'Dochody-ukł.wykon.'!H211</f>
        <v>219526</v>
      </c>
      <c r="F17" s="402"/>
    </row>
    <row r="18" spans="1:6" ht="12.75" customHeight="1">
      <c r="A18" s="390"/>
      <c r="B18" s="396"/>
      <c r="C18" s="397"/>
      <c r="D18" s="242" t="s">
        <v>548</v>
      </c>
      <c r="E18" s="860"/>
      <c r="F18" s="402"/>
    </row>
    <row r="19" spans="1:6" ht="12.75" customHeight="1">
      <c r="A19" s="390"/>
      <c r="B19" s="396"/>
      <c r="C19" s="397">
        <v>4210</v>
      </c>
      <c r="D19" s="120" t="s">
        <v>87</v>
      </c>
      <c r="E19" s="860"/>
      <c r="F19" s="402">
        <v>50000</v>
      </c>
    </row>
    <row r="20" spans="1:6" ht="12.75" customHeight="1">
      <c r="A20" s="390"/>
      <c r="B20" s="396"/>
      <c r="C20" s="397">
        <v>4270</v>
      </c>
      <c r="D20" s="120" t="s">
        <v>89</v>
      </c>
      <c r="E20" s="860"/>
      <c r="F20" s="402">
        <f>130000+39526</f>
        <v>169526</v>
      </c>
    </row>
    <row r="21" spans="1:6" ht="12.75" customHeight="1" thickBot="1">
      <c r="A21" s="404"/>
      <c r="B21" s="406"/>
      <c r="C21" s="430"/>
      <c r="D21" s="430"/>
      <c r="E21" s="862"/>
      <c r="F21" s="863"/>
    </row>
    <row r="22" spans="1:6" ht="13.5" thickBot="1">
      <c r="A22" s="384">
        <v>853</v>
      </c>
      <c r="B22" s="594"/>
      <c r="C22" s="594"/>
      <c r="D22" s="275" t="s">
        <v>176</v>
      </c>
      <c r="E22" s="595">
        <f>E23</f>
        <v>358760</v>
      </c>
      <c r="F22" s="614">
        <f>F23</f>
        <v>358760</v>
      </c>
    </row>
    <row r="23" spans="1:6" ht="12.75">
      <c r="A23" s="427"/>
      <c r="B23" s="448">
        <v>85395</v>
      </c>
      <c r="C23" s="448"/>
      <c r="D23" s="448" t="s">
        <v>60</v>
      </c>
      <c r="E23" s="415">
        <f>E24+E26</f>
        <v>358760</v>
      </c>
      <c r="F23" s="615">
        <f>SUM(F28:F35)</f>
        <v>358760</v>
      </c>
    </row>
    <row r="24" spans="1:6" ht="12.75">
      <c r="A24" s="427"/>
      <c r="B24" s="420"/>
      <c r="C24" s="420">
        <v>2128</v>
      </c>
      <c r="D24" s="242" t="s">
        <v>547</v>
      </c>
      <c r="E24" s="418">
        <f>'Dochody-ukł.wykon.'!H225</f>
        <v>308849</v>
      </c>
      <c r="F24" s="616"/>
    </row>
    <row r="25" spans="1:6" ht="12.75">
      <c r="A25" s="427"/>
      <c r="B25" s="420"/>
      <c r="C25" s="420"/>
      <c r="D25" s="242" t="s">
        <v>548</v>
      </c>
      <c r="E25" s="418"/>
      <c r="F25" s="616"/>
    </row>
    <row r="26" spans="1:6" ht="12.75">
      <c r="A26" s="427"/>
      <c r="B26" s="420"/>
      <c r="C26" s="420">
        <v>2129</v>
      </c>
      <c r="D26" s="242" t="s">
        <v>547</v>
      </c>
      <c r="E26" s="418">
        <f>'Dochody-ukł.wykon.'!H227</f>
        <v>49911</v>
      </c>
      <c r="F26" s="616"/>
    </row>
    <row r="27" spans="1:6" ht="12.75">
      <c r="A27" s="427"/>
      <c r="B27" s="420"/>
      <c r="C27" s="420"/>
      <c r="D27" s="242" t="s">
        <v>548</v>
      </c>
      <c r="E27" s="418"/>
      <c r="F27" s="616"/>
    </row>
    <row r="28" spans="1:6" ht="12.75">
      <c r="A28" s="427"/>
      <c r="B28" s="420"/>
      <c r="C28" s="107">
        <v>3118</v>
      </c>
      <c r="D28" s="109" t="s">
        <v>179</v>
      </c>
      <c r="E28" s="420"/>
      <c r="F28" s="617">
        <f>'WYDATKI ukł.wyk.'!H520</f>
        <v>179527</v>
      </c>
    </row>
    <row r="29" spans="1:6" ht="12.75">
      <c r="A29" s="427"/>
      <c r="B29" s="420"/>
      <c r="C29" s="107">
        <v>3119</v>
      </c>
      <c r="D29" s="109" t="s">
        <v>179</v>
      </c>
      <c r="E29" s="420"/>
      <c r="F29" s="617">
        <f>'WYDATKI ukł.wyk.'!H521</f>
        <v>39911</v>
      </c>
    </row>
    <row r="30" spans="1:6" ht="12.75">
      <c r="A30" s="427"/>
      <c r="B30" s="420"/>
      <c r="C30" s="107">
        <v>4118</v>
      </c>
      <c r="D30" s="109" t="s">
        <v>84</v>
      </c>
      <c r="E30" s="420"/>
      <c r="F30" s="617">
        <f>'WYDATKI ukł.wyk.'!H522</f>
        <v>109568</v>
      </c>
    </row>
    <row r="31" spans="1:6" ht="12.75">
      <c r="A31" s="427"/>
      <c r="B31" s="420"/>
      <c r="C31" s="107">
        <v>4219</v>
      </c>
      <c r="D31" s="109" t="s">
        <v>87</v>
      </c>
      <c r="E31" s="420"/>
      <c r="F31" s="617">
        <f>'WYDATKI ukł.wyk.'!H523</f>
        <v>10000</v>
      </c>
    </row>
    <row r="32" spans="1:6" ht="12.75">
      <c r="A32" s="427"/>
      <c r="B32" s="420"/>
      <c r="C32" s="107">
        <v>4288</v>
      </c>
      <c r="D32" s="109" t="s">
        <v>90</v>
      </c>
      <c r="E32" s="420"/>
      <c r="F32" s="617">
        <f>'WYDATKI ukł.wyk.'!H524</f>
        <v>1888</v>
      </c>
    </row>
    <row r="33" spans="1:6" ht="12.75">
      <c r="A33" s="427"/>
      <c r="B33" s="420"/>
      <c r="C33" s="107">
        <v>4308</v>
      </c>
      <c r="D33" s="109" t="s">
        <v>76</v>
      </c>
      <c r="E33" s="420"/>
      <c r="F33" s="617">
        <f>'WYDATKI ukł.wyk.'!H525</f>
        <v>17866</v>
      </c>
    </row>
    <row r="34" spans="1:6" ht="12.75">
      <c r="A34" s="427"/>
      <c r="B34" s="420"/>
      <c r="C34" s="107">
        <v>4309</v>
      </c>
      <c r="D34" s="109" t="s">
        <v>76</v>
      </c>
      <c r="E34" s="420"/>
      <c r="F34" s="617">
        <f>'WYDATKI ukł.wyk.'!H526</f>
        <v>0</v>
      </c>
    </row>
    <row r="35" spans="1:6" ht="12.75">
      <c r="A35" s="427"/>
      <c r="B35" s="420"/>
      <c r="C35" s="420"/>
      <c r="D35" s="90"/>
      <c r="E35" s="420"/>
      <c r="F35" s="617"/>
    </row>
    <row r="36" spans="1:6" ht="13.5" thickBot="1">
      <c r="A36" s="618"/>
      <c r="B36" s="619"/>
      <c r="C36" s="619"/>
      <c r="D36" s="619"/>
      <c r="E36" s="619"/>
      <c r="F36" s="620"/>
    </row>
    <row r="37" spans="4:6" ht="13.5" thickBot="1">
      <c r="D37" s="362" t="s">
        <v>398</v>
      </c>
      <c r="E37" s="363">
        <f>E22+E15</f>
        <v>578286</v>
      </c>
      <c r="F37" s="363">
        <f>F22+F15</f>
        <v>578286</v>
      </c>
    </row>
    <row r="38" spans="4:6" ht="12.75">
      <c r="D38" s="365" t="s">
        <v>399</v>
      </c>
      <c r="E38" s="366"/>
      <c r="F38" s="367">
        <f>SUM(F19:F20,F28:F34)</f>
        <v>578286</v>
      </c>
    </row>
    <row r="39" spans="4:6" ht="12.75">
      <c r="D39" s="368" t="s">
        <v>400</v>
      </c>
      <c r="E39" s="369"/>
      <c r="F39" s="370">
        <v>0</v>
      </c>
    </row>
    <row r="40" spans="4:6" ht="12.75">
      <c r="D40" s="368" t="s">
        <v>401</v>
      </c>
      <c r="E40" s="369"/>
      <c r="F40" s="370">
        <f>F30</f>
        <v>109568</v>
      </c>
    </row>
    <row r="41" spans="4:6" ht="12.75">
      <c r="D41" s="371" t="s">
        <v>402</v>
      </c>
      <c r="E41" s="372"/>
      <c r="F41" s="458">
        <f>F28+F29</f>
        <v>219438</v>
      </c>
    </row>
    <row r="42" spans="4:6" ht="13.5" thickBot="1">
      <c r="D42" s="374" t="s">
        <v>403</v>
      </c>
      <c r="E42" s="375"/>
      <c r="F42" s="376">
        <v>0</v>
      </c>
    </row>
  </sheetData>
  <mergeCells count="10">
    <mergeCell ref="F11:F13"/>
    <mergeCell ref="A12:A13"/>
    <mergeCell ref="B12:B13"/>
    <mergeCell ref="C12:C13"/>
    <mergeCell ref="B7:E7"/>
    <mergeCell ref="B8:E8"/>
    <mergeCell ref="A11:C11"/>
    <mergeCell ref="D11:D13"/>
    <mergeCell ref="E11:E13"/>
    <mergeCell ref="B9:E9"/>
  </mergeCells>
  <printOptions/>
  <pageMargins left="0.24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</cp:lastModifiedBy>
  <cp:lastPrinted>2007-11-13T09:09:30Z</cp:lastPrinted>
  <dcterms:created xsi:type="dcterms:W3CDTF">1998-12-09T13:02:10Z</dcterms:created>
  <dcterms:modified xsi:type="dcterms:W3CDTF">2007-11-13T09:31:44Z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