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616" activeTab="0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ółne adm.4" sheetId="6" r:id="rId6"/>
    <sheet name="Wspolne 232-5" sheetId="7" r:id="rId7"/>
    <sheet name="wydatki-dotacje6" sheetId="8" r:id="rId8"/>
    <sheet name="Inwestycje 7" sheetId="9" r:id="rId9"/>
    <sheet name="Źrodla fin. 8" sheetId="10" r:id="rId10"/>
    <sheet name="Prognoza dł. 9" sheetId="11" r:id="rId11"/>
    <sheet name="Gosp.pomoc. 10" sheetId="12" r:id="rId12"/>
    <sheet name="Stowarzyszenia 11" sheetId="13" r:id="rId13"/>
    <sheet name="PFOŚiGW 12" sheetId="14" r:id="rId14"/>
    <sheet name="PFGZGiK 13" sheetId="15" r:id="rId15"/>
    <sheet name="Wieloletnie 15" sheetId="16" r:id="rId16"/>
    <sheet name="Sytu.fin.14" sheetId="17" r:id="rId17"/>
    <sheet name="Dot.podmiot.16" sheetId="18" r:id="rId18"/>
  </sheets>
  <definedNames>
    <definedName name="_xlnm.Print_Area" localSheetId="1">'Dochody-ukł.wykon.'!$A$1:$G$253</definedName>
    <definedName name="_xlnm.Print_Area" localSheetId="11">'Gosp.pomoc. 10'!$A$1:$J$26</definedName>
    <definedName name="_xlnm.Print_Area" localSheetId="8">'Inwestycje 7'!$A$1:$J$53</definedName>
    <definedName name="_xlnm.Print_Area" localSheetId="10">'Prognoza dł. 9'!$A$1:$F$32</definedName>
    <definedName name="_xlnm.Print_Area" localSheetId="6">'Wspolne 232-5'!$A$1:$F$80</definedName>
    <definedName name="_xlnm.Print_Area" localSheetId="3">'WYDATKI ukł.wyk.'!$A$1:$G$536</definedName>
    <definedName name="_xlnm.Print_Area" localSheetId="2">'WYDATKI Zał.2'!$A$1:$F$387</definedName>
    <definedName name="_xlnm.Print_Area" localSheetId="9">'Źrodla fin. 8'!$A$1:$E$35</definedName>
    <definedName name="_xlnm.Print_Titles" localSheetId="4">'Doch.i wyd..zlec.zał.3'!$15:$15</definedName>
    <definedName name="_xlnm.Print_Titles" localSheetId="1">'Dochody-ukł.wykon.'!$11:$11</definedName>
    <definedName name="_xlnm.Print_Titles" localSheetId="8">'Inwestycje 7'!$12:$12</definedName>
    <definedName name="_xlnm.Print_Titles" localSheetId="16">'Sytu.fin.14'!$A:$B</definedName>
    <definedName name="_xlnm.Print_Titles" localSheetId="6">'Wspolne 232-5'!$13:$13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<sst xmlns="http://schemas.openxmlformats.org/spreadsheetml/2006/main" count="2003" uniqueCount="773">
  <si>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</si>
  <si>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</si>
  <si>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</si>
  <si>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</si>
  <si>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</si>
  <si>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</si>
  <si>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</si>
  <si>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</si>
  <si>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</si>
  <si>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</si>
  <si>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</si>
  <si>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</si>
  <si>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</si>
  <si>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</si>
  <si>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</si>
  <si>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</si>
  <si>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</si>
  <si>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</si>
  <si>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</si>
  <si>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</si>
  <si>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</si>
  <si>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</si>
  <si>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</si>
  <si>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</si>
  <si>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</si>
  <si>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</si>
  <si>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</si>
  <si>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</si>
  <si>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</si>
  <si>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</si>
  <si>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</si>
  <si>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</si>
  <si>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</si>
  <si>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</si>
  <si>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</si>
  <si>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</si>
  <si>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</si>
  <si>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</si>
  <si>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</si>
  <si>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</si>
  <si>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</si>
  <si>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</si>
  <si>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Odsetki od nieterminowych wpłat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</si>
  <si>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</si>
  <si>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</si>
  <si>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</si>
  <si>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</si>
  <si>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</si>
  <si>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</si>
  <si>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</si>
  <si>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</si>
  <si>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</si>
  <si>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</si>
  <si>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</si>
  <si>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</si>
  <si>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</si>
  <si>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</si>
  <si>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</si>
  <si>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</si>
  <si>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</si>
  <si>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</si>
  <si>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</si>
  <si>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DOCHODY OGÓŁEM (A+B)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</si>
  <si>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</si>
  <si>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</si>
  <si>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</si>
  <si>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</si>
  <si>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oraz innych zadań zleconych ustawami</t>
  </si>
  <si>
    <t>w tym:</t>
  </si>
  <si>
    <t>Prace geodezyjno-urządzeniowe na potrzeby rolnictwa</t>
  </si>
  <si>
    <t>Dotacje celowe otrzymane z budżetu państwa  na</t>
  </si>
  <si>
    <t xml:space="preserve">zad. bieżące z zakresu adm.rząd. oraz inne zad.zlecone   </t>
  </si>
  <si>
    <t>Nadzór na gospodarką leśną</t>
  </si>
  <si>
    <t>wieczyste nieruchomości</t>
  </si>
  <si>
    <t>Skarbu Państwa lub j.s.t.i innych umów</t>
  </si>
  <si>
    <t>Wpłaty z tyt.odpłatnego nabycia pr. własności nieruchom.</t>
  </si>
  <si>
    <t xml:space="preserve">zad.bieżące z zakresu adm.rząd. oraz inne zad.zlecone   </t>
  </si>
  <si>
    <t xml:space="preserve">Dochody j.s.t. zw. z real. zadań z zakresu adm.rządowej 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</si>
  <si>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</si>
  <si>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</si>
  <si>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</si>
  <si>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Dotacje celowe na inwestycje i zakupy inwestycyjne</t>
  </si>
  <si>
    <t xml:space="preserve">Wpływy z opłaty komunikacyjnej </t>
  </si>
  <si>
    <t xml:space="preserve">zad.bieżące z zakresu adm.rząd. oraz inne zad. zlecone  </t>
  </si>
  <si>
    <t>Udziały powiatów w podatkach stanowiących dochód</t>
  </si>
  <si>
    <t>budżetu państwa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</si>
  <si>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</si>
  <si>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</si>
  <si>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</si>
  <si>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</si>
  <si>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Wpłata do budżetu części zysku przez gosp.pomoc.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</si>
  <si>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</si>
  <si>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</si>
  <si>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</si>
  <si>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Zespoły d/s orzekania o stopniu niepełnosprawności</t>
  </si>
  <si>
    <t>Internaty i bursy szkolne</t>
  </si>
  <si>
    <t>Wykonanie</t>
  </si>
  <si>
    <t xml:space="preserve">      w złotych</t>
  </si>
  <si>
    <t>Załącznik nr 1a</t>
  </si>
  <si>
    <t>do uchwały Nr ...............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</si>
  <si>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</si>
  <si>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</si>
  <si>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</si>
  <si>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</si>
  <si>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</si>
  <si>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</si>
  <si>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</si>
  <si>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</si>
  <si>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</si>
  <si>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</si>
  <si>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</si>
  <si>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>Środki  na dofinansowanie własnych zadań bieżących gmin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</si>
  <si>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</si>
  <si>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</si>
  <si>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</si>
  <si>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</si>
  <si>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</si>
  <si>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</si>
  <si>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</si>
  <si>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</si>
  <si>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</si>
  <si>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</si>
  <si>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</si>
  <si>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</si>
  <si>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</si>
  <si>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</si>
  <si>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</si>
  <si>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</si>
  <si>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</si>
  <si>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</si>
  <si>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</si>
  <si>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</si>
  <si>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</si>
  <si>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</si>
  <si>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</si>
  <si>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</si>
  <si>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</si>
  <si>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</si>
  <si>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</si>
  <si>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</si>
  <si>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</si>
  <si>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</si>
  <si>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</si>
  <si>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</si>
  <si>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</si>
  <si>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</si>
  <si>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</si>
  <si>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</si>
  <si>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</si>
  <si>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</si>
  <si>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</si>
  <si>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</si>
  <si>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</si>
  <si>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</si>
  <si>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</si>
  <si>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</si>
  <si>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</si>
  <si>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</si>
  <si>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</si>
  <si>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</si>
  <si>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</si>
  <si>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</si>
  <si>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</si>
  <si>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</si>
  <si>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</si>
  <si>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</si>
  <si>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</si>
  <si>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</si>
  <si>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</si>
  <si>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</si>
  <si>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</si>
  <si>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</si>
  <si>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</si>
  <si>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Licea profilowane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</si>
  <si>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</si>
  <si>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</si>
  <si>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</si>
  <si>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</si>
  <si>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</si>
  <si>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</si>
  <si>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</si>
  <si>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</si>
  <si>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</si>
  <si>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</si>
  <si>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</si>
  <si>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</si>
  <si>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</si>
  <si>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</si>
  <si>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</si>
  <si>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</si>
  <si>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</si>
  <si>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</si>
  <si>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</si>
  <si>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</si>
  <si>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</si>
  <si>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</si>
  <si>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</si>
  <si>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</si>
  <si>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</si>
  <si>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</si>
  <si>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</si>
  <si>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</si>
  <si>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</si>
  <si>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>Zadania w zakresie kultury fizycznej</t>
  </si>
  <si>
    <t>i sportu      -      Wydatki ogółem,  z tego: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</si>
  <si>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</si>
  <si>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</si>
  <si>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</si>
  <si>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</si>
  <si>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</si>
  <si>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</si>
  <si>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</si>
  <si>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</si>
  <si>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</si>
  <si>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</si>
  <si>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</si>
  <si>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</si>
  <si>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</si>
  <si>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</si>
  <si>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</si>
  <si>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</si>
  <si>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</si>
  <si>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</si>
  <si>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</si>
  <si>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</si>
  <si>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</si>
  <si>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</si>
  <si>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</si>
  <si>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</si>
  <si>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</si>
  <si>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</si>
  <si>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</si>
  <si>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</si>
  <si>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</si>
  <si>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</si>
  <si>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</si>
  <si>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</si>
  <si>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</si>
  <si>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</si>
  <si>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</si>
  <si>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</si>
  <si>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</si>
  <si>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</si>
  <si>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</si>
  <si>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</si>
  <si>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</si>
  <si>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 xml:space="preserve">Licea profilowane 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</si>
  <si>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</si>
  <si>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</si>
  <si>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</si>
  <si>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</si>
  <si>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</si>
  <si>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</si>
  <si>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</si>
  <si>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</si>
  <si>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</si>
  <si>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Poradnie psychol.-pedagog.oraz in.porad.spec.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</si>
  <si>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</si>
  <si>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</si>
  <si>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</si>
  <si>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</si>
  <si>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</si>
  <si>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</si>
  <si>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</si>
  <si>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</si>
  <si>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</si>
  <si>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</si>
  <si>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</si>
  <si>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</si>
  <si>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0910</t>
  </si>
  <si>
    <t>0960</t>
  </si>
  <si>
    <t>6410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</si>
  <si>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</si>
  <si>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</si>
  <si>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</si>
  <si>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</si>
  <si>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</si>
  <si>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</si>
  <si>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</si>
  <si>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</si>
  <si>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</si>
  <si>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</si>
  <si>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</si>
  <si>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</si>
  <si>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 xml:space="preserve">DOCHODY I WYDATKI ZWIĄZANE Z REALIZACJĄ ZADAŃ Z ZAKRESU </t>
  </si>
  <si>
    <t xml:space="preserve">ADMINISTRACJI  RZĄDOWEJ  ORAZ  INNYCH  ZADAŃ ZLECONYCH 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</si>
  <si>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</si>
  <si>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</si>
  <si>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</si>
  <si>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</si>
  <si>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</si>
  <si>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</si>
  <si>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</si>
  <si>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</si>
  <si>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</si>
  <si>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</si>
  <si>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</si>
  <si>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</si>
  <si>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</si>
  <si>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Kary i odszkodowania wypłacone na rzecz osób fizycz.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</si>
  <si>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</si>
  <si>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</si>
  <si>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</si>
  <si>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</si>
  <si>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</si>
  <si>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</si>
  <si>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</si>
  <si>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</si>
  <si>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</si>
  <si>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</si>
  <si>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</si>
  <si>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</si>
  <si>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</si>
  <si>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</si>
  <si>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</si>
  <si>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</si>
  <si>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</si>
  <si>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</si>
  <si>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</si>
  <si>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</si>
  <si>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</si>
  <si>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</si>
  <si>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</si>
  <si>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</si>
  <si>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</si>
  <si>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</si>
  <si>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</si>
  <si>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</si>
  <si>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</si>
  <si>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pochodzące</t>
  </si>
  <si>
    <t>realizująca</t>
  </si>
  <si>
    <t>obligacje</t>
  </si>
  <si>
    <t>z inn.źródeł</t>
  </si>
  <si>
    <t>zadanie</t>
  </si>
  <si>
    <t xml:space="preserve">DPS </t>
  </si>
  <si>
    <t>O G Ó Ł E M</t>
  </si>
  <si>
    <t>Załącznik nr 6</t>
  </si>
  <si>
    <t>Wydatki związane z realizacją zadań wspólnych</t>
  </si>
  <si>
    <t xml:space="preserve">Dotacje celowe przekazane gminie lub miastu stołecznemu </t>
  </si>
  <si>
    <t>Warszawie na zadania bieżące realizowane na podstawie</t>
  </si>
  <si>
    <t>porozumień (umów) między j.s.t.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</si>
  <si>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</si>
  <si>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</si>
  <si>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</si>
  <si>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</si>
  <si>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</si>
  <si>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</si>
  <si>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</si>
  <si>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</si>
  <si>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</si>
  <si>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</si>
  <si>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</si>
  <si>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</si>
  <si>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</si>
  <si>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</si>
  <si>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</si>
  <si>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</si>
  <si>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</si>
  <si>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</si>
  <si>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</si>
  <si>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</si>
  <si>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</si>
  <si>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</si>
  <si>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</si>
  <si>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</si>
  <si>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</si>
  <si>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</si>
  <si>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</si>
  <si>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</si>
  <si>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</si>
  <si>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</si>
  <si>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</si>
  <si>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</si>
  <si>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</si>
  <si>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Sprzedaż papierów wartościowych</t>
  </si>
  <si>
    <t>§ 931</t>
  </si>
  <si>
    <t>7.</t>
  </si>
  <si>
    <t>Inne rozliczenia (wolne środki z tyt.rozl.kred.)</t>
  </si>
  <si>
    <t>IV.</t>
  </si>
  <si>
    <t>Rozchody ogółem:</t>
  </si>
  <si>
    <t>Spłata kredytu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</si>
  <si>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</si>
  <si>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</si>
  <si>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</si>
  <si>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</si>
  <si>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</si>
  <si>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</si>
  <si>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</si>
  <si>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</si>
  <si>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</si>
  <si>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</si>
  <si>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</si>
  <si>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</si>
  <si>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</si>
  <si>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</si>
  <si>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</si>
  <si>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</si>
  <si>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</si>
  <si>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</si>
  <si>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Wymagalne zobowiązania, wynikające z następ.tyt: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</si>
  <si>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</si>
  <si>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</si>
  <si>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</si>
  <si>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</si>
  <si>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</si>
  <si>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</si>
  <si>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</si>
  <si>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</si>
  <si>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</si>
  <si>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PLAN  PRZYCHODÓW  I  WYDATKÓW  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</si>
  <si>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</si>
  <si>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</si>
  <si>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</si>
  <si>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</si>
  <si>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</si>
  <si>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</si>
  <si>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</si>
  <si>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</si>
  <si>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</si>
  <si>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</si>
  <si>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</si>
  <si>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</si>
  <si>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</si>
  <si>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</si>
  <si>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</si>
  <si>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</si>
  <si>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</si>
  <si>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</si>
  <si>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</si>
  <si>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</si>
  <si>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</si>
  <si>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Igrzyska Młodzieży Szkonej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</si>
  <si>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</si>
  <si>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</si>
  <si>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</si>
  <si>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</si>
  <si>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</si>
  <si>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</si>
  <si>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</si>
  <si>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</si>
  <si>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</si>
  <si>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</si>
  <si>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</si>
  <si>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</si>
  <si>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</si>
  <si>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</si>
  <si>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</si>
  <si>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</si>
  <si>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</si>
  <si>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</si>
  <si>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</si>
  <si>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</si>
  <si>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</si>
  <si>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6060</t>
  </si>
  <si>
    <t>2350</t>
  </si>
  <si>
    <t>Dot.cel.otrz.z budż.pań.na inwest. i zakupy inwest.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</si>
  <si>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</si>
  <si>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</si>
  <si>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</si>
  <si>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</si>
  <si>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PODMIOTOM  NIE  ZALICZANYM  DO  SEKTORA  FINANSÓW  PUBLICZNYCH </t>
  </si>
  <si>
    <t xml:space="preserve">WYKAZ  ZADAŃ  WŁASNYCH  POWIATU  ZLECONYCH  DO  REALIZACJI    </t>
  </si>
  <si>
    <t xml:space="preserve">Zlot ekologiczny "'Powitanie wiosny" </t>
  </si>
  <si>
    <t>Międzygminny Halowy Turniej Piłki Nożnej "Liga Powiatowa" drużyn młodzieżowych</t>
  </si>
  <si>
    <t>Ogólnopolski Trójbój Sportowy w Kamiennicy Elbląskiej</t>
  </si>
  <si>
    <t xml:space="preserve"> - na zadania własne - § 2130 , 6430</t>
  </si>
  <si>
    <t>Opłaty na rzecz budżetów jednostek samorządu terytorialnego</t>
  </si>
  <si>
    <t xml:space="preserve"> Plan przychodów i rozchodów</t>
  </si>
  <si>
    <t>Środki otrzymane od pozostałych jedn.sekt.finansów publ.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</si>
  <si>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</si>
  <si>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</si>
  <si>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</si>
  <si>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</si>
  <si>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</si>
  <si>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</si>
  <si>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</si>
  <si>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</si>
  <si>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</si>
  <si>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 xml:space="preserve">   2. Dotacje celowe na zadania z zakresu administracji rządowej </t>
  </si>
  <si>
    <t xml:space="preserve">       wykonywane przez powiat oraz na realizację zadań służb, </t>
  </si>
  <si>
    <t xml:space="preserve">       inspekcji i straży - §§ 2110, 6410</t>
  </si>
  <si>
    <t xml:space="preserve">   3. Dotacje celowe na zadania (umowy i porozumienia) - </t>
  </si>
  <si>
    <t>0020</t>
  </si>
  <si>
    <t>Podatek dochodowy od osób prawnych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</si>
  <si>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</si>
  <si>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</si>
  <si>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</si>
  <si>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</si>
  <si>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</si>
  <si>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</si>
  <si>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2120</t>
  </si>
  <si>
    <t>Plan na 2005 rok</t>
  </si>
  <si>
    <t>PLAN  DOCHODÓW  BUDŻETU  POWIATU  NA  2005 ROK</t>
  </si>
  <si>
    <t>POWIATOWI  USTAWAMI na rok 2005</t>
  </si>
  <si>
    <t>jednostkami samorządu terytorialnego  -  na rok 2005</t>
  </si>
  <si>
    <t>WYDATKI  INWESTYCYJNE  POWIATU   W  ROKU  BUDŻETOWYM  2005</t>
  </si>
  <si>
    <t>2005 r.</t>
  </si>
  <si>
    <t>31.12.2004 r.</t>
  </si>
  <si>
    <t>GOSPODARSTW  POMOCNICZYCH,  ŚRODKÓW SPECJALNYCH  NA ROK 2005</t>
  </si>
  <si>
    <t xml:space="preserve"> I  NIE  DZIAŁAJĄCYCH  W  CELU   OSIĄGNIĘCIA  ZYSKU  W  ROKU  2005</t>
  </si>
  <si>
    <t xml:space="preserve"> Plan przychodów i rozchodów na 2005 r.</t>
  </si>
  <si>
    <t>01017</t>
  </si>
  <si>
    <t>Ochrona roślin</t>
  </si>
  <si>
    <t>Dotacje celowe z budżetu państwa na zadania bieżące real.</t>
  </si>
  <si>
    <t>przez powiat na podst.porozumień z organami adm.rządowej</t>
  </si>
  <si>
    <t>Dochody z najmu i dzierżawy składników majątkowych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</si>
  <si>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</si>
  <si>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</si>
  <si>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</si>
  <si>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</si>
  <si>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</si>
  <si>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Ochrona roślin -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</si>
  <si>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</si>
  <si>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</si>
  <si>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</si>
  <si>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</si>
  <si>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</si>
  <si>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</si>
  <si>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</si>
  <si>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</si>
  <si>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</si>
  <si>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</si>
  <si>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</si>
  <si>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</si>
  <si>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</si>
  <si>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</si>
  <si>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</si>
  <si>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</si>
  <si>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</si>
  <si>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</si>
  <si>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</si>
  <si>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>Plan na 2005 r.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</si>
  <si>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</si>
  <si>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</si>
  <si>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</si>
  <si>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Dotacja podmiotwa z budżetu dla sp zoz</t>
  </si>
  <si>
    <t>ZDP</t>
  </si>
  <si>
    <t>Pasłęk</t>
  </si>
  <si>
    <t>Budowa mostu w Tolkmicku</t>
  </si>
  <si>
    <t xml:space="preserve">Starostwo </t>
  </si>
  <si>
    <t>Powiatowe</t>
  </si>
  <si>
    <t xml:space="preserve">Dom Dziecka </t>
  </si>
  <si>
    <t>Marwica</t>
  </si>
  <si>
    <t>Remont budynku w Pasłęku</t>
  </si>
  <si>
    <t>Bezpieczeństwo publiczne i ochrona przeciwpożarowa</t>
  </si>
  <si>
    <t>Obrona cywilna</t>
  </si>
  <si>
    <t xml:space="preserve">Powiatowy Inspektorat </t>
  </si>
  <si>
    <t>Nadzoru Budowlanego</t>
  </si>
  <si>
    <t>PPP</t>
  </si>
  <si>
    <t>Wymiana instalacji elektrycznej</t>
  </si>
  <si>
    <t>Utworzenie Centrum Zarządzania Kryzysowego</t>
  </si>
  <si>
    <t>ZSEiT</t>
  </si>
  <si>
    <t>75414</t>
  </si>
  <si>
    <t>Obrona cywilna - Wydatki ogółem, z tego:</t>
  </si>
  <si>
    <t>Zakup zestawu komputerowego</t>
  </si>
  <si>
    <t>Modernizacja infrastruktury informacyjnej i utworzenie</t>
  </si>
  <si>
    <t>punktu informacyjnego - studium wykonalności</t>
  </si>
  <si>
    <t>Tolkmicko</t>
  </si>
  <si>
    <t>Zakup samochodu</t>
  </si>
  <si>
    <t>Powiatowe Centrum</t>
  </si>
  <si>
    <t>Pomocy Rodzinie</t>
  </si>
  <si>
    <t>realizowanych w drodze umów /porozumień/</t>
  </si>
  <si>
    <t>organami administracji rządowej  -  na rok 2005</t>
  </si>
  <si>
    <t xml:space="preserve">Dotacje celowe otrzymane z gminy na zadania bieżące </t>
  </si>
  <si>
    <r>
      <t xml:space="preserve">                   Ź R Ó D Ł A    S F I N A N S O W A N I A   D E F I C Y T U   W  </t>
    </r>
    <r>
      <rPr>
        <b/>
        <sz val="10"/>
        <rFont val="Arial CE"/>
        <family val="2"/>
      </rPr>
      <t xml:space="preserve"> 2005 ROKU</t>
    </r>
  </si>
  <si>
    <t>V.</t>
  </si>
  <si>
    <t>VI.</t>
  </si>
  <si>
    <t>VII.</t>
  </si>
  <si>
    <t>Wydatki nie znajdujące pokrycia w planowanych dochodach (II-VI)</t>
  </si>
  <si>
    <t>VIII.</t>
  </si>
  <si>
    <t>Na pokrycie wydatków nie znajdujących pokrycia w planowanych dochodach planuje się przychody (III)</t>
  </si>
  <si>
    <t>Dochody przeznaczone są na pokrycie wydatków                                       (I-V)</t>
  </si>
  <si>
    <t>Z dochodów przeznacza się na spłatę kredytów                      i pożyczek (IV)</t>
  </si>
  <si>
    <t>oraz roboty ogólno budowlane</t>
  </si>
  <si>
    <t>- wykonanie projektu technicznego</t>
  </si>
  <si>
    <t>X</t>
  </si>
  <si>
    <t>1. Umowy</t>
  </si>
  <si>
    <t>2. Porozumienia</t>
  </si>
  <si>
    <t>Załącznik nr 12</t>
  </si>
  <si>
    <t>Plener plastyczny "Bliżej natury" w Młynarach</t>
  </si>
  <si>
    <t>Przegląd kultury mniejszości narodowych w Młynarach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</si>
  <si>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</si>
  <si>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</si>
  <si>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</si>
  <si>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Powiatowy Festyn Licealny w Pasłęku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</si>
  <si>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</si>
  <si>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</si>
  <si>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Akcja "Sportowe Lato 2005"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</si>
  <si>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</si>
  <si>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</si>
  <si>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</si>
  <si>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</si>
  <si>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Międzynarodowe Zawody w Rzucie Podkową o Puchar Starosty Elbląskiego</t>
  </si>
  <si>
    <t>Turniej sportowo-rekreacyjny dla dzieci wsi pod hasłem "Wakacje na sportowo, bezpiecznie i zdrowo"</t>
  </si>
  <si>
    <t>Budowa mostu zwodzonego w Nowakowie w ciągu drogi</t>
  </si>
  <si>
    <t>powiatowej nr 09160-studium wykonalności i dokumentacja</t>
  </si>
  <si>
    <t>Przebudowa drogi Milejewo-Młynary-Nowe Monestarzysko na odcinku</t>
  </si>
  <si>
    <t>Młynary-N.Monestarzysko- studium wykonalności i dokumentacja</t>
  </si>
  <si>
    <t xml:space="preserve">       §§ 2120, 2310-2330, 6610-6630</t>
  </si>
  <si>
    <t xml:space="preserve">   4. Inne dotacje  - środki pozyskane z innych źródeł - §§ 2700</t>
  </si>
  <si>
    <t>Załącznik nr 10</t>
  </si>
  <si>
    <t>Załącznik  nr 11</t>
  </si>
  <si>
    <t>Załącznik nr 13</t>
  </si>
  <si>
    <t xml:space="preserve">Plan  na 2005 r. </t>
  </si>
  <si>
    <t xml:space="preserve"> PLAN  WYDATKÓW  POWIATU   ELBLĄSKIEGO NA ROK 2005 </t>
  </si>
  <si>
    <t>Wynagrodzenia bezosobowe</t>
  </si>
  <si>
    <t>Opłaty za usługi internetowe</t>
  </si>
  <si>
    <t>Załącznik nr 8</t>
  </si>
  <si>
    <t xml:space="preserve"> P R O G N O Z A    K W O T Y     D Ł U G U   P O W I A T U</t>
  </si>
  <si>
    <t>Sytuacja finansowa Powiatu Elbląskiego</t>
  </si>
  <si>
    <t>A.</t>
  </si>
  <si>
    <t>Dochody własne, w tym:</t>
  </si>
  <si>
    <t>z majątku powiatu</t>
  </si>
  <si>
    <t>z udziału w podatkach</t>
  </si>
  <si>
    <t>B.</t>
  </si>
  <si>
    <t>Subwencje</t>
  </si>
  <si>
    <t>C.</t>
  </si>
  <si>
    <t>Dotacje celowe na zad. adm. rządowej</t>
  </si>
  <si>
    <t>D.</t>
  </si>
  <si>
    <t>Dotacje celowe na zad. własne</t>
  </si>
  <si>
    <t>E.</t>
  </si>
  <si>
    <t>Pozostałe dotacje</t>
  </si>
  <si>
    <t>wydatki bieżące</t>
  </si>
  <si>
    <t>wydatki inwestycyjne</t>
  </si>
  <si>
    <t>Spłaty pożyczek i kred.</t>
  </si>
  <si>
    <t>Spłata zaciąg. poż i kred.</t>
  </si>
  <si>
    <t>w tym spłata pożyczek</t>
  </si>
  <si>
    <t>spłata kredytów</t>
  </si>
  <si>
    <t>odsetki</t>
  </si>
  <si>
    <t>Spłata wnioskowanej pożyczki, kredytu</t>
  </si>
  <si>
    <t>w tym spłata rat pożyczek (kredytów)</t>
  </si>
  <si>
    <t>Wart. udziel. poręczeń</t>
  </si>
  <si>
    <t>Wynik (I-II)</t>
  </si>
  <si>
    <t>Planowana łączna kwota długu</t>
  </si>
  <si>
    <t>Dług/doch (%)</t>
  </si>
  <si>
    <t>Spłaty rat i odsetek /doch (%)</t>
  </si>
  <si>
    <t xml:space="preserve">                                                </t>
  </si>
  <si>
    <t>Wynagordzenia bezosobowe</t>
  </si>
  <si>
    <t>PLAN WYDATKÓW BUDŻETU POWIATU ELBLĄSKIEGO NA  ROK 2005</t>
  </si>
  <si>
    <t>z dnia ..................... 2005 r.</t>
  </si>
  <si>
    <t>Zmiany</t>
  </si>
  <si>
    <t>Plan po zmianach</t>
  </si>
  <si>
    <t>z dnia ................ 2005 r.</t>
  </si>
  <si>
    <t>z dnia ................. 2005 r.</t>
  </si>
  <si>
    <t>z dnia .................... 2005 r.</t>
  </si>
  <si>
    <t>z dnia .................. 2005 r.</t>
  </si>
  <si>
    <t xml:space="preserve">z dnia ...................... 2005 r. </t>
  </si>
  <si>
    <t xml:space="preserve">z dnia ..................... 2005 r. </t>
  </si>
  <si>
    <t xml:space="preserve">z dnia ................... 2005 r. </t>
  </si>
  <si>
    <t>z dnia ...................... 2005 r.</t>
  </si>
  <si>
    <t>4430</t>
  </si>
  <si>
    <t>Zespoły ds. orzekania o niepełnosprawności</t>
  </si>
  <si>
    <t>Plan po zmianch na 2005 r.</t>
  </si>
  <si>
    <t>z dnia ........................ 2005 r.</t>
  </si>
  <si>
    <t>PLAN DOCHODÓW  POWIATU  ELBLĄSKIEGO NA  2005  ROK</t>
  </si>
  <si>
    <t>2910</t>
  </si>
  <si>
    <t>Zwrot dotacji wykorzystanych niezgodnie z przeznaczeniem</t>
  </si>
  <si>
    <t>lub pobranych w nadmiernej wysokości</t>
  </si>
  <si>
    <t>Pozostała dzaiałność</t>
  </si>
  <si>
    <t xml:space="preserve"> - na umowy i porozumienia z jst-§ 2120,2310,2320,2330,6610</t>
  </si>
  <si>
    <t>Rangóry</t>
  </si>
  <si>
    <t>Wyposażenie nowych miejsc pracy - w programie "Wyrównywanie</t>
  </si>
  <si>
    <t>różnic między regionami"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</si>
  <si>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</si>
  <si>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</si>
  <si>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</si>
  <si>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</si>
  <si>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Dotacje celowe przekazane do samorządu województwa</t>
  </si>
  <si>
    <t>na zad.bież.realizowane na pod.porozumień między jst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</si>
  <si>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</si>
  <si>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</si>
  <si>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</si>
  <si>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</si>
  <si>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</si>
  <si>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</si>
  <si>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</si>
  <si>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Wykonanie 2004 r.</t>
  </si>
  <si>
    <t>Otrzymane spadki, zapisy i darowizny w postaci pieniężnej</t>
  </si>
  <si>
    <t>Plan po zmianach na 2005 r.</t>
  </si>
  <si>
    <t>Składki na ubepieczenie społeczne</t>
  </si>
  <si>
    <t>Władysławowo</t>
  </si>
  <si>
    <t>Zakup dwóch piaskarek</t>
  </si>
  <si>
    <t>Organizacja mistrzostw powiatu elbląskiego w koszykówce</t>
  </si>
  <si>
    <t>Powiatowa Olimpiada Sportowa Przedszkolaków</t>
  </si>
  <si>
    <t>Otwarte mistrzostwa powiatu elbląskiego w biegu na orientację</t>
  </si>
  <si>
    <t>Przygotowanie i udział reprezentacji powiatu elbląskiego w Ogólnopolskiej Spartakiadzie Młodzieży i Mistrzostwach Polski w lekkiej atletyce osób niepełnosprawnych</t>
  </si>
  <si>
    <t>Powiatowa inauguracja sportowego roku szkolnego 2005/2006</t>
  </si>
  <si>
    <t>Załącznik nr 15</t>
  </si>
  <si>
    <t>WYDATKI ZWIĄZANE Z REALIZACJĄ WIELOLETNICH PROGRAMÓW INWESTYCYJNYCH</t>
  </si>
  <si>
    <t>OGÓŁEM</t>
  </si>
  <si>
    <t>Starostwo</t>
  </si>
  <si>
    <t>2006 r.</t>
  </si>
  <si>
    <t>2007 r.</t>
  </si>
  <si>
    <t>z programów UE</t>
  </si>
  <si>
    <t>stanowiącej ciąg dróg powiatowych nr 09149 i 09150 gm. Elbląg</t>
  </si>
  <si>
    <t>Udrożnienie drogi alternatywnej dla ruchu ponadlokalnego</t>
  </si>
  <si>
    <t>2328</t>
  </si>
  <si>
    <t>2329</t>
  </si>
  <si>
    <t>Dotacje celowe otrzymane z powiatu na zadania bieżące</t>
  </si>
  <si>
    <t>realizowane na podstawie porozumień między j.s.t.</t>
  </si>
  <si>
    <t xml:space="preserve">Termomodernizacja wraz z remontem dachu w budynku </t>
  </si>
  <si>
    <t>Starostwa Powiatowego w Elblągu</t>
  </si>
  <si>
    <t>Odsetki od nieterminowych wpłat z tyt. podatków i opłat</t>
  </si>
  <si>
    <t>Wykup papierów wart.         i poręczeń</t>
  </si>
  <si>
    <t>Zakup sprzętu komputerowego</t>
  </si>
  <si>
    <t>Wydatki na zakupy inwestycyjne jednostek budżet.</t>
  </si>
  <si>
    <t>80145</t>
  </si>
  <si>
    <t>Komisje egzaminacyjne</t>
  </si>
  <si>
    <t>8510</t>
  </si>
  <si>
    <t>Wpływy z różnych rozliczeń</t>
  </si>
  <si>
    <t>0870</t>
  </si>
  <si>
    <t>Wpływy z opłat za zarząd, użytkowanie i użytkowanie</t>
  </si>
  <si>
    <t>Wpływy ze sprzedaży wyrobów</t>
  </si>
  <si>
    <t>Otrzymane spadki, darowizny w postaci pieniężnej</t>
  </si>
  <si>
    <t>Wpływy ze sprzedaży składników majątkowych</t>
  </si>
  <si>
    <t>Dochody od osób prawnych, od osób fizycznych i od</t>
  </si>
  <si>
    <t>innych jednostek nieposiadających osob. prawnej</t>
  </si>
  <si>
    <t>Podatek od towarów i usług</t>
  </si>
  <si>
    <t>Środki na inwestycje rozpoczęte przed dniem 01.01.1999 r.</t>
  </si>
  <si>
    <t>Uzupełnienie subwencji ogólnej dla j.s.t.</t>
  </si>
  <si>
    <t>80195</t>
  </si>
  <si>
    <t>2130</t>
  </si>
  <si>
    <t>Poradnie psychol.-pedagog.oraz in.poradnie specjalistyczne.</t>
  </si>
  <si>
    <t xml:space="preserve">Zakup systemu do wgłębnego, drobnopęcherzykowego </t>
  </si>
  <si>
    <t>napowietrzania ścieków wraz z ruruciągiem i dmuchawą</t>
  </si>
  <si>
    <t>MOW</t>
  </si>
  <si>
    <t>Kamiennica Elb.</t>
  </si>
  <si>
    <t>Likwidacja barier architektonicznych - wykonanie pochylni do wejścia</t>
  </si>
  <si>
    <t>gł. szkoły, w programie "Wyrównywanie różnic między regionami"</t>
  </si>
  <si>
    <t xml:space="preserve">Utworzenie Centrum Współpracy Polsko-Litewskiej oraz Poradnictwa </t>
  </si>
  <si>
    <t>Psychologiczno-Zawodowego w Pasłęku</t>
  </si>
  <si>
    <t>Likwidacja barier transportowych - zakup samochodu osobowego</t>
  </si>
  <si>
    <t>mikrobus z przystosowaniem do przewozu osób niepełnosprawnych</t>
  </si>
  <si>
    <t>Wyposażenie 1 nowego miejsca pracy - w programie "Wyrównywanie</t>
  </si>
  <si>
    <t>Szpitale ogólne</t>
  </si>
  <si>
    <t>85111</t>
  </si>
  <si>
    <t>Szpitale ogólne - Wydatki ogółem, z tego:</t>
  </si>
  <si>
    <t>6610</t>
  </si>
  <si>
    <t>Dotacje celowe otrzymane z gminy na inwestycje i zakupy</t>
  </si>
  <si>
    <t>inwestycyjne realizowane na podst. porozumień między j.s.t.</t>
  </si>
  <si>
    <t>Dotacja podmiotowa z budżetu dla spozoz</t>
  </si>
  <si>
    <t>utworzonego przez j.s.t.</t>
  </si>
  <si>
    <t>Wpływy z tytułu pomocy finansowej udzielanej między j.s.t.</t>
  </si>
  <si>
    <t>na dofinansowanie własnych zadań inwest. i zakupów inwest.</t>
  </si>
  <si>
    <t>Aktywizowanie społeczności lokalnych powiatu elbląskiego poprzez wspieranie organizacji pozarządowych z tego powiatu</t>
  </si>
  <si>
    <t xml:space="preserve">       Plan dotacji w dziale 750 Administracja publiczna</t>
  </si>
  <si>
    <t>2. Pozostałe dotacje-środki pozyskane z innych  źródeł              - § 2700, 6300</t>
  </si>
  <si>
    <t>Dotacje podmiotowe - na rok 2005</t>
  </si>
  <si>
    <t>Załącznik nr 16</t>
  </si>
  <si>
    <t>Budowa kompleksu boisk sportowych przy Zespole Szkół w Pasłęku</t>
  </si>
  <si>
    <t>WYDATKI OGÓŁEM</t>
  </si>
  <si>
    <t>Dotacje celowe otrzymane z budżetu państwa na zad.bieżące</t>
  </si>
  <si>
    <t>realizowane przez powiat na podst. porozumień z org.adm.rząd.</t>
  </si>
  <si>
    <t>Zespoły d/s orzekania o  niepełnosprawności</t>
  </si>
  <si>
    <t>Środki na uzupełnienie dochodów powiatu</t>
  </si>
  <si>
    <t>Zespoły ds.orzekania o niepełnosprawności - Wydatki ogółem, z tego:</t>
  </si>
  <si>
    <t>2390</t>
  </si>
  <si>
    <t>Wpływy do budżetu ze środków specjalnych</t>
  </si>
  <si>
    <t>Wydatki na zakupy inwestycyjne jednostek budzetowych</t>
  </si>
  <si>
    <t>Kary i odszk. wypłacane na rzecz os.prawnych i innych</t>
  </si>
  <si>
    <t>Zakup dwóch zestawów komputerowych i kserokopiarki</t>
  </si>
  <si>
    <t>Poradnia</t>
  </si>
  <si>
    <t>Psycholog.-Pedagog.</t>
  </si>
  <si>
    <t>POPRAWIC O 3 000 ZŁ</t>
  </si>
  <si>
    <t>Pozostała działalność - Wydatki ogółem;</t>
  </si>
  <si>
    <t>Wnagrodzenia bezosobowe</t>
  </si>
  <si>
    <t>Obrona narodowa</t>
  </si>
  <si>
    <t>Pozostałe wydatki obronne</t>
  </si>
  <si>
    <t>752</t>
  </si>
  <si>
    <t>75212</t>
  </si>
  <si>
    <t>Obrona narodowa - Wydatki ogółem, z tego:</t>
  </si>
  <si>
    <t>do uchwały Nr XXV/51/05</t>
  </si>
  <si>
    <t>z dnia 30 grudnia 2005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</si>
</sst>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i/>
      <sz val="8.5"/>
      <name val="Arial CE"/>
      <family val="2"/>
    </font>
    <font>
      <sz val="8.5"/>
      <name val="Arial CE"/>
      <family val="2"/>
    </font>
    <font>
      <b/>
      <sz val="8.5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3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3" fontId="6" fillId="0" borderId="15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2" fillId="0" borderId="5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0" fillId="0" borderId="4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3" fontId="0" fillId="0" borderId="4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Continuous"/>
    </xf>
    <xf numFmtId="3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 horizontal="centerContinuous"/>
    </xf>
    <xf numFmtId="0" fontId="5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3" fontId="1" fillId="0" borderId="3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6" fillId="0" borderId="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1" fillId="0" borderId="38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39" xfId="0" applyFont="1" applyBorder="1" applyAlignment="1">
      <alignment horizontal="center"/>
    </xf>
    <xf numFmtId="3" fontId="0" fillId="0" borderId="62" xfId="0" applyNumberFormat="1" applyFont="1" applyBorder="1" applyAlignment="1">
      <alignment horizontal="right"/>
    </xf>
    <xf numFmtId="0" fontId="4" fillId="0" borderId="63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53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0" fillId="0" borderId="60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3" fontId="1" fillId="0" borderId="36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3" fontId="2" fillId="0" borderId="2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 shrinkToFit="1"/>
    </xf>
    <xf numFmtId="3" fontId="2" fillId="0" borderId="6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3" fontId="0" fillId="0" borderId="9" xfId="0" applyNumberFormat="1" applyFont="1" applyBorder="1" applyAlignment="1">
      <alignment/>
    </xf>
    <xf numFmtId="0" fontId="11" fillId="0" borderId="5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33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17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38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169" fontId="0" fillId="0" borderId="6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13" fillId="0" borderId="59" xfId="0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2" fillId="0" borderId="59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59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1" fillId="0" borderId="38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2" fillId="0" borderId="6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2" fillId="0" borderId="22" xfId="0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33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6" xfId="0" applyFont="1" applyBorder="1" applyAlignment="1">
      <alignment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3" fontId="16" fillId="0" borderId="59" xfId="0" applyNumberFormat="1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49" fontId="0" fillId="0" borderId="33" xfId="0" applyNumberFormat="1" applyFont="1" applyBorder="1" applyAlignment="1">
      <alignment horizontal="center"/>
    </xf>
    <xf numFmtId="0" fontId="2" fillId="0" borderId="60" xfId="0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3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" fillId="0" borderId="26" xfId="0" applyFont="1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B12" sqref="B12:B14"/>
    </sheetView>
  </sheetViews>
  <sheetFormatPr defaultColWidth="9.00390625" defaultRowHeight="12.75"/>
  <cols>
    <col min="1" max="1" width="55.875" style="14" customWidth="1"/>
    <col min="2" max="2" width="24.00390625" style="14" customWidth="1"/>
    <col min="3" max="16384" width="9.125" style="14" customWidth="1"/>
  </cols>
  <sheetData>
    <row r="1" ht="12">
      <c r="B1" s="15" t="s">
        <v>98</v>
      </c>
    </row>
    <row r="2" spans="1:2" ht="12">
      <c r="A2" s="16"/>
      <c r="B2" s="15" t="s">
        <v>771</v>
      </c>
    </row>
    <row r="3" spans="1:2" ht="12">
      <c r="A3" s="16"/>
      <c r="B3" s="15" t="s">
        <v>50</v>
      </c>
    </row>
    <row r="4" spans="1:2" ht="12">
      <c r="A4" s="16"/>
      <c r="B4" s="15" t="s">
        <v>772</v>
      </c>
    </row>
    <row r="5" spans="1:2" ht="9.75">
      <c r="A5" s="16"/>
      <c r="B5" s="16"/>
    </row>
    <row r="6" spans="1:2" ht="9.75">
      <c r="A6" s="16"/>
      <c r="B6" s="16"/>
    </row>
    <row r="7" spans="1:2" ht="9.75">
      <c r="A7" s="16"/>
      <c r="B7" s="16"/>
    </row>
    <row r="8" spans="1:2" ht="9.75">
      <c r="A8" s="17"/>
      <c r="B8" s="17"/>
    </row>
    <row r="9" spans="1:2" ht="15">
      <c r="A9" s="718" t="s">
        <v>492</v>
      </c>
      <c r="B9" s="718"/>
    </row>
    <row r="10" spans="1:2" ht="9.75">
      <c r="A10" s="18"/>
      <c r="B10" s="18"/>
    </row>
    <row r="11" spans="1:2" ht="13.5" customHeight="1" thickBot="1">
      <c r="A11" s="717" t="s">
        <v>51</v>
      </c>
      <c r="B11" s="717"/>
    </row>
    <row r="12" spans="1:2" ht="14.25" customHeight="1">
      <c r="A12" s="719" t="s">
        <v>52</v>
      </c>
      <c r="B12" s="722" t="s">
        <v>491</v>
      </c>
    </row>
    <row r="13" spans="1:2" ht="12.75" customHeight="1">
      <c r="A13" s="720"/>
      <c r="B13" s="723"/>
    </row>
    <row r="14" spans="1:2" ht="13.5" customHeight="1" thickBot="1">
      <c r="A14" s="721"/>
      <c r="B14" s="724"/>
    </row>
    <row r="15" spans="1:2" ht="12.75" thickBot="1">
      <c r="A15" s="294">
        <v>1</v>
      </c>
      <c r="B15" s="315">
        <v>2</v>
      </c>
    </row>
    <row r="16" spans="1:2" ht="12">
      <c r="A16" s="146"/>
      <c r="B16" s="32"/>
    </row>
    <row r="17" spans="1:2" ht="12">
      <c r="A17" s="159" t="s">
        <v>112</v>
      </c>
      <c r="B17" s="35">
        <f>'Dochody-ukł.wykon.'!G89</f>
        <v>2415735</v>
      </c>
    </row>
    <row r="18" spans="1:2" ht="12.75" thickBot="1">
      <c r="A18" s="164"/>
      <c r="B18" s="38"/>
    </row>
    <row r="19" spans="1:2" ht="12">
      <c r="A19" s="296" t="s">
        <v>53</v>
      </c>
      <c r="B19" s="163">
        <f>SUM(B20:B21)</f>
        <v>141731</v>
      </c>
    </row>
    <row r="20" spans="1:2" ht="12">
      <c r="A20" s="296" t="s">
        <v>54</v>
      </c>
      <c r="B20" s="148">
        <f>'Dochody-ukł.wykon.'!G39</f>
        <v>3750</v>
      </c>
    </row>
    <row r="21" spans="1:2" ht="12.75" thickBot="1">
      <c r="A21" s="298" t="s">
        <v>55</v>
      </c>
      <c r="B21" s="380">
        <v>137981</v>
      </c>
    </row>
    <row r="22" spans="1:2" ht="12.75" customHeight="1">
      <c r="A22" s="714" t="s">
        <v>56</v>
      </c>
      <c r="B22" s="726">
        <f>5710740+103243+3000-155163-140870-40000-355+17395+98800+13206</f>
        <v>5609996</v>
      </c>
    </row>
    <row r="23" spans="1:2" ht="13.5" customHeight="1" thickBot="1">
      <c r="A23" s="725"/>
      <c r="B23" s="727"/>
    </row>
    <row r="24" spans="1:2" ht="12.75" thickBot="1">
      <c r="A24" s="299" t="s">
        <v>57</v>
      </c>
      <c r="B24" s="381">
        <f>'Dochody-ukł.wykon.'!G107+'Dochody-ukł.wykon.'!G44</f>
        <v>191586</v>
      </c>
    </row>
    <row r="25" spans="1:2" ht="12.75" customHeight="1">
      <c r="A25" s="714" t="s">
        <v>58</v>
      </c>
      <c r="B25" s="715">
        <f>B24+B22+B19+B17</f>
        <v>8359048</v>
      </c>
    </row>
    <row r="26" spans="1:2" ht="15" customHeight="1" thickBot="1">
      <c r="A26" s="714"/>
      <c r="B26" s="716"/>
    </row>
    <row r="27" spans="1:2" ht="12">
      <c r="A27" s="300"/>
      <c r="B27" s="382"/>
    </row>
    <row r="28" spans="1:2" ht="12">
      <c r="A28" s="159" t="s">
        <v>59</v>
      </c>
      <c r="B28" s="383">
        <f>'Dochody-ukł.wykon.'!G97+'Dochody-ukł.wykon.'!G104+'Dochody-ukł.wykon.'!G109+'Dochody-ukł.wykon.'!G99</f>
        <v>16678921</v>
      </c>
    </row>
    <row r="29" spans="1:2" ht="12.75" thickBot="1">
      <c r="A29" s="164"/>
      <c r="B29" s="360"/>
    </row>
    <row r="30" spans="1:2" ht="12">
      <c r="A30" s="301"/>
      <c r="B30" s="382"/>
    </row>
    <row r="31" spans="1:2" ht="12">
      <c r="A31" s="159" t="s">
        <v>60</v>
      </c>
      <c r="B31" s="384">
        <f>SUM(B34:B44)</f>
        <v>8548501</v>
      </c>
    </row>
    <row r="32" spans="1:2" ht="12.75" thickBot="1">
      <c r="A32" s="164"/>
      <c r="B32" s="360"/>
    </row>
    <row r="33" spans="1:2" ht="12">
      <c r="A33" s="159"/>
      <c r="B33" s="383"/>
    </row>
    <row r="34" spans="1:2" ht="12">
      <c r="A34" s="159" t="s">
        <v>275</v>
      </c>
      <c r="B34" s="383">
        <f>'Dochody-ukł.wykon.'!G250</f>
        <v>2864339</v>
      </c>
    </row>
    <row r="35" spans="1:2" ht="12">
      <c r="A35" s="296"/>
      <c r="B35" s="148"/>
    </row>
    <row r="36" spans="1:2" ht="12">
      <c r="A36" s="159"/>
      <c r="B36" s="383"/>
    </row>
    <row r="37" spans="1:2" ht="12">
      <c r="A37" s="159" t="s">
        <v>478</v>
      </c>
      <c r="B37" s="383"/>
    </row>
    <row r="38" spans="1:2" ht="12">
      <c r="A38" s="159" t="s">
        <v>479</v>
      </c>
      <c r="B38" s="383">
        <f>'Dochody-ukł.wykon.'!G251</f>
        <v>3705081</v>
      </c>
    </row>
    <row r="39" spans="1:2" ht="12">
      <c r="A39" s="296" t="s">
        <v>480</v>
      </c>
      <c r="B39" s="148"/>
    </row>
    <row r="40" spans="1:2" ht="12">
      <c r="A40" s="159"/>
      <c r="B40" s="383"/>
    </row>
    <row r="41" spans="1:2" ht="12">
      <c r="A41" s="159" t="s">
        <v>481</v>
      </c>
      <c r="B41" s="383">
        <f>'Dochody-ukł.wykon.'!G252</f>
        <v>1624339</v>
      </c>
    </row>
    <row r="42" spans="1:2" ht="12">
      <c r="A42" s="296" t="s">
        <v>598</v>
      </c>
      <c r="B42" s="148"/>
    </row>
    <row r="43" spans="1:2" ht="12">
      <c r="A43" s="159"/>
      <c r="B43" s="383"/>
    </row>
    <row r="44" spans="1:2" ht="12">
      <c r="A44" s="296" t="s">
        <v>599</v>
      </c>
      <c r="B44" s="148">
        <f>'Dochody-ukł.wykon.'!G253</f>
        <v>354742</v>
      </c>
    </row>
    <row r="45" spans="1:2" ht="12">
      <c r="A45" s="159"/>
      <c r="B45" s="383"/>
    </row>
    <row r="46" spans="1:2" ht="12">
      <c r="A46" s="159" t="s">
        <v>61</v>
      </c>
      <c r="B46" s="384">
        <f>B31+B28</f>
        <v>25227422</v>
      </c>
    </row>
    <row r="47" spans="1:2" ht="12.75" thickBot="1">
      <c r="A47" s="146"/>
      <c r="B47" s="383"/>
    </row>
    <row r="48" spans="1:2" ht="12">
      <c r="A48" s="302"/>
      <c r="B48" s="382"/>
    </row>
    <row r="49" spans="1:2" ht="12">
      <c r="A49" s="303" t="s">
        <v>62</v>
      </c>
      <c r="B49" s="385">
        <f>B46+B25</f>
        <v>33586470</v>
      </c>
    </row>
    <row r="50" spans="1:2" ht="12.75" thickBot="1">
      <c r="A50" s="164"/>
      <c r="B50" s="171"/>
    </row>
  </sheetData>
  <mergeCells count="8">
    <mergeCell ref="A25:A26"/>
    <mergeCell ref="B25:B26"/>
    <mergeCell ref="A11:B11"/>
    <mergeCell ref="A9:B9"/>
    <mergeCell ref="A12:A14"/>
    <mergeCell ref="B12:B14"/>
    <mergeCell ref="A22:A23"/>
    <mergeCell ref="B22:B23"/>
  </mergeCells>
  <printOptions horizontalCentered="1"/>
  <pageMargins left="0.6692913385826772" right="0.669291338582677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1">
      <selection activeCell="E34" sqref="E34"/>
    </sheetView>
  </sheetViews>
  <sheetFormatPr defaultColWidth="9.00390625" defaultRowHeight="12.75"/>
  <cols>
    <col min="1" max="1" width="4.875" style="14" customWidth="1"/>
    <col min="2" max="2" width="6.875" style="14" customWidth="1"/>
    <col min="3" max="3" width="44.125" style="14" customWidth="1"/>
    <col min="4" max="4" width="15.125" style="14" customWidth="1"/>
    <col min="5" max="5" width="14.875" style="14" customWidth="1"/>
    <col min="6" max="16384" width="9.125" style="14" customWidth="1"/>
  </cols>
  <sheetData>
    <row r="1" spans="4:5" ht="12">
      <c r="D1" s="15" t="s">
        <v>607</v>
      </c>
      <c r="E1" s="15"/>
    </row>
    <row r="2" spans="3:5" ht="12">
      <c r="C2" s="18"/>
      <c r="D2" s="15" t="s">
        <v>314</v>
      </c>
      <c r="E2" s="15"/>
    </row>
    <row r="3" spans="3:5" ht="12">
      <c r="C3" s="18"/>
      <c r="D3" s="15" t="s">
        <v>50</v>
      </c>
      <c r="E3" s="15"/>
    </row>
    <row r="4" spans="3:5" ht="12">
      <c r="C4" s="18"/>
      <c r="D4" s="15" t="s">
        <v>645</v>
      </c>
      <c r="E4" s="16"/>
    </row>
    <row r="5" spans="3:5" ht="9.75">
      <c r="C5" s="18"/>
      <c r="D5" s="16"/>
      <c r="E5" s="16"/>
    </row>
    <row r="6" spans="3:5" ht="9.75">
      <c r="C6" s="18"/>
      <c r="D6" s="16"/>
      <c r="E6" s="16"/>
    </row>
    <row r="7" spans="3:5" ht="9.75">
      <c r="C7" s="18"/>
      <c r="D7" s="16"/>
      <c r="E7" s="16"/>
    </row>
    <row r="8" spans="4:5" ht="9.75">
      <c r="D8" s="16"/>
      <c r="E8" s="16"/>
    </row>
    <row r="9" spans="1:5" ht="12.75" customHeight="1">
      <c r="A9" s="769" t="s">
        <v>564</v>
      </c>
      <c r="B9" s="769"/>
      <c r="C9" s="769"/>
      <c r="D9" s="769"/>
      <c r="E9" s="769"/>
    </row>
    <row r="10" spans="3:4" ht="9.75">
      <c r="C10" s="18"/>
      <c r="D10" s="182"/>
    </row>
    <row r="11" spans="3:4" ht="9.75">
      <c r="C11" s="18"/>
      <c r="D11" s="89"/>
    </row>
    <row r="12" spans="2:5" ht="10.5" thickBot="1">
      <c r="B12" s="16"/>
      <c r="C12" s="16"/>
      <c r="D12" s="20"/>
      <c r="E12" s="59" t="s">
        <v>343</v>
      </c>
    </row>
    <row r="13" spans="2:5" ht="12.75">
      <c r="B13" s="185"/>
      <c r="C13" s="192"/>
      <c r="D13" s="193" t="s">
        <v>344</v>
      </c>
      <c r="E13" s="194" t="s">
        <v>345</v>
      </c>
    </row>
    <row r="14" spans="2:5" ht="12.75">
      <c r="B14" s="195" t="s">
        <v>346</v>
      </c>
      <c r="C14" s="3" t="s">
        <v>347</v>
      </c>
      <c r="D14" s="3" t="s">
        <v>348</v>
      </c>
      <c r="E14" s="196" t="s">
        <v>349</v>
      </c>
    </row>
    <row r="15" spans="2:5" ht="13.5" thickBot="1">
      <c r="B15" s="197"/>
      <c r="C15" s="198"/>
      <c r="D15" s="198" t="s">
        <v>350</v>
      </c>
      <c r="E15" s="199" t="s">
        <v>496</v>
      </c>
    </row>
    <row r="16" spans="2:5" ht="12" customHeight="1" thickBot="1">
      <c r="B16" s="60">
        <v>1</v>
      </c>
      <c r="C16" s="61">
        <v>2</v>
      </c>
      <c r="D16" s="61">
        <v>3</v>
      </c>
      <c r="E16" s="62">
        <v>4</v>
      </c>
    </row>
    <row r="17" spans="2:5" ht="12.75">
      <c r="B17" s="85" t="s">
        <v>351</v>
      </c>
      <c r="C17" s="9" t="s">
        <v>352</v>
      </c>
      <c r="D17" s="3"/>
      <c r="E17" s="316">
        <f>'Dochody-ukł.wykon.'!G248</f>
        <v>33586470</v>
      </c>
    </row>
    <row r="18" spans="2:7" ht="12.75">
      <c r="B18" s="200" t="s">
        <v>353</v>
      </c>
      <c r="C18" s="201" t="s">
        <v>354</v>
      </c>
      <c r="D18" s="202"/>
      <c r="E18" s="103">
        <f>'WYDATKI Zał.2'!F387+'WYDATKI Zał.2'!F382</f>
        <v>35097417</v>
      </c>
      <c r="G18" s="30"/>
    </row>
    <row r="19" spans="2:7" ht="12.75">
      <c r="B19" s="200"/>
      <c r="C19" s="201" t="s">
        <v>355</v>
      </c>
      <c r="D19" s="202"/>
      <c r="E19" s="103">
        <f>E17-E18</f>
        <v>-1510947</v>
      </c>
      <c r="G19" s="30"/>
    </row>
    <row r="20" spans="2:5" ht="13.5" thickBot="1">
      <c r="B20" s="178"/>
      <c r="C20" s="203" t="s">
        <v>356</v>
      </c>
      <c r="D20" s="95"/>
      <c r="E20" s="210">
        <f>E21-E29</f>
        <v>1510947</v>
      </c>
    </row>
    <row r="21" spans="2:5" ht="13.5" thickBot="1">
      <c r="B21" s="204" t="s">
        <v>357</v>
      </c>
      <c r="C21" s="205" t="s">
        <v>358</v>
      </c>
      <c r="D21" s="206"/>
      <c r="E21" s="106">
        <f>SUM(E22:E28)</f>
        <v>3922047</v>
      </c>
    </row>
    <row r="22" spans="2:5" ht="12.75">
      <c r="B22" s="82" t="s">
        <v>359</v>
      </c>
      <c r="C22" s="77" t="s">
        <v>360</v>
      </c>
      <c r="D22" s="6" t="s">
        <v>361</v>
      </c>
      <c r="E22" s="67">
        <v>1161405</v>
      </c>
    </row>
    <row r="23" spans="2:5" ht="12.75">
      <c r="B23" s="82" t="s">
        <v>362</v>
      </c>
      <c r="C23" s="201" t="s">
        <v>363</v>
      </c>
      <c r="D23" s="6" t="s">
        <v>361</v>
      </c>
      <c r="E23" s="67"/>
    </row>
    <row r="24" spans="2:5" ht="12.75">
      <c r="B24" s="82" t="s">
        <v>364</v>
      </c>
      <c r="C24" s="201" t="s">
        <v>365</v>
      </c>
      <c r="D24" s="6" t="s">
        <v>366</v>
      </c>
      <c r="E24" s="67"/>
    </row>
    <row r="25" spans="2:5" ht="12.75">
      <c r="B25" s="82" t="s">
        <v>367</v>
      </c>
      <c r="C25" s="201" t="s">
        <v>368</v>
      </c>
      <c r="D25" s="6" t="s">
        <v>369</v>
      </c>
      <c r="E25" s="67"/>
    </row>
    <row r="26" spans="2:5" ht="12.75">
      <c r="B26" s="82" t="s">
        <v>370</v>
      </c>
      <c r="C26" s="201" t="s">
        <v>371</v>
      </c>
      <c r="D26" s="6" t="s">
        <v>372</v>
      </c>
      <c r="E26" s="67">
        <v>2760642</v>
      </c>
    </row>
    <row r="27" spans="2:5" ht="12.75">
      <c r="B27" s="82" t="s">
        <v>373</v>
      </c>
      <c r="C27" s="201" t="s">
        <v>374</v>
      </c>
      <c r="D27" s="6" t="s">
        <v>375</v>
      </c>
      <c r="E27" s="67"/>
    </row>
    <row r="28" spans="2:7" ht="13.5" thickBot="1">
      <c r="B28" s="178" t="s">
        <v>376</v>
      </c>
      <c r="C28" s="203" t="s">
        <v>377</v>
      </c>
      <c r="D28" s="95" t="s">
        <v>366</v>
      </c>
      <c r="E28" s="81"/>
      <c r="G28" s="30"/>
    </row>
    <row r="29" spans="2:5" ht="13.5" thickBot="1">
      <c r="B29" s="204" t="s">
        <v>378</v>
      </c>
      <c r="C29" s="205" t="s">
        <v>379</v>
      </c>
      <c r="D29" s="206"/>
      <c r="E29" s="106">
        <f>SUM(E30:E35)</f>
        <v>2411100</v>
      </c>
    </row>
    <row r="30" spans="2:5" ht="12.75">
      <c r="B30" s="82" t="s">
        <v>359</v>
      </c>
      <c r="C30" s="77" t="s">
        <v>380</v>
      </c>
      <c r="D30" s="6" t="s">
        <v>381</v>
      </c>
      <c r="E30" s="67">
        <f>4400+8040+15017</f>
        <v>27457</v>
      </c>
    </row>
    <row r="31" spans="2:5" ht="12.75">
      <c r="B31" s="82" t="s">
        <v>362</v>
      </c>
      <c r="C31" s="77" t="s">
        <v>382</v>
      </c>
      <c r="D31" s="6" t="s">
        <v>383</v>
      </c>
      <c r="E31" s="67"/>
    </row>
    <row r="32" spans="2:5" ht="12.75">
      <c r="B32" s="82" t="s">
        <v>364</v>
      </c>
      <c r="C32" s="201" t="s">
        <v>384</v>
      </c>
      <c r="D32" s="6" t="s">
        <v>381</v>
      </c>
      <c r="E32" s="67">
        <v>204998</v>
      </c>
    </row>
    <row r="33" spans="2:5" ht="12.75">
      <c r="B33" s="82" t="s">
        <v>367</v>
      </c>
      <c r="C33" s="201" t="s">
        <v>385</v>
      </c>
      <c r="D33" s="6" t="s">
        <v>386</v>
      </c>
      <c r="E33" s="322">
        <f>2739449-48054-623000+110250</f>
        <v>2178645</v>
      </c>
    </row>
    <row r="34" spans="2:5" ht="12.75">
      <c r="B34" s="200" t="s">
        <v>370</v>
      </c>
      <c r="C34" s="201" t="s">
        <v>387</v>
      </c>
      <c r="D34" s="6" t="s">
        <v>388</v>
      </c>
      <c r="E34" s="75"/>
    </row>
    <row r="35" spans="2:5" ht="13.5" thickBot="1">
      <c r="B35" s="207" t="s">
        <v>373</v>
      </c>
      <c r="C35" s="208" t="s">
        <v>389</v>
      </c>
      <c r="D35" s="209" t="s">
        <v>383</v>
      </c>
      <c r="E35" s="210"/>
    </row>
    <row r="37" ht="10.5" thickBot="1"/>
    <row r="38" spans="2:5" ht="25.5">
      <c r="B38" s="347" t="s">
        <v>565</v>
      </c>
      <c r="C38" s="342" t="s">
        <v>572</v>
      </c>
      <c r="D38" s="350" t="s">
        <v>575</v>
      </c>
      <c r="E38" s="343">
        <v>0</v>
      </c>
    </row>
    <row r="39" spans="2:5" ht="25.5">
      <c r="B39" s="348" t="s">
        <v>566</v>
      </c>
      <c r="C39" s="341" t="s">
        <v>571</v>
      </c>
      <c r="D39" s="351" t="s">
        <v>575</v>
      </c>
      <c r="E39" s="344">
        <v>0</v>
      </c>
    </row>
    <row r="40" spans="2:5" ht="25.5">
      <c r="B40" s="348" t="s">
        <v>567</v>
      </c>
      <c r="C40" s="341" t="s">
        <v>568</v>
      </c>
      <c r="D40" s="351" t="s">
        <v>575</v>
      </c>
      <c r="E40" s="344">
        <v>0</v>
      </c>
    </row>
    <row r="41" spans="2:5" ht="25.5" customHeight="1" thickBot="1">
      <c r="B41" s="349" t="s">
        <v>569</v>
      </c>
      <c r="C41" s="345" t="s">
        <v>570</v>
      </c>
      <c r="D41" s="352" t="s">
        <v>575</v>
      </c>
      <c r="E41" s="346">
        <v>0</v>
      </c>
    </row>
    <row r="42" spans="2:5" ht="12.75">
      <c r="B42" s="55"/>
      <c r="C42" s="55"/>
      <c r="D42" s="55"/>
      <c r="E42" s="55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1">
      <selection activeCell="D36" sqref="D36"/>
    </sheetView>
  </sheetViews>
  <sheetFormatPr defaultColWidth="9.00390625" defaultRowHeight="12.75"/>
  <cols>
    <col min="1" max="1" width="6.125" style="14" customWidth="1"/>
    <col min="2" max="2" width="44.625" style="14" customWidth="1"/>
    <col min="3" max="3" width="12.00390625" style="14" customWidth="1"/>
    <col min="4" max="4" width="11.125" style="14" customWidth="1"/>
    <col min="5" max="5" width="11.625" style="14" customWidth="1"/>
    <col min="6" max="6" width="11.125" style="14" customWidth="1"/>
    <col min="7" max="16384" width="9.125" style="14" customWidth="1"/>
  </cols>
  <sheetData>
    <row r="1" spans="4:6" ht="12">
      <c r="D1" s="16"/>
      <c r="E1" s="15" t="s">
        <v>408</v>
      </c>
      <c r="F1" s="107"/>
    </row>
    <row r="2" spans="1:6" ht="12">
      <c r="A2" s="211"/>
      <c r="B2" s="212"/>
      <c r="C2" s="211"/>
      <c r="D2" s="16"/>
      <c r="E2" s="15" t="s">
        <v>390</v>
      </c>
      <c r="F2" s="107"/>
    </row>
    <row r="3" spans="1:6" ht="12">
      <c r="A3" s="211"/>
      <c r="B3" s="212"/>
      <c r="D3" s="16"/>
      <c r="E3" s="15" t="s">
        <v>50</v>
      </c>
      <c r="F3" s="107"/>
    </row>
    <row r="4" spans="1:6" ht="12">
      <c r="A4" s="211"/>
      <c r="B4" s="212"/>
      <c r="D4" s="16"/>
      <c r="E4" s="15" t="s">
        <v>646</v>
      </c>
      <c r="F4" s="107"/>
    </row>
    <row r="5" spans="1:6" ht="12">
      <c r="A5" s="211"/>
      <c r="B5" s="212"/>
      <c r="D5" s="16"/>
      <c r="E5" s="15"/>
      <c r="F5" s="107"/>
    </row>
    <row r="6" spans="1:5" ht="9.75">
      <c r="A6" s="211"/>
      <c r="B6" s="212"/>
      <c r="D6" s="16"/>
      <c r="E6" s="16"/>
    </row>
    <row r="7" spans="1:5" ht="9.75">
      <c r="A7" s="211"/>
      <c r="B7" s="212"/>
      <c r="D7" s="16"/>
      <c r="E7" s="16"/>
    </row>
    <row r="8" spans="1:5" ht="9.75">
      <c r="A8" s="211"/>
      <c r="B8" s="212"/>
      <c r="D8" s="16"/>
      <c r="E8" s="16"/>
    </row>
    <row r="9" spans="1:6" ht="9.75">
      <c r="A9" s="211"/>
      <c r="B9" s="212"/>
      <c r="D9" s="213"/>
      <c r="E9" s="211"/>
      <c r="F9" s="211"/>
    </row>
    <row r="10" spans="1:6" ht="12.75" customHeight="1">
      <c r="A10" s="789" t="s">
        <v>608</v>
      </c>
      <c r="B10" s="789"/>
      <c r="C10" s="789"/>
      <c r="D10" s="789"/>
      <c r="E10" s="789"/>
      <c r="F10" s="789"/>
    </row>
    <row r="11" spans="1:6" ht="9.75">
      <c r="A11" s="211"/>
      <c r="B11" s="214"/>
      <c r="C11" s="211"/>
      <c r="D11" s="211"/>
      <c r="E11" s="211"/>
      <c r="F11" s="211"/>
    </row>
    <row r="12" spans="1:6" ht="9.75">
      <c r="A12" s="211"/>
      <c r="B12" s="214"/>
      <c r="C12" s="211"/>
      <c r="D12" s="211"/>
      <c r="E12" s="211"/>
      <c r="F12" s="211"/>
    </row>
    <row r="13" spans="1:6" ht="9.75">
      <c r="A13" s="211"/>
      <c r="B13" s="212"/>
      <c r="C13" s="211"/>
      <c r="D13" s="211"/>
      <c r="E13" s="211"/>
      <c r="F13" s="211"/>
    </row>
    <row r="14" ht="10.5" thickBot="1">
      <c r="F14" s="59" t="s">
        <v>343</v>
      </c>
    </row>
    <row r="15" spans="1:6" ht="12">
      <c r="A15" s="215"/>
      <c r="B15" s="216"/>
      <c r="C15" s="216"/>
      <c r="D15" s="217" t="s">
        <v>391</v>
      </c>
      <c r="E15" s="218"/>
      <c r="F15" s="219"/>
    </row>
    <row r="16" spans="1:6" ht="12">
      <c r="A16" s="167"/>
      <c r="B16" s="220" t="s">
        <v>392</v>
      </c>
      <c r="C16" s="220" t="s">
        <v>96</v>
      </c>
      <c r="D16" s="221"/>
      <c r="E16" s="221"/>
      <c r="F16" s="222"/>
    </row>
    <row r="17" spans="1:6" ht="12">
      <c r="A17" s="223" t="s">
        <v>393</v>
      </c>
      <c r="B17" s="220" t="s">
        <v>394</v>
      </c>
      <c r="C17" s="220" t="s">
        <v>395</v>
      </c>
      <c r="D17" s="220">
        <v>2005</v>
      </c>
      <c r="E17" s="220">
        <v>2006</v>
      </c>
      <c r="F17" s="224">
        <v>2007</v>
      </c>
    </row>
    <row r="18" spans="1:6" ht="12">
      <c r="A18" s="167"/>
      <c r="B18" s="221"/>
      <c r="C18" s="220" t="s">
        <v>497</v>
      </c>
      <c r="D18" s="221"/>
      <c r="E18" s="221"/>
      <c r="F18" s="225"/>
    </row>
    <row r="19" spans="1:6" ht="12.75" thickBot="1">
      <c r="A19" s="170"/>
      <c r="B19" s="226"/>
      <c r="C19" s="227"/>
      <c r="D19" s="226"/>
      <c r="E19" s="226"/>
      <c r="F19" s="228"/>
    </row>
    <row r="20" spans="1:6" ht="13.5" thickBot="1">
      <c r="A20" s="229">
        <v>1</v>
      </c>
      <c r="B20" s="230">
        <v>2</v>
      </c>
      <c r="C20" s="230">
        <v>3</v>
      </c>
      <c r="D20" s="230">
        <v>4</v>
      </c>
      <c r="E20" s="230">
        <v>5</v>
      </c>
      <c r="F20" s="231">
        <v>6</v>
      </c>
    </row>
    <row r="21" spans="1:6" ht="12.75">
      <c r="A21" s="232" t="s">
        <v>359</v>
      </c>
      <c r="B21" s="5" t="s">
        <v>396</v>
      </c>
      <c r="C21" s="310">
        <v>0</v>
      </c>
      <c r="D21" s="177">
        <v>0</v>
      </c>
      <c r="E21" s="177">
        <v>0</v>
      </c>
      <c r="F21" s="68">
        <v>0</v>
      </c>
    </row>
    <row r="22" spans="1:9" ht="12.75">
      <c r="A22" s="233" t="s">
        <v>362</v>
      </c>
      <c r="B22" s="201" t="s">
        <v>397</v>
      </c>
      <c r="C22" s="527">
        <v>10000000</v>
      </c>
      <c r="D22" s="234">
        <f>C22+'Źrodla fin. 8'!E22-'Źrodla fin. 8'!E30</f>
        <v>11133948</v>
      </c>
      <c r="E22" s="234">
        <f>D22+800000-48252-26520-22533-425520</f>
        <v>11411123</v>
      </c>
      <c r="F22" s="75">
        <f>E22-425520-48252-26520-37555</f>
        <v>10873276</v>
      </c>
      <c r="H22" s="14">
        <v>11378155</v>
      </c>
      <c r="I22" s="14">
        <v>10857940</v>
      </c>
    </row>
    <row r="23" spans="1:6" ht="12.75">
      <c r="A23" s="232" t="s">
        <v>364</v>
      </c>
      <c r="B23" s="5" t="s">
        <v>363</v>
      </c>
      <c r="C23" s="310">
        <v>376246</v>
      </c>
      <c r="D23" s="177">
        <v>171248</v>
      </c>
      <c r="E23" s="177">
        <v>20000</v>
      </c>
      <c r="F23" s="68">
        <v>10000</v>
      </c>
    </row>
    <row r="24" spans="1:6" ht="12.75">
      <c r="A24" s="233" t="s">
        <v>367</v>
      </c>
      <c r="B24" s="201" t="s">
        <v>398</v>
      </c>
      <c r="C24" s="527"/>
      <c r="D24" s="234"/>
      <c r="E24" s="234"/>
      <c r="F24" s="75"/>
    </row>
    <row r="25" spans="1:6" ht="12.75">
      <c r="A25" s="232" t="s">
        <v>370</v>
      </c>
      <c r="B25" s="5" t="s">
        <v>399</v>
      </c>
      <c r="C25" s="310">
        <v>0</v>
      </c>
      <c r="D25" s="177">
        <f>D28</f>
        <v>0</v>
      </c>
      <c r="E25" s="177">
        <f>E28</f>
        <v>0</v>
      </c>
      <c r="F25" s="68">
        <f>F28</f>
        <v>0</v>
      </c>
    </row>
    <row r="26" spans="1:6" ht="12.75">
      <c r="A26" s="232"/>
      <c r="B26" s="201" t="s">
        <v>400</v>
      </c>
      <c r="C26" s="527"/>
      <c r="D26" s="234"/>
      <c r="E26" s="234"/>
      <c r="F26" s="75"/>
    </row>
    <row r="27" spans="1:6" ht="12.75">
      <c r="A27" s="232"/>
      <c r="B27" s="5" t="s">
        <v>401</v>
      </c>
      <c r="C27" s="310"/>
      <c r="D27" s="177"/>
      <c r="E27" s="177"/>
      <c r="F27" s="68"/>
    </row>
    <row r="28" spans="1:6" ht="12.75">
      <c r="A28" s="232"/>
      <c r="B28" s="201" t="s">
        <v>402</v>
      </c>
      <c r="C28" s="528"/>
      <c r="D28" s="234"/>
      <c r="E28" s="234"/>
      <c r="F28" s="75"/>
    </row>
    <row r="29" spans="1:6" ht="12.75">
      <c r="A29" s="232"/>
      <c r="B29" s="77" t="s">
        <v>403</v>
      </c>
      <c r="C29" s="529"/>
      <c r="D29" s="235"/>
      <c r="E29" s="235"/>
      <c r="F29" s="67"/>
    </row>
    <row r="30" spans="1:6" ht="12.75">
      <c r="A30" s="233" t="s">
        <v>373</v>
      </c>
      <c r="B30" s="77" t="s">
        <v>404</v>
      </c>
      <c r="C30" s="530">
        <f>SUM(C21:C25)</f>
        <v>10376246</v>
      </c>
      <c r="D30" s="236">
        <f>SUM(D21:D25)</f>
        <v>11305196</v>
      </c>
      <c r="E30" s="236">
        <f>SUM(E21:E25)</f>
        <v>11431123</v>
      </c>
      <c r="F30" s="72">
        <f>SUM(F21:F25)</f>
        <v>10883276</v>
      </c>
    </row>
    <row r="31" spans="1:6" ht="13.5" thickBot="1">
      <c r="A31" s="237" t="s">
        <v>376</v>
      </c>
      <c r="B31" s="203" t="s">
        <v>405</v>
      </c>
      <c r="C31" s="531">
        <v>34245928</v>
      </c>
      <c r="D31" s="239">
        <f>'Dochody zał.1'!B49</f>
        <v>33586470</v>
      </c>
      <c r="E31" s="239">
        <v>33166349</v>
      </c>
      <c r="F31" s="240">
        <v>34161340</v>
      </c>
    </row>
    <row r="32" spans="1:6" ht="13.5" thickBot="1">
      <c r="A32" s="241" t="s">
        <v>406</v>
      </c>
      <c r="B32" s="242" t="s">
        <v>407</v>
      </c>
      <c r="C32" s="243">
        <f>C30/C31*100</f>
        <v>30.299211047806914</v>
      </c>
      <c r="D32" s="243">
        <f>D30/D31*100</f>
        <v>33.65997081562903</v>
      </c>
      <c r="E32" s="243">
        <f>E30/E31*100</f>
        <v>34.46602759923922</v>
      </c>
      <c r="F32" s="244">
        <f>F30/F31*100</f>
        <v>31.858457542941814</v>
      </c>
    </row>
  </sheetData>
  <mergeCells count="1">
    <mergeCell ref="A10:F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Normal="90" workbookViewId="0" topLeftCell="A4">
      <selection activeCell="E34" sqref="E34"/>
    </sheetView>
  </sheetViews>
  <sheetFormatPr defaultColWidth="9.00390625" defaultRowHeight="12.75"/>
  <cols>
    <col min="1" max="1" width="5.625" style="14" customWidth="1"/>
    <col min="2" max="2" width="47.875" style="14" customWidth="1"/>
    <col min="3" max="3" width="7.25390625" style="14" customWidth="1"/>
    <col min="4" max="4" width="9.125" style="14" customWidth="1"/>
    <col min="5" max="5" width="14.00390625" style="14" customWidth="1"/>
    <col min="6" max="6" width="12.375" style="14" customWidth="1"/>
    <col min="7" max="7" width="9.125" style="14" customWidth="1"/>
    <col min="8" max="8" width="10.875" style="14" customWidth="1"/>
    <col min="9" max="9" width="10.75390625" style="14" customWidth="1"/>
    <col min="10" max="10" width="14.875" style="14" customWidth="1"/>
    <col min="11" max="16384" width="9.125" style="14" customWidth="1"/>
  </cols>
  <sheetData>
    <row r="1" ht="12">
      <c r="I1" s="15" t="s">
        <v>600</v>
      </c>
    </row>
    <row r="2" ht="12">
      <c r="I2" s="15" t="s">
        <v>390</v>
      </c>
    </row>
    <row r="3" spans="5:10" ht="12">
      <c r="E3" s="91"/>
      <c r="F3" s="91"/>
      <c r="G3" s="16"/>
      <c r="H3" s="16"/>
      <c r="I3" s="15" t="s">
        <v>50</v>
      </c>
      <c r="J3" s="16"/>
    </row>
    <row r="4" spans="5:10" ht="12">
      <c r="E4" s="91"/>
      <c r="F4" s="91"/>
      <c r="G4" s="16"/>
      <c r="H4" s="16"/>
      <c r="I4" s="15" t="s">
        <v>647</v>
      </c>
      <c r="J4" s="16"/>
    </row>
    <row r="5" spans="5:10" ht="9.75">
      <c r="E5" s="91"/>
      <c r="F5" s="91"/>
      <c r="G5" s="16"/>
      <c r="H5" s="16"/>
      <c r="I5" s="16"/>
      <c r="J5" s="16"/>
    </row>
    <row r="6" spans="5:10" ht="9.75">
      <c r="E6" s="91"/>
      <c r="F6" s="91"/>
      <c r="G6" s="16"/>
      <c r="H6" s="16"/>
      <c r="I6" s="16"/>
      <c r="J6" s="16"/>
    </row>
    <row r="7" spans="5:10" ht="9.75">
      <c r="E7" s="91"/>
      <c r="F7" s="91"/>
      <c r="G7" s="16"/>
      <c r="H7" s="16"/>
      <c r="I7" s="16"/>
      <c r="J7" s="16"/>
    </row>
    <row r="8" spans="2:10" ht="12">
      <c r="B8" s="769" t="s">
        <v>409</v>
      </c>
      <c r="C8" s="769"/>
      <c r="D8" s="769"/>
      <c r="E8" s="769"/>
      <c r="F8" s="769"/>
      <c r="G8" s="769"/>
      <c r="H8" s="769"/>
      <c r="I8" s="769"/>
      <c r="J8" s="769"/>
    </row>
    <row r="9" spans="2:10" ht="12">
      <c r="B9" s="769" t="s">
        <v>498</v>
      </c>
      <c r="C9" s="769"/>
      <c r="D9" s="769"/>
      <c r="E9" s="769"/>
      <c r="F9" s="769"/>
      <c r="G9" s="769"/>
      <c r="H9" s="769"/>
      <c r="I9" s="769"/>
      <c r="J9" s="769"/>
    </row>
    <row r="10" spans="2:4" ht="9.75">
      <c r="B10" s="18"/>
      <c r="C10" s="18"/>
      <c r="D10" s="18"/>
    </row>
    <row r="11" ht="10.5" thickBot="1">
      <c r="J11" s="19" t="s">
        <v>114</v>
      </c>
    </row>
    <row r="12" spans="1:10" ht="12.75">
      <c r="A12" s="245"/>
      <c r="B12" s="185"/>
      <c r="C12" s="246"/>
      <c r="D12" s="246"/>
      <c r="E12" s="192" t="s">
        <v>410</v>
      </c>
      <c r="F12" s="247" t="s">
        <v>411</v>
      </c>
      <c r="G12" s="248"/>
      <c r="H12" s="247" t="s">
        <v>289</v>
      </c>
      <c r="I12" s="249"/>
      <c r="J12" s="194" t="s">
        <v>410</v>
      </c>
    </row>
    <row r="13" spans="1:10" ht="12.75">
      <c r="A13" s="63" t="s">
        <v>393</v>
      </c>
      <c r="B13" s="195" t="s">
        <v>412</v>
      </c>
      <c r="C13" s="3" t="s">
        <v>63</v>
      </c>
      <c r="D13" s="250" t="s">
        <v>47</v>
      </c>
      <c r="E13" s="3" t="s">
        <v>413</v>
      </c>
      <c r="F13" s="251"/>
      <c r="G13" s="252" t="s">
        <v>414</v>
      </c>
      <c r="H13" s="250"/>
      <c r="I13" s="250" t="s">
        <v>68</v>
      </c>
      <c r="J13" s="196" t="s">
        <v>413</v>
      </c>
    </row>
    <row r="14" spans="1:10" ht="12.75">
      <c r="A14" s="253"/>
      <c r="B14" s="188"/>
      <c r="C14" s="5"/>
      <c r="D14" s="5"/>
      <c r="E14" s="3" t="s">
        <v>415</v>
      </c>
      <c r="F14" s="250" t="s">
        <v>416</v>
      </c>
      <c r="G14" s="250" t="s">
        <v>417</v>
      </c>
      <c r="H14" s="250" t="s">
        <v>416</v>
      </c>
      <c r="I14" s="250" t="s">
        <v>418</v>
      </c>
      <c r="J14" s="196" t="s">
        <v>415</v>
      </c>
    </row>
    <row r="15" spans="1:10" ht="13.5" thickBot="1">
      <c r="A15" s="317"/>
      <c r="B15" s="254"/>
      <c r="C15" s="181"/>
      <c r="D15" s="181"/>
      <c r="E15" s="183" t="s">
        <v>419</v>
      </c>
      <c r="F15" s="255"/>
      <c r="G15" s="255" t="s">
        <v>420</v>
      </c>
      <c r="H15" s="181"/>
      <c r="I15" s="255" t="s">
        <v>421</v>
      </c>
      <c r="J15" s="199" t="s">
        <v>422</v>
      </c>
    </row>
    <row r="16" spans="1:10" ht="13.5" thickBot="1">
      <c r="A16" s="197">
        <v>1</v>
      </c>
      <c r="B16" s="3">
        <v>2</v>
      </c>
      <c r="C16" s="3">
        <v>3</v>
      </c>
      <c r="D16" s="3">
        <v>4</v>
      </c>
      <c r="E16" s="3">
        <v>5</v>
      </c>
      <c r="F16" s="250">
        <v>6</v>
      </c>
      <c r="G16" s="250">
        <v>7</v>
      </c>
      <c r="H16" s="3">
        <v>8</v>
      </c>
      <c r="I16" s="250">
        <v>9</v>
      </c>
      <c r="J16" s="196">
        <v>10</v>
      </c>
    </row>
    <row r="17" spans="1:10" ht="13.5" thickBot="1">
      <c r="A17" s="256" t="s">
        <v>351</v>
      </c>
      <c r="B17" s="257" t="s">
        <v>38</v>
      </c>
      <c r="C17" s="258"/>
      <c r="D17" s="205"/>
      <c r="E17" s="259">
        <f aca="true" t="shared" si="0" ref="E17:J17">E21+E23</f>
        <v>116739</v>
      </c>
      <c r="F17" s="259">
        <f t="shared" si="0"/>
        <v>344368</v>
      </c>
      <c r="G17" s="259">
        <f t="shared" si="0"/>
        <v>0</v>
      </c>
      <c r="H17" s="259">
        <f t="shared" si="0"/>
        <v>334368</v>
      </c>
      <c r="I17" s="259">
        <f t="shared" si="0"/>
        <v>79016</v>
      </c>
      <c r="J17" s="260">
        <f t="shared" si="0"/>
        <v>121739</v>
      </c>
    </row>
    <row r="18" spans="1:10" ht="12.75">
      <c r="A18" s="63" t="s">
        <v>423</v>
      </c>
      <c r="B18" s="188" t="s">
        <v>424</v>
      </c>
      <c r="C18" s="5"/>
      <c r="D18" s="5"/>
      <c r="E18" s="177"/>
      <c r="F18" s="177"/>
      <c r="G18" s="177"/>
      <c r="H18" s="177"/>
      <c r="I18" s="177"/>
      <c r="J18" s="68"/>
    </row>
    <row r="19" spans="1:10" ht="12.75">
      <c r="A19" s="63"/>
      <c r="B19" s="318" t="s">
        <v>425</v>
      </c>
      <c r="C19" s="3"/>
      <c r="D19" s="3"/>
      <c r="E19" s="177"/>
      <c r="F19" s="177"/>
      <c r="G19" s="177"/>
      <c r="H19" s="177"/>
      <c r="I19" s="177"/>
      <c r="J19" s="68"/>
    </row>
    <row r="20" spans="1:10" ht="12.75">
      <c r="A20" s="63"/>
      <c r="B20" s="318" t="s">
        <v>426</v>
      </c>
      <c r="C20" s="3"/>
      <c r="D20" s="3"/>
      <c r="E20" s="177"/>
      <c r="F20" s="177"/>
      <c r="G20" s="177"/>
      <c r="H20" s="177"/>
      <c r="I20" s="177"/>
      <c r="J20" s="68"/>
    </row>
    <row r="21" spans="1:10" ht="12.75">
      <c r="A21" s="63"/>
      <c r="B21" s="319" t="s">
        <v>427</v>
      </c>
      <c r="C21" s="6">
        <v>710</v>
      </c>
      <c r="D21" s="6">
        <v>71097</v>
      </c>
      <c r="E21" s="235">
        <v>0</v>
      </c>
      <c r="F21" s="235">
        <v>135055</v>
      </c>
      <c r="G21" s="235">
        <v>0</v>
      </c>
      <c r="H21" s="235">
        <v>135055</v>
      </c>
      <c r="I21" s="235">
        <v>0</v>
      </c>
      <c r="J21" s="67">
        <f>E21+F21-H21</f>
        <v>0</v>
      </c>
    </row>
    <row r="22" spans="1:10" ht="12.75">
      <c r="A22" s="63"/>
      <c r="B22" s="261" t="s">
        <v>458</v>
      </c>
      <c r="C22" s="95"/>
      <c r="D22" s="95"/>
      <c r="E22" s="238"/>
      <c r="F22" s="238"/>
      <c r="G22" s="238"/>
      <c r="H22" s="238"/>
      <c r="I22" s="238"/>
      <c r="J22" s="81"/>
    </row>
    <row r="23" spans="1:10" ht="13.5" thickBot="1">
      <c r="A23" s="578"/>
      <c r="B23" s="254" t="s">
        <v>459</v>
      </c>
      <c r="C23" s="198">
        <v>801</v>
      </c>
      <c r="D23" s="198">
        <v>80197</v>
      </c>
      <c r="E23" s="486">
        <v>116739</v>
      </c>
      <c r="F23" s="486">
        <v>209313</v>
      </c>
      <c r="G23" s="486">
        <v>0</v>
      </c>
      <c r="H23" s="486">
        <v>199313</v>
      </c>
      <c r="I23" s="486">
        <v>79016</v>
      </c>
      <c r="J23" s="102">
        <v>121739</v>
      </c>
    </row>
    <row r="33" spans="6:8" ht="12.75">
      <c r="F33" s="55"/>
      <c r="G33" s="55"/>
      <c r="H33" s="55"/>
    </row>
    <row r="34" spans="6:8" ht="12.75">
      <c r="F34" s="289">
        <f>SUM(E23:F23)</f>
        <v>326052</v>
      </c>
      <c r="G34" s="55"/>
      <c r="H34" s="289">
        <f>SUM(H23+J23)+I23</f>
        <v>400068</v>
      </c>
    </row>
  </sheetData>
  <mergeCells count="2">
    <mergeCell ref="B8:J8"/>
    <mergeCell ref="B9:J9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28">
      <selection activeCell="B62" sqref="B62"/>
    </sheetView>
  </sheetViews>
  <sheetFormatPr defaultColWidth="9.00390625" defaultRowHeight="12.75"/>
  <cols>
    <col min="1" max="1" width="75.375" style="14" customWidth="1"/>
    <col min="2" max="2" width="21.875" style="14" customWidth="1"/>
    <col min="3" max="16384" width="9.125" style="14" customWidth="1"/>
  </cols>
  <sheetData>
    <row r="1" spans="1:2" ht="12">
      <c r="A1" s="16"/>
      <c r="B1" s="15" t="s">
        <v>601</v>
      </c>
    </row>
    <row r="2" spans="1:2" ht="12">
      <c r="A2" s="16"/>
      <c r="B2" s="15" t="s">
        <v>206</v>
      </c>
    </row>
    <row r="3" spans="1:2" ht="12">
      <c r="A3" s="16"/>
      <c r="B3" s="15" t="s">
        <v>50</v>
      </c>
    </row>
    <row r="4" spans="1:2" ht="12">
      <c r="A4" s="16"/>
      <c r="B4" s="15" t="s">
        <v>648</v>
      </c>
    </row>
    <row r="5" spans="1:2" ht="9.75">
      <c r="A5" s="16"/>
      <c r="B5" s="16"/>
    </row>
    <row r="6" spans="1:2" ht="9.75">
      <c r="A6" s="16"/>
      <c r="B6" s="16"/>
    </row>
    <row r="7" spans="1:2" ht="9.75">
      <c r="A7" s="16"/>
      <c r="B7" s="16"/>
    </row>
    <row r="8" spans="1:2" ht="12">
      <c r="A8" s="769" t="s">
        <v>461</v>
      </c>
      <c r="B8" s="769"/>
    </row>
    <row r="9" spans="1:2" ht="12">
      <c r="A9" s="769" t="s">
        <v>460</v>
      </c>
      <c r="B9" s="769"/>
    </row>
    <row r="10" spans="1:2" ht="12">
      <c r="A10" s="769" t="s">
        <v>499</v>
      </c>
      <c r="B10" s="769"/>
    </row>
    <row r="11" ht="9.75">
      <c r="A11" s="214"/>
    </row>
    <row r="12" spans="1:2" ht="10.5" thickBot="1">
      <c r="A12" s="213"/>
      <c r="B12" s="19" t="s">
        <v>343</v>
      </c>
    </row>
    <row r="13" spans="1:2" ht="12.75">
      <c r="A13" s="28"/>
      <c r="B13" s="267"/>
    </row>
    <row r="14" spans="1:2" ht="12.75">
      <c r="A14" s="23" t="s">
        <v>428</v>
      </c>
      <c r="B14" s="196" t="s">
        <v>429</v>
      </c>
    </row>
    <row r="15" spans="1:2" ht="13.5" thickBot="1">
      <c r="A15" s="26"/>
      <c r="B15" s="140"/>
    </row>
    <row r="16" spans="1:2" ht="13.5" thickBot="1">
      <c r="A16" s="21">
        <v>1</v>
      </c>
      <c r="B16" s="22">
        <v>2</v>
      </c>
    </row>
    <row r="17" spans="1:2" ht="12.75">
      <c r="A17" s="24"/>
      <c r="B17" s="69"/>
    </row>
    <row r="18" spans="1:2" ht="13.5" thickBot="1">
      <c r="A18" s="268" t="s">
        <v>462</v>
      </c>
      <c r="B18" s="269">
        <v>1000</v>
      </c>
    </row>
    <row r="19" spans="1:2" ht="13.5" thickBot="1">
      <c r="A19" s="270" t="s">
        <v>430</v>
      </c>
      <c r="B19" s="260">
        <f>SUM(B18:B18)</f>
        <v>1000</v>
      </c>
    </row>
    <row r="20" spans="1:2" ht="12.75">
      <c r="A20" s="172"/>
      <c r="B20" s="189"/>
    </row>
    <row r="21" spans="1:2" ht="26.25" thickBot="1">
      <c r="A21" s="612" t="s">
        <v>744</v>
      </c>
      <c r="B21" s="601">
        <v>6900</v>
      </c>
    </row>
    <row r="22" spans="1:2" ht="13.5" thickBot="1">
      <c r="A22" s="270" t="s">
        <v>745</v>
      </c>
      <c r="B22" s="363">
        <f>B21</f>
        <v>6900</v>
      </c>
    </row>
    <row r="23" spans="1:2" ht="12.75">
      <c r="A23" s="172"/>
      <c r="B23" s="189"/>
    </row>
    <row r="24" spans="1:2" ht="12.75">
      <c r="A24" s="27" t="s">
        <v>584</v>
      </c>
      <c r="B24" s="100">
        <v>1000</v>
      </c>
    </row>
    <row r="25" spans="1:2" ht="12.75">
      <c r="A25" s="24" t="s">
        <v>579</v>
      </c>
      <c r="B25" s="25">
        <v>1000</v>
      </c>
    </row>
    <row r="26" spans="1:2" ht="13.5" thickBot="1">
      <c r="A26" s="361" t="s">
        <v>580</v>
      </c>
      <c r="B26" s="362">
        <v>2000</v>
      </c>
    </row>
    <row r="27" spans="1:2" ht="13.5" thickBot="1">
      <c r="A27" s="270" t="s">
        <v>583</v>
      </c>
      <c r="B27" s="363">
        <f>SUM(B24:B26)</f>
        <v>4000</v>
      </c>
    </row>
    <row r="28" spans="1:2" ht="12.75">
      <c r="A28" s="172"/>
      <c r="B28" s="189"/>
    </row>
    <row r="29" spans="1:2" ht="12.75">
      <c r="A29" s="401" t="s">
        <v>431</v>
      </c>
      <c r="B29" s="100">
        <v>10000</v>
      </c>
    </row>
    <row r="30" spans="1:2" ht="12.75">
      <c r="A30" s="401" t="s">
        <v>432</v>
      </c>
      <c r="B30" s="100">
        <v>10000</v>
      </c>
    </row>
    <row r="31" spans="1:2" ht="12.75">
      <c r="A31" s="401" t="s">
        <v>433</v>
      </c>
      <c r="B31" s="100">
        <v>5000</v>
      </c>
    </row>
    <row r="32" spans="1:2" ht="12.75">
      <c r="A32" s="533" t="s">
        <v>686</v>
      </c>
      <c r="B32" s="25">
        <v>2000</v>
      </c>
    </row>
    <row r="33" spans="1:2" ht="12.75">
      <c r="A33" s="534" t="s">
        <v>585</v>
      </c>
      <c r="B33" s="367">
        <v>2000</v>
      </c>
    </row>
    <row r="34" spans="1:2" ht="25.5">
      <c r="A34" s="533" t="s">
        <v>581</v>
      </c>
      <c r="B34" s="269">
        <v>10000</v>
      </c>
    </row>
    <row r="35" spans="1:2" ht="25.5" customHeight="1">
      <c r="A35" s="535" t="s">
        <v>685</v>
      </c>
      <c r="B35" s="100">
        <v>3000</v>
      </c>
    </row>
    <row r="36" spans="1:2" ht="12.75">
      <c r="A36" s="534" t="s">
        <v>463</v>
      </c>
      <c r="B36" s="269">
        <v>2000</v>
      </c>
    </row>
    <row r="37" spans="1:2" ht="25.5">
      <c r="A37" s="535" t="s">
        <v>586</v>
      </c>
      <c r="B37" s="368">
        <v>4000</v>
      </c>
    </row>
    <row r="38" spans="1:2" ht="12.75">
      <c r="A38" s="401" t="s">
        <v>464</v>
      </c>
      <c r="B38" s="100">
        <v>2000</v>
      </c>
    </row>
    <row r="39" spans="1:2" ht="12.75">
      <c r="A39" s="401" t="s">
        <v>582</v>
      </c>
      <c r="B39" s="100">
        <v>3000</v>
      </c>
    </row>
    <row r="40" spans="1:2" ht="12.75">
      <c r="A40" s="401" t="s">
        <v>587</v>
      </c>
      <c r="B40" s="100">
        <v>1000</v>
      </c>
    </row>
    <row r="41" spans="1:2" ht="12.75">
      <c r="A41" s="401" t="s">
        <v>589</v>
      </c>
      <c r="B41" s="100">
        <v>2000</v>
      </c>
    </row>
    <row r="42" spans="1:2" ht="12.75">
      <c r="A42" s="401" t="s">
        <v>682</v>
      </c>
      <c r="B42" s="100">
        <v>2000</v>
      </c>
    </row>
    <row r="43" spans="1:2" ht="12.75">
      <c r="A43" s="401" t="s">
        <v>590</v>
      </c>
      <c r="B43" s="100">
        <v>2000</v>
      </c>
    </row>
    <row r="44" spans="1:2" ht="12.75">
      <c r="A44" s="401" t="s">
        <v>591</v>
      </c>
      <c r="B44" s="100">
        <v>2000</v>
      </c>
    </row>
    <row r="45" spans="1:2" ht="12.75">
      <c r="A45" s="401" t="s">
        <v>588</v>
      </c>
      <c r="B45" s="100">
        <v>2000</v>
      </c>
    </row>
    <row r="46" spans="1:2" ht="12.75">
      <c r="A46" s="535" t="s">
        <v>683</v>
      </c>
      <c r="B46" s="100">
        <v>2000</v>
      </c>
    </row>
    <row r="47" spans="1:2" ht="12.75">
      <c r="A47" s="401" t="s">
        <v>592</v>
      </c>
      <c r="B47" s="100">
        <v>1000</v>
      </c>
    </row>
    <row r="48" spans="1:2" ht="25.5">
      <c r="A48" s="535" t="s">
        <v>593</v>
      </c>
      <c r="B48" s="532">
        <v>1000</v>
      </c>
    </row>
    <row r="49" spans="1:2" ht="13.5" thickBot="1">
      <c r="A49" s="535" t="s">
        <v>684</v>
      </c>
      <c r="B49" s="100">
        <v>2000</v>
      </c>
    </row>
    <row r="50" spans="1:3" ht="13.5" thickBot="1">
      <c r="A50" s="270" t="s">
        <v>434</v>
      </c>
      <c r="B50" s="260">
        <f>SUM(B29:B49)</f>
        <v>70000</v>
      </c>
      <c r="C50" s="30"/>
    </row>
    <row r="51" spans="1:2" ht="12.75">
      <c r="A51" s="172"/>
      <c r="B51" s="189"/>
    </row>
    <row r="52" spans="1:2" ht="13.5" thickBot="1">
      <c r="A52" s="46" t="s">
        <v>435</v>
      </c>
      <c r="B52" s="98">
        <f>B50+B19+B27+B22</f>
        <v>81900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7">
      <selection activeCell="D32" sqref="D32"/>
    </sheetView>
  </sheetViews>
  <sheetFormatPr defaultColWidth="9.00390625" defaultRowHeight="12.75"/>
  <cols>
    <col min="1" max="1" width="6.625" style="14" customWidth="1"/>
    <col min="2" max="2" width="9.625" style="14" customWidth="1"/>
    <col min="3" max="3" width="57.75390625" style="14" customWidth="1"/>
    <col min="4" max="4" width="23.125" style="14" customWidth="1"/>
    <col min="5" max="16384" width="9.125" style="14" customWidth="1"/>
  </cols>
  <sheetData>
    <row r="1" ht="12">
      <c r="D1" s="15" t="s">
        <v>578</v>
      </c>
    </row>
    <row r="2" ht="12">
      <c r="D2" s="15" t="s">
        <v>436</v>
      </c>
    </row>
    <row r="3" ht="12">
      <c r="D3" s="15" t="s">
        <v>50</v>
      </c>
    </row>
    <row r="4" ht="12">
      <c r="D4" s="15" t="s">
        <v>645</v>
      </c>
    </row>
    <row r="9" spans="1:4" ht="12.75" customHeight="1">
      <c r="A9" s="769" t="s">
        <v>467</v>
      </c>
      <c r="B9" s="769"/>
      <c r="C9" s="769"/>
      <c r="D9" s="769"/>
    </row>
    <row r="10" spans="1:4" ht="12.75" customHeight="1">
      <c r="A10" s="769" t="s">
        <v>452</v>
      </c>
      <c r="B10" s="769"/>
      <c r="C10" s="769"/>
      <c r="D10" s="769"/>
    </row>
    <row r="11" ht="9.75">
      <c r="C11" s="18"/>
    </row>
    <row r="12" ht="9.75">
      <c r="C12" s="18"/>
    </row>
    <row r="13" ht="10.5" thickBot="1">
      <c r="D13" s="19" t="s">
        <v>438</v>
      </c>
    </row>
    <row r="14" spans="1:4" ht="12.75">
      <c r="A14" s="29"/>
      <c r="B14" s="193"/>
      <c r="C14" s="186"/>
      <c r="D14" s="194" t="s">
        <v>533</v>
      </c>
    </row>
    <row r="15" spans="1:4" ht="12.75">
      <c r="A15" s="23" t="s">
        <v>346</v>
      </c>
      <c r="B15" s="8" t="s">
        <v>0</v>
      </c>
      <c r="C15" s="51" t="s">
        <v>287</v>
      </c>
      <c r="D15" s="196" t="s">
        <v>349</v>
      </c>
    </row>
    <row r="16" spans="1:4" ht="13.5" thickBot="1">
      <c r="A16" s="101"/>
      <c r="B16" s="183"/>
      <c r="C16" s="54"/>
      <c r="D16" s="199" t="s">
        <v>496</v>
      </c>
    </row>
    <row r="17" spans="1:4" ht="10.5" thickBot="1">
      <c r="A17" s="60">
        <v>1</v>
      </c>
      <c r="B17" s="61">
        <v>2</v>
      </c>
      <c r="C17" s="279">
        <v>3</v>
      </c>
      <c r="D17" s="62">
        <v>4</v>
      </c>
    </row>
    <row r="18" spans="1:4" ht="12.75">
      <c r="A18" s="195"/>
      <c r="B18" s="8"/>
      <c r="C18" s="51"/>
      <c r="D18" s="196"/>
    </row>
    <row r="19" spans="1:4" ht="13.5" thickBot="1">
      <c r="A19" s="12" t="s">
        <v>359</v>
      </c>
      <c r="B19" s="49"/>
      <c r="C19" s="53" t="s">
        <v>439</v>
      </c>
      <c r="D19" s="65">
        <f>SUM(D20+D21-D22)</f>
        <v>238184</v>
      </c>
    </row>
    <row r="20" spans="1:4" ht="12.75">
      <c r="A20" s="23"/>
      <c r="B20" s="8"/>
      <c r="C20" s="78" t="s">
        <v>440</v>
      </c>
      <c r="D20" s="67">
        <v>238184</v>
      </c>
    </row>
    <row r="21" spans="1:4" ht="12.75">
      <c r="A21" s="23"/>
      <c r="B21" s="8"/>
      <c r="C21" s="78" t="s">
        <v>441</v>
      </c>
      <c r="D21" s="67">
        <v>0</v>
      </c>
    </row>
    <row r="22" spans="1:4" ht="12.75">
      <c r="A22" s="23"/>
      <c r="B22" s="8"/>
      <c r="C22" s="78" t="s">
        <v>442</v>
      </c>
      <c r="D22" s="67">
        <v>0</v>
      </c>
    </row>
    <row r="23" spans="1:4" ht="12.75">
      <c r="A23" s="23"/>
      <c r="B23" s="8"/>
      <c r="C23" s="9"/>
      <c r="D23" s="68"/>
    </row>
    <row r="24" spans="1:4" ht="13.5" thickBot="1">
      <c r="A24" s="46" t="s">
        <v>362</v>
      </c>
      <c r="B24" s="49"/>
      <c r="C24" s="53" t="s">
        <v>443</v>
      </c>
      <c r="D24" s="65">
        <f>SUM(D25:D27)</f>
        <v>151500</v>
      </c>
    </row>
    <row r="25" spans="1:4" ht="12.75">
      <c r="A25" s="23"/>
      <c r="B25" s="97" t="s">
        <v>265</v>
      </c>
      <c r="C25" s="78" t="s">
        <v>88</v>
      </c>
      <c r="D25" s="67">
        <v>1500</v>
      </c>
    </row>
    <row r="26" spans="1:4" ht="12.75">
      <c r="A26" s="23"/>
      <c r="B26" s="280" t="s">
        <v>448</v>
      </c>
      <c r="C26" s="277" t="s">
        <v>444</v>
      </c>
      <c r="D26" s="75">
        <v>150000</v>
      </c>
    </row>
    <row r="27" spans="1:4" ht="12.75">
      <c r="A27" s="195"/>
      <c r="B27" s="50"/>
      <c r="C27" s="9"/>
      <c r="D27" s="81"/>
    </row>
    <row r="28" spans="1:4" ht="13.5" thickBot="1">
      <c r="A28" s="46" t="s">
        <v>364</v>
      </c>
      <c r="B28" s="64"/>
      <c r="C28" s="53" t="s">
        <v>445</v>
      </c>
      <c r="D28" s="65">
        <f>D29+D35</f>
        <v>389684</v>
      </c>
    </row>
    <row r="29" spans="1:4" ht="12.75">
      <c r="A29" s="85" t="s">
        <v>446</v>
      </c>
      <c r="B29" s="70"/>
      <c r="C29" s="78" t="s">
        <v>447</v>
      </c>
      <c r="D29" s="67">
        <f>SUM(D30:D33)</f>
        <v>389684</v>
      </c>
    </row>
    <row r="30" spans="1:4" ht="12.75">
      <c r="A30" s="23"/>
      <c r="B30" s="97" t="s">
        <v>448</v>
      </c>
      <c r="C30" s="78" t="s">
        <v>444</v>
      </c>
      <c r="D30" s="67">
        <v>311880</v>
      </c>
    </row>
    <row r="31" spans="1:4" ht="12.75">
      <c r="A31" s="23"/>
      <c r="B31" s="97" t="s">
        <v>229</v>
      </c>
      <c r="C31" s="78" t="s">
        <v>217</v>
      </c>
      <c r="D31" s="67">
        <v>61304</v>
      </c>
    </row>
    <row r="32" spans="1:4" ht="12.75">
      <c r="A32" s="23"/>
      <c r="B32" s="276" t="s">
        <v>208</v>
      </c>
      <c r="C32" s="277" t="s">
        <v>209</v>
      </c>
      <c r="D32" s="67">
        <v>16500</v>
      </c>
    </row>
    <row r="33" spans="1:4" ht="12.75">
      <c r="A33" s="23"/>
      <c r="B33" s="97" t="s">
        <v>301</v>
      </c>
      <c r="C33" s="78" t="s">
        <v>221</v>
      </c>
      <c r="D33" s="67">
        <v>0</v>
      </c>
    </row>
    <row r="34" spans="1:4" ht="12.75">
      <c r="A34" s="85"/>
      <c r="B34" s="97"/>
      <c r="C34" s="78"/>
      <c r="D34" s="67"/>
    </row>
    <row r="35" spans="1:4" ht="12.75">
      <c r="A35" s="85" t="s">
        <v>449</v>
      </c>
      <c r="B35" s="70"/>
      <c r="C35" s="78" t="s">
        <v>450</v>
      </c>
      <c r="D35" s="75">
        <f>SUM(D36:D36)</f>
        <v>0</v>
      </c>
    </row>
    <row r="36" spans="1:4" ht="12.75">
      <c r="A36" s="178"/>
      <c r="B36" s="179"/>
      <c r="C36" s="180"/>
      <c r="D36" s="81"/>
    </row>
    <row r="37" spans="1:4" ht="13.5" thickBot="1">
      <c r="A37" s="46" t="s">
        <v>367</v>
      </c>
      <c r="B37" s="49"/>
      <c r="C37" s="53" t="s">
        <v>451</v>
      </c>
      <c r="D37" s="65">
        <f>D38+D39-D40</f>
        <v>0</v>
      </c>
    </row>
    <row r="38" spans="1:4" ht="12.75">
      <c r="A38" s="23"/>
      <c r="B38" s="8"/>
      <c r="C38" s="78" t="s">
        <v>440</v>
      </c>
      <c r="D38" s="67">
        <v>0</v>
      </c>
    </row>
    <row r="39" spans="1:4" ht="12.75">
      <c r="A39" s="23"/>
      <c r="B39" s="8"/>
      <c r="C39" s="78" t="s">
        <v>441</v>
      </c>
      <c r="D39" s="67">
        <v>0</v>
      </c>
    </row>
    <row r="40" spans="1:4" ht="12.75">
      <c r="A40" s="23"/>
      <c r="B40" s="8"/>
      <c r="C40" s="78" t="s">
        <v>442</v>
      </c>
      <c r="D40" s="75">
        <v>0</v>
      </c>
    </row>
    <row r="41" spans="1:4" ht="13.5" thickBot="1">
      <c r="A41" s="26"/>
      <c r="B41" s="137"/>
      <c r="C41" s="54"/>
      <c r="D41" s="102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34" sqref="C34"/>
    </sheetView>
  </sheetViews>
  <sheetFormatPr defaultColWidth="9.00390625" defaultRowHeight="12.75"/>
  <cols>
    <col min="1" max="1" width="7.25390625" style="14" customWidth="1"/>
    <col min="2" max="2" width="9.375" style="14" customWidth="1"/>
    <col min="3" max="3" width="55.875" style="14" customWidth="1"/>
    <col min="4" max="4" width="23.375" style="14" customWidth="1"/>
    <col min="5" max="16384" width="9.125" style="14" customWidth="1"/>
  </cols>
  <sheetData>
    <row r="1" ht="12">
      <c r="D1" s="15" t="s">
        <v>602</v>
      </c>
    </row>
    <row r="2" ht="12">
      <c r="D2" s="15" t="s">
        <v>436</v>
      </c>
    </row>
    <row r="3" ht="12">
      <c r="D3" s="15" t="s">
        <v>50</v>
      </c>
    </row>
    <row r="4" ht="12">
      <c r="D4" s="15" t="s">
        <v>649</v>
      </c>
    </row>
    <row r="9" spans="1:4" ht="12.75" customHeight="1">
      <c r="A9" s="769" t="s">
        <v>500</v>
      </c>
      <c r="B9" s="769"/>
      <c r="C9" s="769"/>
      <c r="D9" s="769"/>
    </row>
    <row r="10" spans="1:4" ht="12.75" customHeight="1">
      <c r="A10" s="769" t="s">
        <v>437</v>
      </c>
      <c r="B10" s="769"/>
      <c r="C10" s="769"/>
      <c r="D10" s="769"/>
    </row>
    <row r="11" ht="9.75">
      <c r="C11" s="18"/>
    </row>
    <row r="12" ht="9.75">
      <c r="C12" s="18"/>
    </row>
    <row r="13" ht="10.5" thickBot="1">
      <c r="D13" s="19" t="s">
        <v>438</v>
      </c>
    </row>
    <row r="14" spans="1:4" ht="12.75">
      <c r="A14" s="29"/>
      <c r="B14" s="193"/>
      <c r="C14" s="186"/>
      <c r="D14" s="194" t="s">
        <v>533</v>
      </c>
    </row>
    <row r="15" spans="1:4" ht="12.75">
      <c r="A15" s="23" t="s">
        <v>346</v>
      </c>
      <c r="B15" s="8" t="s">
        <v>0</v>
      </c>
      <c r="C15" s="51" t="s">
        <v>287</v>
      </c>
      <c r="D15" s="196" t="s">
        <v>349</v>
      </c>
    </row>
    <row r="16" spans="1:4" ht="13.5" thickBot="1">
      <c r="A16" s="101"/>
      <c r="B16" s="183"/>
      <c r="C16" s="54"/>
      <c r="D16" s="199" t="s">
        <v>496</v>
      </c>
    </row>
    <row r="17" spans="1:4" s="275" customFormat="1" ht="12.75" customHeight="1" thickBot="1">
      <c r="A17" s="271">
        <v>1</v>
      </c>
      <c r="B17" s="272">
        <v>2</v>
      </c>
      <c r="C17" s="273">
        <v>3</v>
      </c>
      <c r="D17" s="274">
        <v>4</v>
      </c>
    </row>
    <row r="18" spans="1:4" ht="12.75">
      <c r="A18" s="195"/>
      <c r="B18" s="8"/>
      <c r="C18" s="51"/>
      <c r="D18" s="196"/>
    </row>
    <row r="19" spans="1:4" ht="13.5" thickBot="1">
      <c r="A19" s="12" t="s">
        <v>359</v>
      </c>
      <c r="B19" s="49"/>
      <c r="C19" s="53" t="s">
        <v>439</v>
      </c>
      <c r="D19" s="65">
        <f>D20+D21-D22</f>
        <v>47000</v>
      </c>
    </row>
    <row r="20" spans="1:4" ht="12.75">
      <c r="A20" s="23"/>
      <c r="B20" s="8"/>
      <c r="C20" s="78" t="s">
        <v>440</v>
      </c>
      <c r="D20" s="67">
        <v>47000</v>
      </c>
    </row>
    <row r="21" spans="1:4" ht="12.75">
      <c r="A21" s="23"/>
      <c r="B21" s="8"/>
      <c r="C21" s="78" t="s">
        <v>441</v>
      </c>
      <c r="D21" s="67">
        <v>20000</v>
      </c>
    </row>
    <row r="22" spans="1:4" ht="12.75">
      <c r="A22" s="23"/>
      <c r="B22" s="8"/>
      <c r="C22" s="78" t="s">
        <v>442</v>
      </c>
      <c r="D22" s="67">
        <v>20000</v>
      </c>
    </row>
    <row r="23" spans="1:4" ht="12.75">
      <c r="A23" s="23"/>
      <c r="B23" s="8"/>
      <c r="C23" s="9"/>
      <c r="D23" s="68"/>
    </row>
    <row r="24" spans="1:4" ht="13.5" thickBot="1">
      <c r="A24" s="46" t="s">
        <v>362</v>
      </c>
      <c r="B24" s="49"/>
      <c r="C24" s="53" t="s">
        <v>443</v>
      </c>
      <c r="D24" s="65">
        <f>SUM(D25:D27)</f>
        <v>480000</v>
      </c>
    </row>
    <row r="25" spans="1:4" ht="12.75">
      <c r="A25" s="23"/>
      <c r="B25" s="97" t="s">
        <v>263</v>
      </c>
      <c r="C25" s="78" t="s">
        <v>40</v>
      </c>
      <c r="D25" s="75">
        <v>450000</v>
      </c>
    </row>
    <row r="26" spans="1:4" ht="12.75">
      <c r="A26" s="23"/>
      <c r="B26" s="97" t="s">
        <v>265</v>
      </c>
      <c r="C26" s="78" t="s">
        <v>88</v>
      </c>
      <c r="D26" s="75">
        <v>10000</v>
      </c>
    </row>
    <row r="27" spans="1:4" ht="12.75">
      <c r="A27" s="23"/>
      <c r="B27" s="97" t="s">
        <v>448</v>
      </c>
      <c r="C27" s="78" t="s">
        <v>444</v>
      </c>
      <c r="D27" s="75">
        <v>20000</v>
      </c>
    </row>
    <row r="28" spans="1:4" ht="12.75">
      <c r="A28" s="195"/>
      <c r="B28" s="50"/>
      <c r="C28" s="9"/>
      <c r="D28" s="68"/>
    </row>
    <row r="29" spans="1:4" ht="13.5" thickBot="1">
      <c r="A29" s="46" t="s">
        <v>364</v>
      </c>
      <c r="B29" s="64"/>
      <c r="C29" s="53" t="s">
        <v>445</v>
      </c>
      <c r="D29" s="65">
        <f>D30+D36</f>
        <v>520000</v>
      </c>
    </row>
    <row r="30" spans="1:4" ht="12.75">
      <c r="A30" s="85" t="s">
        <v>446</v>
      </c>
      <c r="B30" s="70"/>
      <c r="C30" s="78" t="s">
        <v>447</v>
      </c>
      <c r="D30" s="67">
        <f>SUM(D31:D34)</f>
        <v>480000</v>
      </c>
    </row>
    <row r="31" spans="1:4" ht="12.75">
      <c r="A31" s="23"/>
      <c r="B31" s="97" t="s">
        <v>448</v>
      </c>
      <c r="C31" s="78" t="s">
        <v>444</v>
      </c>
      <c r="D31" s="67">
        <v>92000</v>
      </c>
    </row>
    <row r="32" spans="1:4" ht="12.75">
      <c r="A32" s="23"/>
      <c r="B32" s="97" t="s">
        <v>229</v>
      </c>
      <c r="C32" s="78" t="s">
        <v>217</v>
      </c>
      <c r="D32" s="67">
        <v>18000</v>
      </c>
    </row>
    <row r="33" spans="1:4" ht="12.75">
      <c r="A33" s="23"/>
      <c r="B33" s="97" t="s">
        <v>279</v>
      </c>
      <c r="C33" s="78" t="s">
        <v>219</v>
      </c>
      <c r="D33" s="67">
        <v>6000</v>
      </c>
    </row>
    <row r="34" spans="1:4" ht="12.75">
      <c r="A34" s="23"/>
      <c r="B34" s="276" t="s">
        <v>208</v>
      </c>
      <c r="C34" s="277" t="s">
        <v>209</v>
      </c>
      <c r="D34" s="67">
        <v>364000</v>
      </c>
    </row>
    <row r="35" spans="1:4" ht="12.75">
      <c r="A35" s="85"/>
      <c r="B35" s="97"/>
      <c r="C35" s="78"/>
      <c r="D35" s="67"/>
    </row>
    <row r="36" spans="1:4" ht="12.75">
      <c r="A36" s="278" t="s">
        <v>449</v>
      </c>
      <c r="B36" s="276"/>
      <c r="C36" s="277" t="s">
        <v>450</v>
      </c>
      <c r="D36" s="75">
        <f>SUM(D37:D37)</f>
        <v>40000</v>
      </c>
    </row>
    <row r="37" spans="1:4" ht="12.75">
      <c r="A37" s="85"/>
      <c r="B37" s="86">
        <v>6120</v>
      </c>
      <c r="C37" s="78" t="s">
        <v>276</v>
      </c>
      <c r="D37" s="67">
        <v>40000</v>
      </c>
    </row>
    <row r="38" spans="1:4" ht="12.75">
      <c r="A38" s="178"/>
      <c r="B38" s="179"/>
      <c r="C38" s="180"/>
      <c r="D38" s="81"/>
    </row>
    <row r="39" spans="1:4" ht="13.5" thickBot="1">
      <c r="A39" s="12" t="s">
        <v>367</v>
      </c>
      <c r="B39" s="49"/>
      <c r="C39" s="53" t="s">
        <v>451</v>
      </c>
      <c r="D39" s="65">
        <f>D19+D24-D29</f>
        <v>7000</v>
      </c>
    </row>
    <row r="40" spans="1:4" ht="12.75">
      <c r="A40" s="23"/>
      <c r="B40" s="8"/>
      <c r="C40" s="78" t="s">
        <v>440</v>
      </c>
      <c r="D40" s="67">
        <v>9000</v>
      </c>
    </row>
    <row r="41" spans="1:4" ht="12.75">
      <c r="A41" s="23"/>
      <c r="B41" s="8"/>
      <c r="C41" s="78" t="s">
        <v>441</v>
      </c>
      <c r="D41" s="67">
        <v>18000</v>
      </c>
    </row>
    <row r="42" spans="1:4" ht="12.75">
      <c r="A42" s="23"/>
      <c r="B42" s="8"/>
      <c r="C42" s="78" t="s">
        <v>442</v>
      </c>
      <c r="D42" s="75">
        <v>20000</v>
      </c>
    </row>
    <row r="43" spans="1:4" ht="13.5" thickBot="1">
      <c r="A43" s="101"/>
      <c r="B43" s="54"/>
      <c r="C43" s="137"/>
      <c r="D43" s="31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D33" sqref="D33"/>
    </sheetView>
  </sheetViews>
  <sheetFormatPr defaultColWidth="9.00390625" defaultRowHeight="12.75"/>
  <cols>
    <col min="1" max="1" width="4.00390625" style="0" bestFit="1" customWidth="1"/>
    <col min="2" max="2" width="6.25390625" style="0" bestFit="1" customWidth="1"/>
    <col min="3" max="3" width="52.00390625" style="0" customWidth="1"/>
    <col min="5" max="5" width="9.625" style="0" customWidth="1"/>
    <col min="7" max="7" width="7.625" style="0" customWidth="1"/>
    <col min="8" max="8" width="8.375" style="0" bestFit="1" customWidth="1"/>
    <col min="9" max="9" width="10.00390625" style="0" customWidth="1"/>
    <col min="12" max="12" width="11.62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K1" s="15" t="s">
        <v>687</v>
      </c>
      <c r="L1" s="14"/>
    </row>
    <row r="2" spans="1:12" ht="12.75">
      <c r="A2" s="14"/>
      <c r="B2" s="14"/>
      <c r="C2" s="14"/>
      <c r="D2" s="14"/>
      <c r="E2" s="14"/>
      <c r="F2" s="14"/>
      <c r="G2" s="30"/>
      <c r="H2" s="14"/>
      <c r="K2" s="15" t="s">
        <v>314</v>
      </c>
      <c r="L2" s="16"/>
    </row>
    <row r="3" spans="1:12" ht="12.75">
      <c r="A3" s="14"/>
      <c r="B3" s="14"/>
      <c r="C3" s="14"/>
      <c r="D3" s="14"/>
      <c r="E3" s="14"/>
      <c r="F3" s="14"/>
      <c r="G3" s="14"/>
      <c r="H3" s="14"/>
      <c r="K3" s="15" t="s">
        <v>50</v>
      </c>
      <c r="L3" s="16"/>
    </row>
    <row r="4" spans="1:12" ht="12.75">
      <c r="A4" s="14"/>
      <c r="B4" s="14"/>
      <c r="C4" s="14"/>
      <c r="D4" s="14"/>
      <c r="E4" s="14"/>
      <c r="F4" s="14"/>
      <c r="G4" s="14"/>
      <c r="H4" s="14"/>
      <c r="K4" s="15" t="s">
        <v>642</v>
      </c>
      <c r="L4" s="16"/>
    </row>
    <row r="5" spans="1:12" ht="12.75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6"/>
    </row>
    <row r="6" spans="1:12" ht="12.7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6"/>
    </row>
    <row r="7" spans="1:12" ht="12.75">
      <c r="A7" s="14"/>
      <c r="B7" s="14"/>
      <c r="C7" s="14"/>
      <c r="D7" s="14"/>
      <c r="E7" s="14"/>
      <c r="F7" s="14"/>
      <c r="G7" s="14"/>
      <c r="H7" s="14"/>
      <c r="I7" s="15"/>
      <c r="J7" s="15"/>
      <c r="K7" s="15"/>
      <c r="L7" s="16"/>
    </row>
    <row r="8" spans="1:12" ht="12.75">
      <c r="A8" s="14"/>
      <c r="B8" s="14"/>
      <c r="C8" s="14"/>
      <c r="D8" s="14"/>
      <c r="E8" s="14"/>
      <c r="F8" s="14"/>
      <c r="G8" s="14"/>
      <c r="H8" s="14"/>
      <c r="I8" s="15"/>
      <c r="J8" s="15"/>
      <c r="K8" s="15"/>
      <c r="L8" s="16"/>
    </row>
    <row r="9" spans="1:12" ht="12.75">
      <c r="A9" s="14"/>
      <c r="B9" s="14"/>
      <c r="C9" s="14"/>
      <c r="D9" s="14"/>
      <c r="E9" s="14"/>
      <c r="F9" s="14"/>
      <c r="G9" s="14"/>
      <c r="H9" s="14"/>
      <c r="I9" s="15"/>
      <c r="J9" s="15"/>
      <c r="K9" s="15"/>
      <c r="L9" s="16"/>
    </row>
    <row r="10" spans="1:12" ht="12.75">
      <c r="A10" s="782" t="s">
        <v>688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</row>
    <row r="11" spans="1:12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</row>
    <row r="12" spans="1:12" ht="12.7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</row>
    <row r="13" spans="1:12" ht="12.7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14" spans="1:12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28" t="s">
        <v>308</v>
      </c>
    </row>
    <row r="15" spans="1:12" ht="12.75">
      <c r="A15" s="516"/>
      <c r="B15" s="517"/>
      <c r="C15" s="517"/>
      <c r="D15" s="518"/>
      <c r="E15" s="517"/>
      <c r="F15" s="786" t="s">
        <v>486</v>
      </c>
      <c r="G15" s="787"/>
      <c r="H15" s="787"/>
      <c r="I15" s="788"/>
      <c r="J15" s="539"/>
      <c r="K15" s="539"/>
      <c r="L15" s="540"/>
    </row>
    <row r="16" spans="1:12" ht="12.75">
      <c r="A16" s="520"/>
      <c r="B16" s="511"/>
      <c r="C16" s="511"/>
      <c r="D16" s="168" t="s">
        <v>315</v>
      </c>
      <c r="E16" s="168" t="s">
        <v>316</v>
      </c>
      <c r="F16" s="783" t="s">
        <v>485</v>
      </c>
      <c r="G16" s="784"/>
      <c r="H16" s="784"/>
      <c r="I16" s="785"/>
      <c r="J16" s="510"/>
      <c r="K16" s="510"/>
      <c r="L16" s="521" t="s">
        <v>317</v>
      </c>
    </row>
    <row r="17" spans="1:12" ht="12.75">
      <c r="A17" s="451" t="s">
        <v>63</v>
      </c>
      <c r="B17" s="522" t="s">
        <v>47</v>
      </c>
      <c r="C17" s="510" t="s">
        <v>318</v>
      </c>
      <c r="D17" s="510" t="s">
        <v>319</v>
      </c>
      <c r="E17" s="523" t="s">
        <v>320</v>
      </c>
      <c r="F17" s="523" t="s">
        <v>321</v>
      </c>
      <c r="G17" s="510" t="s">
        <v>322</v>
      </c>
      <c r="H17" s="522" t="s">
        <v>323</v>
      </c>
      <c r="I17" s="524" t="s">
        <v>321</v>
      </c>
      <c r="J17" s="510" t="s">
        <v>691</v>
      </c>
      <c r="K17" s="510" t="s">
        <v>692</v>
      </c>
      <c r="L17" s="521" t="s">
        <v>487</v>
      </c>
    </row>
    <row r="18" spans="1:12" ht="14.25" customHeight="1">
      <c r="A18" s="451"/>
      <c r="B18" s="522"/>
      <c r="C18" s="510" t="s">
        <v>324</v>
      </c>
      <c r="D18" s="510" t="s">
        <v>325</v>
      </c>
      <c r="E18" s="523">
        <v>2005</v>
      </c>
      <c r="F18" s="523" t="s">
        <v>326</v>
      </c>
      <c r="G18" s="510" t="s">
        <v>327</v>
      </c>
      <c r="H18" s="522" t="s">
        <v>328</v>
      </c>
      <c r="I18" s="510" t="s">
        <v>329</v>
      </c>
      <c r="J18" s="510"/>
      <c r="K18" s="510"/>
      <c r="L18" s="521" t="s">
        <v>330</v>
      </c>
    </row>
    <row r="19" spans="1:12" ht="13.5" customHeight="1" thickBot="1">
      <c r="A19" s="150"/>
      <c r="B19" s="525"/>
      <c r="C19" s="151"/>
      <c r="D19" s="151"/>
      <c r="E19" s="151" t="s">
        <v>636</v>
      </c>
      <c r="F19" s="151"/>
      <c r="G19" s="151"/>
      <c r="H19" s="525" t="s">
        <v>331</v>
      </c>
      <c r="I19" s="151" t="s">
        <v>332</v>
      </c>
      <c r="J19" s="151"/>
      <c r="K19" s="151"/>
      <c r="L19" s="526" t="s">
        <v>333</v>
      </c>
    </row>
    <row r="20" spans="1:12" ht="13.5" thickBot="1">
      <c r="A20" s="21">
        <v>1</v>
      </c>
      <c r="B20" s="174">
        <v>2</v>
      </c>
      <c r="C20" s="174">
        <v>3</v>
      </c>
      <c r="D20" s="174">
        <v>4</v>
      </c>
      <c r="E20" s="174">
        <v>5</v>
      </c>
      <c r="F20" s="174">
        <v>6</v>
      </c>
      <c r="G20" s="174">
        <v>7</v>
      </c>
      <c r="H20" s="174">
        <v>8</v>
      </c>
      <c r="I20" s="174">
        <v>9</v>
      </c>
      <c r="J20" s="174">
        <v>10</v>
      </c>
      <c r="K20" s="174">
        <v>11</v>
      </c>
      <c r="L20" s="22">
        <v>12</v>
      </c>
    </row>
    <row r="21" spans="1:12" ht="12.75">
      <c r="A21" s="29"/>
      <c r="B21" s="93"/>
      <c r="C21" s="369" t="s">
        <v>695</v>
      </c>
      <c r="D21" s="193"/>
      <c r="E21" s="52"/>
      <c r="F21" s="52"/>
      <c r="G21" s="52"/>
      <c r="H21" s="52"/>
      <c r="I21" s="52"/>
      <c r="J21" s="193"/>
      <c r="K21" s="193"/>
      <c r="L21" s="548" t="s">
        <v>536</v>
      </c>
    </row>
    <row r="22" spans="1:12" ht="13.5" thickBot="1">
      <c r="A22" s="101">
        <v>600</v>
      </c>
      <c r="B22" s="575">
        <v>60014</v>
      </c>
      <c r="C22" s="576" t="s">
        <v>694</v>
      </c>
      <c r="D22" s="502">
        <f>E22+J22+K22</f>
        <v>2227143</v>
      </c>
      <c r="E22" s="502">
        <f>SUM(F22+G22+H22+I22)</f>
        <v>527143</v>
      </c>
      <c r="F22" s="577">
        <f>800000-272857</f>
        <v>527143</v>
      </c>
      <c r="G22" s="624">
        <v>0</v>
      </c>
      <c r="H22" s="624">
        <v>0</v>
      </c>
      <c r="I22" s="624">
        <v>0</v>
      </c>
      <c r="J22" s="138">
        <v>1700000</v>
      </c>
      <c r="K22" s="625">
        <v>0</v>
      </c>
      <c r="L22" s="626" t="s">
        <v>537</v>
      </c>
    </row>
    <row r="23" spans="1:12" ht="12.75">
      <c r="A23" s="23"/>
      <c r="B23" s="51"/>
      <c r="C23" s="541"/>
      <c r="D23" s="176"/>
      <c r="E23" s="176"/>
      <c r="F23" s="335"/>
      <c r="G23" s="335"/>
      <c r="H23" s="335"/>
      <c r="I23" s="335"/>
      <c r="J23" s="335"/>
      <c r="K23" s="335"/>
      <c r="L23" s="32" t="s">
        <v>690</v>
      </c>
    </row>
    <row r="24" spans="1:12" ht="13.5" thickBot="1">
      <c r="A24" s="101">
        <v>801</v>
      </c>
      <c r="B24" s="48">
        <v>80120</v>
      </c>
      <c r="C24" s="599" t="s">
        <v>749</v>
      </c>
      <c r="D24" s="502">
        <f>E24+J24+K24</f>
        <v>3015000</v>
      </c>
      <c r="E24" s="502">
        <f>SUM(F24+G24+H24+I24)</f>
        <v>1415000</v>
      </c>
      <c r="F24" s="577">
        <v>250000</v>
      </c>
      <c r="G24" s="577">
        <v>15000</v>
      </c>
      <c r="H24" s="577">
        <v>700000</v>
      </c>
      <c r="I24" s="577">
        <v>450000</v>
      </c>
      <c r="J24" s="502">
        <v>1600000</v>
      </c>
      <c r="K24" s="577">
        <v>0</v>
      </c>
      <c r="L24" s="145" t="s">
        <v>540</v>
      </c>
    </row>
    <row r="25" spans="1:12" ht="12.75">
      <c r="A25" s="23"/>
      <c r="B25" s="8"/>
      <c r="C25" s="377" t="s">
        <v>729</v>
      </c>
      <c r="D25" s="335"/>
      <c r="E25" s="335"/>
      <c r="F25" s="335"/>
      <c r="G25" s="335"/>
      <c r="H25" s="335"/>
      <c r="I25" s="335"/>
      <c r="J25" s="335"/>
      <c r="K25" s="335"/>
      <c r="L25" s="32" t="s">
        <v>548</v>
      </c>
    </row>
    <row r="26" spans="1:12" ht="13.5" thickBot="1">
      <c r="A26" s="85">
        <v>854</v>
      </c>
      <c r="B26" s="83">
        <v>85406</v>
      </c>
      <c r="C26" s="376" t="s">
        <v>730</v>
      </c>
      <c r="D26" s="333">
        <f>E26+J26+K26</f>
        <v>1407357</v>
      </c>
      <c r="E26" s="333">
        <f>SUM(F26+G26+H26+I26)</f>
        <v>34000</v>
      </c>
      <c r="F26" s="334">
        <v>34000</v>
      </c>
      <c r="G26" s="334">
        <v>0</v>
      </c>
      <c r="H26" s="334">
        <v>0</v>
      </c>
      <c r="I26" s="334">
        <v>0</v>
      </c>
      <c r="J26" s="335">
        <v>239007</v>
      </c>
      <c r="K26" s="335">
        <v>1134350</v>
      </c>
      <c r="L26" s="32" t="s">
        <v>537</v>
      </c>
    </row>
    <row r="27" spans="1:12" ht="21" customHeight="1" thickBot="1">
      <c r="A27" s="400"/>
      <c r="B27" s="542"/>
      <c r="C27" s="543" t="s">
        <v>689</v>
      </c>
      <c r="D27" s="544">
        <f aca="true" t="shared" si="0" ref="D27:I27">SUM(D22:D26)</f>
        <v>6649500</v>
      </c>
      <c r="E27" s="544">
        <f t="shared" si="0"/>
        <v>1976143</v>
      </c>
      <c r="F27" s="544">
        <f t="shared" si="0"/>
        <v>811143</v>
      </c>
      <c r="G27" s="544">
        <f t="shared" si="0"/>
        <v>15000</v>
      </c>
      <c r="H27" s="544">
        <f t="shared" si="0"/>
        <v>700000</v>
      </c>
      <c r="I27" s="544">
        <f t="shared" si="0"/>
        <v>450000</v>
      </c>
      <c r="J27" s="544">
        <f>SUM(J22:J26)</f>
        <v>3539007</v>
      </c>
      <c r="K27" s="544">
        <f>SUM(K22:K26)</f>
        <v>1134350</v>
      </c>
      <c r="L27" s="545"/>
    </row>
  </sheetData>
  <mergeCells count="3">
    <mergeCell ref="A10:L10"/>
    <mergeCell ref="F15:I15"/>
    <mergeCell ref="F16:I16"/>
  </mergeCells>
  <printOptions/>
  <pageMargins left="0.2" right="0.21" top="0.53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7">
      <selection activeCell="F28" sqref="F28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9.375" style="0" customWidth="1"/>
    <col min="4" max="16" width="9.00390625" style="0" customWidth="1"/>
  </cols>
  <sheetData>
    <row r="1" ht="12.75">
      <c r="F1" s="546"/>
    </row>
    <row r="2" spans="3:6" ht="12.75">
      <c r="C2" s="546"/>
      <c r="D2" s="546"/>
      <c r="E2" s="546"/>
      <c r="F2" s="546"/>
    </row>
    <row r="3" ht="12.75">
      <c r="E3" s="546"/>
    </row>
    <row r="4" ht="12.75">
      <c r="D4" s="546"/>
    </row>
    <row r="5" spans="2:28" ht="15" customHeight="1">
      <c r="B5" s="579"/>
      <c r="C5" s="790" t="s">
        <v>609</v>
      </c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1" t="s">
        <v>609</v>
      </c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</row>
    <row r="6" spans="1:28" ht="12.75" customHeight="1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275" t="s">
        <v>114</v>
      </c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275" t="s">
        <v>114</v>
      </c>
    </row>
    <row r="7" spans="1:28" ht="24.75" customHeight="1">
      <c r="A7" s="455" t="s">
        <v>393</v>
      </c>
      <c r="B7" s="456" t="s">
        <v>412</v>
      </c>
      <c r="C7" s="581" t="s">
        <v>676</v>
      </c>
      <c r="D7" s="582">
        <v>2005</v>
      </c>
      <c r="E7" s="582">
        <v>2006</v>
      </c>
      <c r="F7" s="582">
        <v>2007</v>
      </c>
      <c r="G7" s="582">
        <v>2008</v>
      </c>
      <c r="H7" s="582">
        <v>2009</v>
      </c>
      <c r="I7" s="582">
        <v>2010</v>
      </c>
      <c r="J7" s="582">
        <v>2011</v>
      </c>
      <c r="K7" s="582">
        <v>2012</v>
      </c>
      <c r="L7" s="582">
        <v>2013</v>
      </c>
      <c r="M7" s="582">
        <v>2014</v>
      </c>
      <c r="N7" s="582">
        <v>2015</v>
      </c>
      <c r="O7" s="581">
        <v>2016</v>
      </c>
      <c r="P7" s="582">
        <v>2017</v>
      </c>
      <c r="Q7" s="582">
        <v>2018</v>
      </c>
      <c r="R7" s="582">
        <v>2019</v>
      </c>
      <c r="S7" s="582">
        <v>2020</v>
      </c>
      <c r="T7" s="582">
        <v>2021</v>
      </c>
      <c r="U7" s="582">
        <v>2022</v>
      </c>
      <c r="V7" s="582">
        <v>2023</v>
      </c>
      <c r="W7" s="582">
        <v>2024</v>
      </c>
      <c r="X7" s="582">
        <v>2025</v>
      </c>
      <c r="Y7" s="582">
        <v>2026</v>
      </c>
      <c r="Z7" s="582">
        <v>2027</v>
      </c>
      <c r="AA7" s="582">
        <v>2028</v>
      </c>
      <c r="AB7" s="582">
        <v>2029</v>
      </c>
    </row>
    <row r="8" spans="1:28" ht="12.75">
      <c r="A8" s="457" t="s">
        <v>351</v>
      </c>
      <c r="B8" s="458" t="s">
        <v>405</v>
      </c>
      <c r="C8" s="584">
        <f>C9+C12+C13+C14+C15</f>
        <v>34245928</v>
      </c>
      <c r="D8" s="585">
        <f>D9+D12+D13+D14+D15</f>
        <v>32200339</v>
      </c>
      <c r="E8" s="585">
        <f>E9+E12+E13+E14+E15</f>
        <v>33166349.27</v>
      </c>
      <c r="F8" s="585">
        <f aca="true" t="shared" si="0" ref="F8:O8">F9+F12+F13+F14+F15</f>
        <v>34161340.3327</v>
      </c>
      <c r="G8" s="584">
        <f t="shared" si="0"/>
        <v>34502953.736027</v>
      </c>
      <c r="H8" s="584">
        <f t="shared" si="0"/>
        <v>34847983.27338727</v>
      </c>
      <c r="I8" s="584">
        <f t="shared" si="0"/>
        <v>35196463.10612114</v>
      </c>
      <c r="J8" s="584">
        <f t="shared" si="0"/>
        <v>35548427.73718236</v>
      </c>
      <c r="K8" s="584">
        <f t="shared" si="0"/>
        <v>35903912.01455418</v>
      </c>
      <c r="L8" s="584">
        <f t="shared" si="0"/>
        <v>36262951.13469972</v>
      </c>
      <c r="M8" s="584">
        <f t="shared" si="0"/>
        <v>36625580.64604672</v>
      </c>
      <c r="N8" s="584">
        <f>N9+N12+N13+N14+N15</f>
        <v>36991836</v>
      </c>
      <c r="O8" s="584">
        <f t="shared" si="0"/>
        <v>37511963</v>
      </c>
      <c r="P8" s="584">
        <f>P9+P12+P13+P14+P15</f>
        <v>37817878</v>
      </c>
      <c r="Q8" s="584">
        <f aca="true" t="shared" si="1" ref="Q8:AB8">Q9+Q12+Q13+Q14+Q15</f>
        <v>38196058.730000004</v>
      </c>
      <c r="R8" s="584">
        <f t="shared" si="1"/>
        <v>38578016.8473</v>
      </c>
      <c r="S8" s="584">
        <f t="shared" si="1"/>
        <v>38963798.185773</v>
      </c>
      <c r="T8" s="584">
        <f t="shared" si="1"/>
        <v>39353429.64763073</v>
      </c>
      <c r="U8" s="584">
        <f t="shared" si="1"/>
        <v>39746961.20410704</v>
      </c>
      <c r="V8" s="584">
        <f t="shared" si="1"/>
        <v>40144412.89614811</v>
      </c>
      <c r="W8" s="584">
        <f t="shared" si="1"/>
        <v>40545860.835109584</v>
      </c>
      <c r="X8" s="584">
        <f t="shared" si="1"/>
        <v>40951317.20346068</v>
      </c>
      <c r="Y8" s="584">
        <f t="shared" si="1"/>
        <v>41360831.25549529</v>
      </c>
      <c r="Z8" s="584">
        <f t="shared" si="1"/>
        <v>41774443.31805024</v>
      </c>
      <c r="AA8" s="584">
        <f t="shared" si="1"/>
        <v>42192183.791230746</v>
      </c>
      <c r="AB8" s="584">
        <f t="shared" si="1"/>
        <v>42614102.149143055</v>
      </c>
    </row>
    <row r="9" spans="1:28" ht="12.75">
      <c r="A9" s="459" t="s">
        <v>610</v>
      </c>
      <c r="B9" s="460" t="s">
        <v>611</v>
      </c>
      <c r="C9" s="586">
        <v>8893422</v>
      </c>
      <c r="D9" s="586">
        <v>9108603</v>
      </c>
      <c r="E9" s="586">
        <v>10112943</v>
      </c>
      <c r="F9" s="586">
        <v>10829800</v>
      </c>
      <c r="G9" s="587">
        <f aca="true" t="shared" si="2" ref="G9:M10">F9*1.01</f>
        <v>10938098</v>
      </c>
      <c r="H9" s="587">
        <f t="shared" si="2"/>
        <v>11047478.98</v>
      </c>
      <c r="I9" s="587">
        <f t="shared" si="2"/>
        <v>11157953.7698</v>
      </c>
      <c r="J9" s="587">
        <f t="shared" si="2"/>
        <v>11269533.307498</v>
      </c>
      <c r="K9" s="587">
        <f t="shared" si="2"/>
        <v>11382228.64057298</v>
      </c>
      <c r="L9" s="587">
        <f t="shared" si="2"/>
        <v>11496050.92697871</v>
      </c>
      <c r="M9" s="587">
        <f t="shared" si="2"/>
        <v>11611011.436248496</v>
      </c>
      <c r="N9" s="587">
        <v>11727122</v>
      </c>
      <c r="O9" s="587">
        <v>11826747</v>
      </c>
      <c r="P9" s="587">
        <v>11875811</v>
      </c>
      <c r="Q9" s="587">
        <v>11994569</v>
      </c>
      <c r="R9" s="587">
        <v>12114516</v>
      </c>
      <c r="S9" s="587">
        <v>12235661</v>
      </c>
      <c r="T9" s="587">
        <v>12358016</v>
      </c>
      <c r="U9" s="587">
        <v>12481597</v>
      </c>
      <c r="V9" s="587">
        <v>12606397</v>
      </c>
      <c r="W9" s="587">
        <v>12732459</v>
      </c>
      <c r="X9" s="587">
        <v>12859787</v>
      </c>
      <c r="Y9" s="587">
        <v>12988385</v>
      </c>
      <c r="Z9" s="587">
        <v>13118268</v>
      </c>
      <c r="AA9" s="587">
        <v>13249449</v>
      </c>
      <c r="AB9" s="587">
        <v>13381941</v>
      </c>
    </row>
    <row r="10" spans="1:28" ht="12.75">
      <c r="A10" s="459" t="s">
        <v>359</v>
      </c>
      <c r="B10" s="460" t="s">
        <v>612</v>
      </c>
      <c r="C10" s="586">
        <v>819896</v>
      </c>
      <c r="D10" s="586">
        <v>1101300</v>
      </c>
      <c r="E10" s="586">
        <v>900000</v>
      </c>
      <c r="F10" s="586">
        <f>E10*1.01</f>
        <v>909000</v>
      </c>
      <c r="G10" s="587">
        <f t="shared" si="2"/>
        <v>918090</v>
      </c>
      <c r="H10" s="587">
        <f t="shared" si="2"/>
        <v>927270.9</v>
      </c>
      <c r="I10" s="587">
        <f t="shared" si="2"/>
        <v>936543.609</v>
      </c>
      <c r="J10" s="587">
        <f t="shared" si="2"/>
        <v>945909.04509</v>
      </c>
      <c r="K10" s="587">
        <f t="shared" si="2"/>
        <v>955368.1355409</v>
      </c>
      <c r="L10" s="587">
        <f t="shared" si="2"/>
        <v>964921.816896309</v>
      </c>
      <c r="M10" s="587">
        <f t="shared" si="2"/>
        <v>974571.0350652721</v>
      </c>
      <c r="N10" s="587">
        <v>984317</v>
      </c>
      <c r="O10" s="587">
        <v>994160</v>
      </c>
      <c r="P10" s="587">
        <v>1239281</v>
      </c>
      <c r="Q10" s="587">
        <f>P10*1.01</f>
        <v>1251673.81</v>
      </c>
      <c r="R10" s="587">
        <f aca="true" t="shared" si="3" ref="R10:Z11">Q10*1.01</f>
        <v>1264190.5481</v>
      </c>
      <c r="S10" s="587">
        <f t="shared" si="3"/>
        <v>1276832.453581</v>
      </c>
      <c r="T10" s="587">
        <f t="shared" si="3"/>
        <v>1289600.77811681</v>
      </c>
      <c r="U10" s="587">
        <f t="shared" si="3"/>
        <v>1302496.785897978</v>
      </c>
      <c r="V10" s="587">
        <f t="shared" si="3"/>
        <v>1315521.7537569578</v>
      </c>
      <c r="W10" s="587">
        <f t="shared" si="3"/>
        <v>1328676.9712945274</v>
      </c>
      <c r="X10" s="587">
        <f t="shared" si="3"/>
        <v>1341963.7410074726</v>
      </c>
      <c r="Y10" s="587">
        <f t="shared" si="3"/>
        <v>1355383.3784175473</v>
      </c>
      <c r="Z10" s="587">
        <f t="shared" si="3"/>
        <v>1368937.212201723</v>
      </c>
      <c r="AA10" s="587">
        <f aca="true" t="shared" si="4" ref="AA10:AB14">Z10*1.01</f>
        <v>1382626.58432374</v>
      </c>
      <c r="AB10" s="587">
        <f t="shared" si="4"/>
        <v>1396452.8501669776</v>
      </c>
    </row>
    <row r="11" spans="1:28" ht="12.75">
      <c r="A11" s="459" t="s">
        <v>362</v>
      </c>
      <c r="B11" s="460" t="s">
        <v>613</v>
      </c>
      <c r="C11" s="586">
        <v>1857304</v>
      </c>
      <c r="D11" s="586">
        <v>2415735</v>
      </c>
      <c r="E11" s="586">
        <v>2440000</v>
      </c>
      <c r="F11" s="586">
        <f aca="true" t="shared" si="5" ref="F11:M18">E11*1.01</f>
        <v>2464400</v>
      </c>
      <c r="G11" s="587">
        <f t="shared" si="5"/>
        <v>2489044</v>
      </c>
      <c r="H11" s="587">
        <f t="shared" si="5"/>
        <v>2513934.44</v>
      </c>
      <c r="I11" s="587">
        <f t="shared" si="5"/>
        <v>2539073.7844</v>
      </c>
      <c r="J11" s="587">
        <f t="shared" si="5"/>
        <v>2564464.522244</v>
      </c>
      <c r="K11" s="587">
        <f t="shared" si="5"/>
        <v>2590109.16746644</v>
      </c>
      <c r="L11" s="587">
        <f t="shared" si="5"/>
        <v>2616010.2591411043</v>
      </c>
      <c r="M11" s="587">
        <f>L11*1.01</f>
        <v>2642170.3617325155</v>
      </c>
      <c r="N11" s="587">
        <v>2668592</v>
      </c>
      <c r="O11" s="587">
        <v>2677632</v>
      </c>
      <c r="P11" s="587">
        <v>2400025</v>
      </c>
      <c r="Q11" s="587">
        <f>P11*1.01</f>
        <v>2424025.25</v>
      </c>
      <c r="R11" s="587">
        <f t="shared" si="3"/>
        <v>2448265.5025</v>
      </c>
      <c r="S11" s="587">
        <f t="shared" si="3"/>
        <v>2472748.157525</v>
      </c>
      <c r="T11" s="587">
        <f t="shared" si="3"/>
        <v>2497475.6391002503</v>
      </c>
      <c r="U11" s="587">
        <f t="shared" si="3"/>
        <v>2522450.3954912527</v>
      </c>
      <c r="V11" s="587">
        <f t="shared" si="3"/>
        <v>2547674.899446165</v>
      </c>
      <c r="W11" s="587">
        <f t="shared" si="3"/>
        <v>2573151.648440627</v>
      </c>
      <c r="X11" s="587">
        <f t="shared" si="3"/>
        <v>2598883.164925033</v>
      </c>
      <c r="Y11" s="587">
        <f>X11*1.01</f>
        <v>2624871.9965742836</v>
      </c>
      <c r="Z11" s="587">
        <f>Y11*1.01</f>
        <v>2651120.7165400265</v>
      </c>
      <c r="AA11" s="587">
        <f t="shared" si="4"/>
        <v>2677631.923705427</v>
      </c>
      <c r="AB11" s="587">
        <f t="shared" si="4"/>
        <v>2704408.2429424813</v>
      </c>
    </row>
    <row r="12" spans="1:28" ht="12.75">
      <c r="A12" s="459" t="s">
        <v>614</v>
      </c>
      <c r="B12" s="460" t="s">
        <v>615</v>
      </c>
      <c r="C12" s="586">
        <v>17199567</v>
      </c>
      <c r="D12" s="586">
        <v>15650415</v>
      </c>
      <c r="E12" s="586">
        <v>15840000</v>
      </c>
      <c r="F12" s="586">
        <f t="shared" si="5"/>
        <v>15998400</v>
      </c>
      <c r="G12" s="587">
        <f t="shared" si="5"/>
        <v>16158384</v>
      </c>
      <c r="H12" s="587">
        <f t="shared" si="5"/>
        <v>16319967.84</v>
      </c>
      <c r="I12" s="587">
        <f t="shared" si="5"/>
        <v>16483167.5184</v>
      </c>
      <c r="J12" s="587">
        <f t="shared" si="5"/>
        <v>16647999.193584</v>
      </c>
      <c r="K12" s="587">
        <f t="shared" si="5"/>
        <v>16814479.18551984</v>
      </c>
      <c r="L12" s="587">
        <f t="shared" si="5"/>
        <v>16982623.977375038</v>
      </c>
      <c r="M12" s="587">
        <f t="shared" si="5"/>
        <v>17152450.21714879</v>
      </c>
      <c r="N12" s="587">
        <v>17323975</v>
      </c>
      <c r="O12" s="587">
        <v>17497214</v>
      </c>
      <c r="P12" s="587">
        <v>17672186</v>
      </c>
      <c r="Q12" s="587">
        <v>17848908</v>
      </c>
      <c r="R12" s="587">
        <v>18027397</v>
      </c>
      <c r="S12" s="587">
        <v>18207671</v>
      </c>
      <c r="T12" s="587">
        <v>18389748</v>
      </c>
      <c r="U12" s="587">
        <v>18573645</v>
      </c>
      <c r="V12" s="587">
        <v>18759382</v>
      </c>
      <c r="W12" s="587">
        <v>18946975</v>
      </c>
      <c r="X12" s="587">
        <v>19136445</v>
      </c>
      <c r="Y12" s="587">
        <v>19327810</v>
      </c>
      <c r="Z12" s="587">
        <v>19521088</v>
      </c>
      <c r="AA12" s="587">
        <v>19716299</v>
      </c>
      <c r="AB12" s="587">
        <v>19913462</v>
      </c>
    </row>
    <row r="13" spans="1:28" ht="24">
      <c r="A13" s="459" t="s">
        <v>616</v>
      </c>
      <c r="B13" s="461" t="s">
        <v>617</v>
      </c>
      <c r="C13" s="586">
        <v>3290082</v>
      </c>
      <c r="D13" s="586">
        <v>3294827</v>
      </c>
      <c r="E13" s="586">
        <f>D13*1.01-184369</f>
        <v>3143406.27</v>
      </c>
      <c r="F13" s="586">
        <f t="shared" si="5"/>
        <v>3174840.3327</v>
      </c>
      <c r="G13" s="587">
        <f t="shared" si="5"/>
        <v>3206588.736027</v>
      </c>
      <c r="H13" s="587">
        <f t="shared" si="5"/>
        <v>3238654.62338727</v>
      </c>
      <c r="I13" s="587">
        <f t="shared" si="5"/>
        <v>3271041.169621143</v>
      </c>
      <c r="J13" s="587">
        <f t="shared" si="5"/>
        <v>3303751.5813173545</v>
      </c>
      <c r="K13" s="587">
        <f t="shared" si="5"/>
        <v>3336789.097130528</v>
      </c>
      <c r="L13" s="587">
        <f t="shared" si="5"/>
        <v>3370156.9881018335</v>
      </c>
      <c r="M13" s="587">
        <f t="shared" si="5"/>
        <v>3403858.5579828518</v>
      </c>
      <c r="N13" s="587">
        <v>3437897</v>
      </c>
      <c r="O13" s="587">
        <v>3640131</v>
      </c>
      <c r="P13" s="587">
        <v>3676532</v>
      </c>
      <c r="Q13" s="587">
        <f aca="true" t="shared" si="6" ref="Q13:Z14">P13*1.01</f>
        <v>3713297.32</v>
      </c>
      <c r="R13" s="587">
        <f t="shared" si="6"/>
        <v>3750430.2931999997</v>
      </c>
      <c r="S13" s="587">
        <f t="shared" si="6"/>
        <v>3787934.596132</v>
      </c>
      <c r="T13" s="587">
        <f t="shared" si="6"/>
        <v>3825813.94209332</v>
      </c>
      <c r="U13" s="587">
        <f t="shared" si="6"/>
        <v>3864072.0815142533</v>
      </c>
      <c r="V13" s="587">
        <f t="shared" si="6"/>
        <v>3902712.802329396</v>
      </c>
      <c r="W13" s="587">
        <f t="shared" si="6"/>
        <v>3941739.9303526897</v>
      </c>
      <c r="X13" s="587">
        <f t="shared" si="6"/>
        <v>3981157.329656217</v>
      </c>
      <c r="Y13" s="587">
        <f t="shared" si="6"/>
        <v>4020968.902952779</v>
      </c>
      <c r="Z13" s="587">
        <f t="shared" si="6"/>
        <v>4061178.591982307</v>
      </c>
      <c r="AA13" s="587">
        <f t="shared" si="4"/>
        <v>4101790.37790213</v>
      </c>
      <c r="AB13" s="587">
        <f t="shared" si="4"/>
        <v>4142808.2816811516</v>
      </c>
    </row>
    <row r="14" spans="1:28" ht="24">
      <c r="A14" s="459" t="s">
        <v>618</v>
      </c>
      <c r="B14" s="461" t="s">
        <v>619</v>
      </c>
      <c r="C14" s="586">
        <v>4692943</v>
      </c>
      <c r="D14" s="586">
        <v>2920000</v>
      </c>
      <c r="E14" s="586">
        <v>2830000</v>
      </c>
      <c r="F14" s="586">
        <f t="shared" si="5"/>
        <v>2858300</v>
      </c>
      <c r="G14" s="587">
        <f t="shared" si="5"/>
        <v>2886883</v>
      </c>
      <c r="H14" s="587">
        <f t="shared" si="5"/>
        <v>2915751.83</v>
      </c>
      <c r="I14" s="587">
        <f t="shared" si="5"/>
        <v>2944909.3483</v>
      </c>
      <c r="J14" s="587">
        <f t="shared" si="5"/>
        <v>2974358.4417830002</v>
      </c>
      <c r="K14" s="587">
        <f t="shared" si="5"/>
        <v>3004102.0262008305</v>
      </c>
      <c r="L14" s="587">
        <f t="shared" si="5"/>
        <v>3034143.046462839</v>
      </c>
      <c r="M14" s="587">
        <f t="shared" si="5"/>
        <v>3064484.4769274676</v>
      </c>
      <c r="N14" s="587">
        <v>3095129</v>
      </c>
      <c r="O14" s="587">
        <v>3126081</v>
      </c>
      <c r="P14" s="587">
        <v>3157341</v>
      </c>
      <c r="Q14" s="587">
        <f t="shared" si="6"/>
        <v>3188914.41</v>
      </c>
      <c r="R14" s="587">
        <f t="shared" si="6"/>
        <v>3220803.5541000003</v>
      </c>
      <c r="S14" s="587">
        <f t="shared" si="6"/>
        <v>3253011.589641</v>
      </c>
      <c r="T14" s="587">
        <f t="shared" si="6"/>
        <v>3285541.70553741</v>
      </c>
      <c r="U14" s="587">
        <f t="shared" si="6"/>
        <v>3318397.122592784</v>
      </c>
      <c r="V14" s="587">
        <f t="shared" si="6"/>
        <v>3351581.093818712</v>
      </c>
      <c r="W14" s="587">
        <f t="shared" si="6"/>
        <v>3385096.904756899</v>
      </c>
      <c r="X14" s="587">
        <f t="shared" si="6"/>
        <v>3418947.873804468</v>
      </c>
      <c r="Y14" s="587">
        <f t="shared" si="6"/>
        <v>3453137.352542513</v>
      </c>
      <c r="Z14" s="587">
        <f t="shared" si="6"/>
        <v>3487668.7260679384</v>
      </c>
      <c r="AA14" s="587">
        <f t="shared" si="4"/>
        <v>3522545.413328618</v>
      </c>
      <c r="AB14" s="587">
        <f t="shared" si="4"/>
        <v>3557770.867461904</v>
      </c>
    </row>
    <row r="15" spans="1:28" ht="12.75">
      <c r="A15" s="459" t="s">
        <v>620</v>
      </c>
      <c r="B15" s="461" t="s">
        <v>621</v>
      </c>
      <c r="C15" s="586">
        <v>169914</v>
      </c>
      <c r="D15" s="586">
        <v>1226494</v>
      </c>
      <c r="E15" s="586">
        <v>1240000</v>
      </c>
      <c r="F15" s="586">
        <v>1300000</v>
      </c>
      <c r="G15" s="587">
        <f t="shared" si="5"/>
        <v>1313000</v>
      </c>
      <c r="H15" s="587">
        <f t="shared" si="5"/>
        <v>1326130</v>
      </c>
      <c r="I15" s="587">
        <f t="shared" si="5"/>
        <v>1339391.3</v>
      </c>
      <c r="J15" s="587">
        <f t="shared" si="5"/>
        <v>1352785.213</v>
      </c>
      <c r="K15" s="587">
        <f t="shared" si="5"/>
        <v>1366313.06513</v>
      </c>
      <c r="L15" s="587">
        <f t="shared" si="5"/>
        <v>1379976.1957813</v>
      </c>
      <c r="M15" s="587">
        <f t="shared" si="5"/>
        <v>1393775.9577391131</v>
      </c>
      <c r="N15" s="587">
        <v>1407713</v>
      </c>
      <c r="O15" s="587">
        <v>1421790</v>
      </c>
      <c r="P15" s="587">
        <v>1436008</v>
      </c>
      <c r="Q15" s="587">
        <v>1450370</v>
      </c>
      <c r="R15" s="587">
        <v>1464870</v>
      </c>
      <c r="S15" s="587">
        <v>1479520</v>
      </c>
      <c r="T15" s="587">
        <v>1494310</v>
      </c>
      <c r="U15" s="587">
        <v>1509250</v>
      </c>
      <c r="V15" s="587">
        <v>1524340</v>
      </c>
      <c r="W15" s="587">
        <v>1539590</v>
      </c>
      <c r="X15" s="587">
        <v>1554980</v>
      </c>
      <c r="Y15" s="587">
        <v>1570530</v>
      </c>
      <c r="Z15" s="587">
        <v>1586240</v>
      </c>
      <c r="AA15" s="587">
        <v>1602100</v>
      </c>
      <c r="AB15" s="587">
        <v>1618120</v>
      </c>
    </row>
    <row r="16" spans="1:28" ht="12.75">
      <c r="A16" s="457" t="s">
        <v>353</v>
      </c>
      <c r="B16" s="458" t="s">
        <v>445</v>
      </c>
      <c r="C16" s="585">
        <f>SUM(C17:C18)</f>
        <v>30631087</v>
      </c>
      <c r="D16" s="585">
        <f>SUM(D17:D18)</f>
        <v>32709556</v>
      </c>
      <c r="E16" s="585">
        <f aca="true" t="shared" si="7" ref="E16:L16">SUM(E17:E18)</f>
        <v>30349982</v>
      </c>
      <c r="F16" s="585">
        <f t="shared" si="7"/>
        <v>30653481.82</v>
      </c>
      <c r="G16" s="584">
        <f t="shared" si="7"/>
        <v>30960016.6382</v>
      </c>
      <c r="H16" s="584">
        <f t="shared" si="7"/>
        <v>31269616.804582</v>
      </c>
      <c r="I16" s="584">
        <f t="shared" si="7"/>
        <v>31582312.972627822</v>
      </c>
      <c r="J16" s="584">
        <f t="shared" si="7"/>
        <v>31898136.102354098</v>
      </c>
      <c r="K16" s="584">
        <f t="shared" si="7"/>
        <v>32217117.46337764</v>
      </c>
      <c r="L16" s="584">
        <f t="shared" si="7"/>
        <v>32539288.638011415</v>
      </c>
      <c r="M16" s="584">
        <f>SUM(M17:M18)</f>
        <v>32864681.52439153</v>
      </c>
      <c r="N16" s="584">
        <f>SUM(N17:N18)</f>
        <v>33193328</v>
      </c>
      <c r="O16" s="584">
        <f>SUM(O17:O18)</f>
        <v>33558072</v>
      </c>
      <c r="P16" s="584">
        <f aca="true" t="shared" si="8" ref="P16:W16">SUM(P17:P18)</f>
        <v>33894509</v>
      </c>
      <c r="Q16" s="584">
        <f t="shared" si="8"/>
        <v>34233450</v>
      </c>
      <c r="R16" s="584">
        <f t="shared" si="8"/>
        <v>34575790</v>
      </c>
      <c r="S16" s="584">
        <f t="shared" si="8"/>
        <v>34921550</v>
      </c>
      <c r="T16" s="584">
        <f t="shared" si="8"/>
        <v>35270770</v>
      </c>
      <c r="U16" s="584">
        <f t="shared" si="8"/>
        <v>35623460</v>
      </c>
      <c r="V16" s="584">
        <f t="shared" si="8"/>
        <v>35979700</v>
      </c>
      <c r="W16" s="584">
        <f t="shared" si="8"/>
        <v>36339490</v>
      </c>
      <c r="X16" s="584">
        <f>SUM(X17:X18)</f>
        <v>36702900</v>
      </c>
      <c r="Y16" s="584">
        <f>SUM(Y17:Y18)</f>
        <v>37069920</v>
      </c>
      <c r="Z16" s="584">
        <f>SUM(Z17:Z18)</f>
        <v>37440630</v>
      </c>
      <c r="AA16" s="584">
        <f>SUM(AA17:AA18)</f>
        <v>37815000</v>
      </c>
      <c r="AB16" s="584">
        <f>SUM(AB17:AB18)</f>
        <v>38193120</v>
      </c>
    </row>
    <row r="17" spans="1:28" ht="12.75">
      <c r="A17" s="459" t="s">
        <v>610</v>
      </c>
      <c r="B17" s="460" t="s">
        <v>622</v>
      </c>
      <c r="C17" s="586">
        <v>29448799</v>
      </c>
      <c r="D17" s="586">
        <v>29230220</v>
      </c>
      <c r="E17" s="586">
        <v>27349982</v>
      </c>
      <c r="F17" s="586">
        <f aca="true" t="shared" si="9" ref="F17:M17">E17*1.01</f>
        <v>27623481.82</v>
      </c>
      <c r="G17" s="587">
        <f t="shared" si="9"/>
        <v>27899716.6382</v>
      </c>
      <c r="H17" s="587">
        <f t="shared" si="9"/>
        <v>28178713.804582</v>
      </c>
      <c r="I17" s="587">
        <f t="shared" si="9"/>
        <v>28460500.94262782</v>
      </c>
      <c r="J17" s="587">
        <f t="shared" si="9"/>
        <v>28745105.9520541</v>
      </c>
      <c r="K17" s="587">
        <f t="shared" si="9"/>
        <v>29032557.01157464</v>
      </c>
      <c r="L17" s="587">
        <f t="shared" si="9"/>
        <v>29322882.581690386</v>
      </c>
      <c r="M17" s="587">
        <f t="shared" si="9"/>
        <v>29616111.40750729</v>
      </c>
      <c r="N17" s="587">
        <v>29912272</v>
      </c>
      <c r="O17" s="587">
        <v>30211395</v>
      </c>
      <c r="P17" s="587">
        <v>30513509</v>
      </c>
      <c r="Q17" s="587">
        <v>30818640</v>
      </c>
      <c r="R17" s="587">
        <v>31126830</v>
      </c>
      <c r="S17" s="587">
        <v>31438100</v>
      </c>
      <c r="T17" s="587">
        <v>31752480</v>
      </c>
      <c r="U17" s="587">
        <v>32070000</v>
      </c>
      <c r="V17" s="587">
        <v>32390700</v>
      </c>
      <c r="W17" s="587">
        <v>32714600</v>
      </c>
      <c r="X17" s="587">
        <v>33041760</v>
      </c>
      <c r="Y17" s="587">
        <v>33372170</v>
      </c>
      <c r="Z17" s="587">
        <v>33705900</v>
      </c>
      <c r="AA17" s="587">
        <v>34043000</v>
      </c>
      <c r="AB17" s="587">
        <v>34383400</v>
      </c>
    </row>
    <row r="18" spans="1:28" ht="12.75">
      <c r="A18" s="459" t="s">
        <v>614</v>
      </c>
      <c r="B18" s="460" t="s">
        <v>623</v>
      </c>
      <c r="C18" s="586">
        <v>1182288</v>
      </c>
      <c r="D18" s="586">
        <v>3479336</v>
      </c>
      <c r="E18" s="586">
        <v>3000000</v>
      </c>
      <c r="F18" s="586">
        <f t="shared" si="5"/>
        <v>3030000</v>
      </c>
      <c r="G18" s="587">
        <f t="shared" si="5"/>
        <v>3060300</v>
      </c>
      <c r="H18" s="587">
        <f t="shared" si="5"/>
        <v>3090903</v>
      </c>
      <c r="I18" s="587">
        <f t="shared" si="5"/>
        <v>3121812.03</v>
      </c>
      <c r="J18" s="587">
        <f t="shared" si="5"/>
        <v>3153030.1503</v>
      </c>
      <c r="K18" s="587">
        <f t="shared" si="5"/>
        <v>3184560.4518029997</v>
      </c>
      <c r="L18" s="587">
        <f t="shared" si="5"/>
        <v>3216406.0563210296</v>
      </c>
      <c r="M18" s="587">
        <f t="shared" si="5"/>
        <v>3248570.11688424</v>
      </c>
      <c r="N18" s="587">
        <v>3281056</v>
      </c>
      <c r="O18" s="587">
        <v>3346677</v>
      </c>
      <c r="P18" s="587">
        <v>3381000</v>
      </c>
      <c r="Q18" s="587">
        <v>3414810</v>
      </c>
      <c r="R18" s="587">
        <v>3448960</v>
      </c>
      <c r="S18" s="587">
        <v>3483450</v>
      </c>
      <c r="T18" s="587">
        <v>3518290</v>
      </c>
      <c r="U18" s="587">
        <v>3553460</v>
      </c>
      <c r="V18" s="587">
        <v>3589000</v>
      </c>
      <c r="W18" s="587">
        <v>3624890</v>
      </c>
      <c r="X18" s="587">
        <v>3661140</v>
      </c>
      <c r="Y18" s="587">
        <v>3697750</v>
      </c>
      <c r="Z18" s="587">
        <v>3734730</v>
      </c>
      <c r="AA18" s="587">
        <v>3772000</v>
      </c>
      <c r="AB18" s="587">
        <v>3809720</v>
      </c>
    </row>
    <row r="19" spans="1:28" ht="12.75">
      <c r="A19" s="457" t="s">
        <v>357</v>
      </c>
      <c r="B19" s="458" t="s">
        <v>624</v>
      </c>
      <c r="C19" s="584">
        <f>C20+C24+C27+C28</f>
        <v>14901697</v>
      </c>
      <c r="D19" s="585">
        <f aca="true" t="shared" si="10" ref="D19:O19">D20+D24+D27+D28</f>
        <v>1089082</v>
      </c>
      <c r="E19" s="585">
        <f t="shared" si="10"/>
        <v>1487583</v>
      </c>
      <c r="F19" s="585">
        <f t="shared" si="10"/>
        <v>1309615</v>
      </c>
      <c r="G19" s="584">
        <f t="shared" si="10"/>
        <v>1255870</v>
      </c>
      <c r="H19" s="584">
        <f t="shared" si="10"/>
        <v>1386610</v>
      </c>
      <c r="I19" s="584">
        <f t="shared" si="10"/>
        <v>1360650</v>
      </c>
      <c r="J19" s="584">
        <f t="shared" si="10"/>
        <v>1258690</v>
      </c>
      <c r="K19" s="584">
        <f t="shared" si="10"/>
        <v>1232730</v>
      </c>
      <c r="L19" s="584">
        <f t="shared" si="10"/>
        <v>1206770</v>
      </c>
      <c r="M19" s="584">
        <f t="shared" si="10"/>
        <v>1177800</v>
      </c>
      <c r="N19" s="584">
        <f t="shared" si="10"/>
        <v>1154843</v>
      </c>
      <c r="O19" s="584">
        <f t="shared" si="10"/>
        <v>1151719</v>
      </c>
      <c r="P19" s="584">
        <f aca="true" t="shared" si="11" ref="P19:Z19">P20+P24+P27+P28</f>
        <v>1030774.4</v>
      </c>
      <c r="Q19" s="584">
        <f t="shared" si="11"/>
        <v>817020.8</v>
      </c>
      <c r="R19" s="584">
        <f t="shared" si="11"/>
        <v>782979.2</v>
      </c>
      <c r="S19" s="584">
        <f t="shared" si="11"/>
        <v>748937.6</v>
      </c>
      <c r="T19" s="584">
        <f t="shared" si="11"/>
        <v>714896</v>
      </c>
      <c r="U19" s="584">
        <f t="shared" si="11"/>
        <v>680854.4</v>
      </c>
      <c r="V19" s="584">
        <f t="shared" si="11"/>
        <v>646812.8</v>
      </c>
      <c r="W19" s="584">
        <f t="shared" si="11"/>
        <v>612771.2</v>
      </c>
      <c r="X19" s="584">
        <f t="shared" si="11"/>
        <v>578729.6</v>
      </c>
      <c r="Y19" s="584">
        <f t="shared" si="11"/>
        <v>544688</v>
      </c>
      <c r="Z19" s="584">
        <f t="shared" si="11"/>
        <v>510646.4</v>
      </c>
      <c r="AA19" s="584">
        <f>AA20+AA24+AA27+AA28</f>
        <v>476604.8</v>
      </c>
      <c r="AB19" s="584">
        <f>AB20+AB24+AB27+AB28</f>
        <v>221561.6</v>
      </c>
    </row>
    <row r="20" spans="1:28" ht="12.75">
      <c r="A20" s="459" t="s">
        <v>610</v>
      </c>
      <c r="B20" s="460" t="s">
        <v>625</v>
      </c>
      <c r="C20" s="587">
        <f>SUM(C21:C23)</f>
        <v>7901697</v>
      </c>
      <c r="D20" s="586">
        <f aca="true" t="shared" si="12" ref="D20:O20">SUM(D21:D23)</f>
        <v>1026047</v>
      </c>
      <c r="E20" s="586">
        <f t="shared" si="12"/>
        <v>1386548</v>
      </c>
      <c r="F20" s="586">
        <f t="shared" si="12"/>
        <v>1208580</v>
      </c>
      <c r="G20" s="587">
        <f t="shared" si="12"/>
        <v>1179870</v>
      </c>
      <c r="H20" s="587">
        <f t="shared" si="12"/>
        <v>1143910</v>
      </c>
      <c r="I20" s="587">
        <f t="shared" si="12"/>
        <v>1117950</v>
      </c>
      <c r="J20" s="587">
        <f t="shared" si="12"/>
        <v>1091990</v>
      </c>
      <c r="K20" s="587">
        <f t="shared" si="12"/>
        <v>1066030</v>
      </c>
      <c r="L20" s="587">
        <f t="shared" si="12"/>
        <v>1040070</v>
      </c>
      <c r="M20" s="587">
        <f t="shared" si="12"/>
        <v>1011100</v>
      </c>
      <c r="N20" s="587">
        <f t="shared" si="12"/>
        <v>988143</v>
      </c>
      <c r="O20" s="587">
        <f t="shared" si="12"/>
        <v>985019</v>
      </c>
      <c r="P20" s="587">
        <f>SUM(P21:P23)</f>
        <v>864374.4</v>
      </c>
      <c r="Q20" s="587">
        <f aca="true" t="shared" si="13" ref="Q20:Z20">SUM(Q21:Q23)</f>
        <v>817020.8</v>
      </c>
      <c r="R20" s="587">
        <f t="shared" si="13"/>
        <v>782979.2</v>
      </c>
      <c r="S20" s="587">
        <f t="shared" si="13"/>
        <v>748937.6</v>
      </c>
      <c r="T20" s="587">
        <f t="shared" si="13"/>
        <v>714896</v>
      </c>
      <c r="U20" s="587">
        <f t="shared" si="13"/>
        <v>680854.4</v>
      </c>
      <c r="V20" s="587">
        <f t="shared" si="13"/>
        <v>646812.8</v>
      </c>
      <c r="W20" s="587">
        <f t="shared" si="13"/>
        <v>612771.2</v>
      </c>
      <c r="X20" s="587">
        <f t="shared" si="13"/>
        <v>578729.6</v>
      </c>
      <c r="Y20" s="587">
        <f t="shared" si="13"/>
        <v>544688</v>
      </c>
      <c r="Z20" s="587">
        <f t="shared" si="13"/>
        <v>510646.4</v>
      </c>
      <c r="AA20" s="587">
        <f>SUM(AA21:AA23)</f>
        <v>476604.8</v>
      </c>
      <c r="AB20" s="587">
        <f>SUM(AB21:AB23)</f>
        <v>221561.6</v>
      </c>
    </row>
    <row r="21" spans="1:28" ht="12.75">
      <c r="A21" s="459" t="s">
        <v>359</v>
      </c>
      <c r="B21" s="460" t="s">
        <v>626</v>
      </c>
      <c r="C21" s="587">
        <v>204998</v>
      </c>
      <c r="D21" s="586">
        <v>204998</v>
      </c>
      <c r="E21" s="586">
        <v>151248</v>
      </c>
      <c r="F21" s="586">
        <v>10000</v>
      </c>
      <c r="G21" s="587">
        <v>10000</v>
      </c>
      <c r="H21" s="587">
        <v>0</v>
      </c>
      <c r="I21" s="587">
        <v>0</v>
      </c>
      <c r="J21" s="587">
        <v>0</v>
      </c>
      <c r="K21" s="587">
        <v>0</v>
      </c>
      <c r="L21" s="587">
        <v>0</v>
      </c>
      <c r="M21" s="587">
        <v>0</v>
      </c>
      <c r="N21" s="587">
        <v>0</v>
      </c>
      <c r="O21" s="587">
        <v>0</v>
      </c>
      <c r="P21" s="587">
        <v>0</v>
      </c>
      <c r="Q21" s="587">
        <f aca="true" t="shared" si="14" ref="Q21:Z22">P21</f>
        <v>0</v>
      </c>
      <c r="R21" s="587">
        <f t="shared" si="14"/>
        <v>0</v>
      </c>
      <c r="S21" s="587">
        <f t="shared" si="14"/>
        <v>0</v>
      </c>
      <c r="T21" s="587">
        <f t="shared" si="14"/>
        <v>0</v>
      </c>
      <c r="U21" s="587">
        <f t="shared" si="14"/>
        <v>0</v>
      </c>
      <c r="V21" s="587">
        <f t="shared" si="14"/>
        <v>0</v>
      </c>
      <c r="W21" s="587">
        <f t="shared" si="14"/>
        <v>0</v>
      </c>
      <c r="X21" s="587">
        <f t="shared" si="14"/>
        <v>0</v>
      </c>
      <c r="Y21" s="587">
        <f t="shared" si="14"/>
        <v>0</v>
      </c>
      <c r="Z21" s="587">
        <f t="shared" si="14"/>
        <v>0</v>
      </c>
      <c r="AA21" s="587">
        <f>Z21</f>
        <v>0</v>
      </c>
      <c r="AB21" s="587">
        <f>AA21</f>
        <v>0</v>
      </c>
    </row>
    <row r="22" spans="1:28" ht="12.75">
      <c r="A22" s="459" t="s">
        <v>362</v>
      </c>
      <c r="B22" s="460" t="s">
        <v>627</v>
      </c>
      <c r="C22" s="587">
        <v>6499201</v>
      </c>
      <c r="D22" s="586">
        <v>0</v>
      </c>
      <c r="E22" s="586">
        <v>425520</v>
      </c>
      <c r="F22" s="586">
        <f>E22</f>
        <v>425520</v>
      </c>
      <c r="G22" s="587">
        <f aca="true" t="shared" si="15" ref="G22:N22">F22</f>
        <v>425520</v>
      </c>
      <c r="H22" s="587">
        <f t="shared" si="15"/>
        <v>425520</v>
      </c>
      <c r="I22" s="587">
        <f t="shared" si="15"/>
        <v>425520</v>
      </c>
      <c r="J22" s="587">
        <f t="shared" si="15"/>
        <v>425520</v>
      </c>
      <c r="K22" s="587">
        <f t="shared" si="15"/>
        <v>425520</v>
      </c>
      <c r="L22" s="587">
        <f t="shared" si="15"/>
        <v>425520</v>
      </c>
      <c r="M22" s="587">
        <f>L22</f>
        <v>425520</v>
      </c>
      <c r="N22" s="587">
        <f t="shared" si="15"/>
        <v>425520</v>
      </c>
      <c r="O22" s="587">
        <v>425520</v>
      </c>
      <c r="P22" s="587">
        <v>425520</v>
      </c>
      <c r="Q22" s="587">
        <f t="shared" si="14"/>
        <v>425520</v>
      </c>
      <c r="R22" s="587">
        <f t="shared" si="14"/>
        <v>425520</v>
      </c>
      <c r="S22" s="587">
        <f t="shared" si="14"/>
        <v>425520</v>
      </c>
      <c r="T22" s="587">
        <f t="shared" si="14"/>
        <v>425520</v>
      </c>
      <c r="U22" s="587">
        <f t="shared" si="14"/>
        <v>425520</v>
      </c>
      <c r="V22" s="587">
        <f t="shared" si="14"/>
        <v>425520</v>
      </c>
      <c r="W22" s="587">
        <f t="shared" si="14"/>
        <v>425520</v>
      </c>
      <c r="X22" s="587">
        <f t="shared" si="14"/>
        <v>425520</v>
      </c>
      <c r="Y22" s="587">
        <f t="shared" si="14"/>
        <v>425520</v>
      </c>
      <c r="Z22" s="587">
        <f t="shared" si="14"/>
        <v>425520</v>
      </c>
      <c r="AA22" s="587">
        <f>Z22</f>
        <v>425520</v>
      </c>
      <c r="AB22" s="587">
        <v>213040</v>
      </c>
    </row>
    <row r="23" spans="1:28" ht="12.75">
      <c r="A23" s="459" t="s">
        <v>364</v>
      </c>
      <c r="B23" s="460" t="s">
        <v>628</v>
      </c>
      <c r="C23" s="587">
        <v>1197498</v>
      </c>
      <c r="D23" s="586">
        <v>821049</v>
      </c>
      <c r="E23" s="586">
        <v>809780</v>
      </c>
      <c r="F23" s="586">
        <v>773060</v>
      </c>
      <c r="G23" s="587">
        <v>744350</v>
      </c>
      <c r="H23" s="587">
        <v>718390</v>
      </c>
      <c r="I23" s="587">
        <v>692430</v>
      </c>
      <c r="J23" s="587">
        <v>666470</v>
      </c>
      <c r="K23" s="587">
        <v>640510</v>
      </c>
      <c r="L23" s="587">
        <v>614550</v>
      </c>
      <c r="M23" s="587">
        <v>585580</v>
      </c>
      <c r="N23" s="587">
        <v>562623</v>
      </c>
      <c r="O23" s="587">
        <v>559499</v>
      </c>
      <c r="P23" s="587">
        <f>O30*8/100</f>
        <v>438854.4</v>
      </c>
      <c r="Q23" s="587">
        <f aca="true" t="shared" si="16" ref="Q23:AA23">P30*8/100</f>
        <v>391500.8</v>
      </c>
      <c r="R23" s="587">
        <f t="shared" si="16"/>
        <v>357459.2</v>
      </c>
      <c r="S23" s="587">
        <f t="shared" si="16"/>
        <v>323417.6</v>
      </c>
      <c r="T23" s="587">
        <f t="shared" si="16"/>
        <v>289376</v>
      </c>
      <c r="U23" s="587">
        <f t="shared" si="16"/>
        <v>255334.4</v>
      </c>
      <c r="V23" s="587">
        <f t="shared" si="16"/>
        <v>221292.8</v>
      </c>
      <c r="W23" s="587">
        <f t="shared" si="16"/>
        <v>187251.2</v>
      </c>
      <c r="X23" s="587">
        <f t="shared" si="16"/>
        <v>153209.6</v>
      </c>
      <c r="Y23" s="587">
        <f t="shared" si="16"/>
        <v>119168</v>
      </c>
      <c r="Z23" s="587">
        <f>Y30*8/100</f>
        <v>85126.4</v>
      </c>
      <c r="AA23" s="587">
        <f t="shared" si="16"/>
        <v>51084.8</v>
      </c>
      <c r="AB23" s="587">
        <f>AA30*4/100</f>
        <v>8521.6</v>
      </c>
    </row>
    <row r="24" spans="1:28" ht="24">
      <c r="A24" s="459" t="s">
        <v>614</v>
      </c>
      <c r="B24" s="461" t="s">
        <v>629</v>
      </c>
      <c r="C24" s="587">
        <f>SUM(C25:C26)</f>
        <v>0</v>
      </c>
      <c r="D24" s="586">
        <f>D25</f>
        <v>63035</v>
      </c>
      <c r="E24" s="586">
        <f aca="true" t="shared" si="17" ref="E24:O24">SUM(E25:E26)</f>
        <v>101035</v>
      </c>
      <c r="F24" s="586">
        <f t="shared" si="17"/>
        <v>101035</v>
      </c>
      <c r="G24" s="587">
        <f t="shared" si="17"/>
        <v>76000</v>
      </c>
      <c r="H24" s="587">
        <f t="shared" si="17"/>
        <v>242700</v>
      </c>
      <c r="I24" s="587">
        <f t="shared" si="17"/>
        <v>242700</v>
      </c>
      <c r="J24" s="587">
        <f t="shared" si="17"/>
        <v>166700</v>
      </c>
      <c r="K24" s="587">
        <f t="shared" si="17"/>
        <v>166700</v>
      </c>
      <c r="L24" s="587">
        <f t="shared" si="17"/>
        <v>166700</v>
      </c>
      <c r="M24" s="587">
        <f t="shared" si="17"/>
        <v>166700</v>
      </c>
      <c r="N24" s="587">
        <f t="shared" si="17"/>
        <v>166700</v>
      </c>
      <c r="O24" s="587">
        <f t="shared" si="17"/>
        <v>166700</v>
      </c>
      <c r="P24" s="587">
        <f aca="true" t="shared" si="18" ref="P24:Y24">SUM(P25:Q26)</f>
        <v>166400</v>
      </c>
      <c r="Q24" s="587">
        <f t="shared" si="18"/>
        <v>0</v>
      </c>
      <c r="R24" s="587">
        <f t="shared" si="18"/>
        <v>0</v>
      </c>
      <c r="S24" s="587">
        <f t="shared" si="18"/>
        <v>0</v>
      </c>
      <c r="T24" s="587">
        <f t="shared" si="18"/>
        <v>0</v>
      </c>
      <c r="U24" s="587">
        <f t="shared" si="18"/>
        <v>0</v>
      </c>
      <c r="V24" s="587">
        <f t="shared" si="18"/>
        <v>0</v>
      </c>
      <c r="W24" s="587">
        <f t="shared" si="18"/>
        <v>0</v>
      </c>
      <c r="X24" s="587">
        <f t="shared" si="18"/>
        <v>0</v>
      </c>
      <c r="Y24" s="587">
        <f t="shared" si="18"/>
        <v>0</v>
      </c>
      <c r="Z24" s="587">
        <f>SUM(Z25:AB26)</f>
        <v>0</v>
      </c>
      <c r="AA24" s="587">
        <f>SUM(AA25:AB26)</f>
        <v>0</v>
      </c>
      <c r="AB24" s="587">
        <f>AB25+AB26</f>
        <v>0</v>
      </c>
    </row>
    <row r="25" spans="1:28" ht="24">
      <c r="A25" s="459" t="s">
        <v>359</v>
      </c>
      <c r="B25" s="461" t="s">
        <v>630</v>
      </c>
      <c r="C25" s="587">
        <v>0</v>
      </c>
      <c r="D25" s="587">
        <f>25035+38000</f>
        <v>63035</v>
      </c>
      <c r="E25" s="587">
        <f>25035+76000</f>
        <v>101035</v>
      </c>
      <c r="F25" s="587">
        <f>25035+76000</f>
        <v>101035</v>
      </c>
      <c r="G25" s="587">
        <v>76000</v>
      </c>
      <c r="H25" s="587">
        <f>76000+166700</f>
        <v>242700</v>
      </c>
      <c r="I25" s="587">
        <f>76000+166700</f>
        <v>242700</v>
      </c>
      <c r="J25" s="587">
        <v>166700</v>
      </c>
      <c r="K25" s="587">
        <v>166700</v>
      </c>
      <c r="L25" s="587">
        <v>166700</v>
      </c>
      <c r="M25" s="587">
        <v>166700</v>
      </c>
      <c r="N25" s="587">
        <v>166700</v>
      </c>
      <c r="O25" s="587">
        <v>166700</v>
      </c>
      <c r="P25" s="587">
        <v>166400</v>
      </c>
      <c r="Q25" s="587">
        <v>0</v>
      </c>
      <c r="R25" s="587">
        <v>0</v>
      </c>
      <c r="S25" s="587">
        <v>0</v>
      </c>
      <c r="T25" s="587">
        <v>0</v>
      </c>
      <c r="U25" s="587">
        <v>0</v>
      </c>
      <c r="V25" s="587">
        <v>0</v>
      </c>
      <c r="W25" s="587">
        <v>0</v>
      </c>
      <c r="X25" s="587">
        <v>0</v>
      </c>
      <c r="Y25" s="587">
        <v>0</v>
      </c>
      <c r="Z25" s="587">
        <v>0</v>
      </c>
      <c r="AA25" s="587">
        <v>0</v>
      </c>
      <c r="AB25" s="587">
        <v>0</v>
      </c>
    </row>
    <row r="26" spans="1:28" ht="12.75">
      <c r="A26" s="459" t="s">
        <v>362</v>
      </c>
      <c r="B26" s="460" t="s">
        <v>628</v>
      </c>
      <c r="C26" s="587">
        <v>0</v>
      </c>
      <c r="D26" s="587">
        <v>0</v>
      </c>
      <c r="E26" s="587">
        <v>0</v>
      </c>
      <c r="F26" s="587">
        <v>0</v>
      </c>
      <c r="G26" s="587">
        <v>0</v>
      </c>
      <c r="H26" s="587">
        <v>0</v>
      </c>
      <c r="I26" s="587">
        <v>0</v>
      </c>
      <c r="J26" s="587">
        <v>0</v>
      </c>
      <c r="K26" s="587">
        <v>0</v>
      </c>
      <c r="L26" s="587">
        <v>0</v>
      </c>
      <c r="M26" s="587">
        <v>0</v>
      </c>
      <c r="N26" s="587">
        <v>0</v>
      </c>
      <c r="O26" s="587">
        <v>0</v>
      </c>
      <c r="P26" s="587">
        <v>0</v>
      </c>
      <c r="Q26" s="587">
        <v>0</v>
      </c>
      <c r="R26" s="587">
        <v>0</v>
      </c>
      <c r="S26" s="587">
        <v>0</v>
      </c>
      <c r="T26" s="587">
        <v>0</v>
      </c>
      <c r="U26" s="587">
        <v>0</v>
      </c>
      <c r="V26" s="587">
        <v>0</v>
      </c>
      <c r="W26" s="587">
        <v>0</v>
      </c>
      <c r="X26" s="587">
        <v>0</v>
      </c>
      <c r="Y26" s="587">
        <v>0</v>
      </c>
      <c r="Z26" s="587">
        <v>0</v>
      </c>
      <c r="AA26" s="587">
        <v>0</v>
      </c>
      <c r="AB26" s="587">
        <v>0</v>
      </c>
    </row>
    <row r="27" spans="1:28" ht="12.75">
      <c r="A27" s="459" t="s">
        <v>616</v>
      </c>
      <c r="B27" s="460" t="s">
        <v>631</v>
      </c>
      <c r="C27" s="587">
        <v>0</v>
      </c>
      <c r="D27" s="587">
        <v>0</v>
      </c>
      <c r="E27" s="587">
        <v>0</v>
      </c>
      <c r="F27" s="587">
        <v>0</v>
      </c>
      <c r="G27" s="587">
        <v>0</v>
      </c>
      <c r="H27" s="587">
        <v>0</v>
      </c>
      <c r="I27" s="587">
        <v>0</v>
      </c>
      <c r="J27" s="587">
        <f>I27</f>
        <v>0</v>
      </c>
      <c r="K27" s="587">
        <f>J27</f>
        <v>0</v>
      </c>
      <c r="L27" s="587">
        <f>K27</f>
        <v>0</v>
      </c>
      <c r="M27" s="587">
        <f>L27</f>
        <v>0</v>
      </c>
      <c r="N27" s="587">
        <f>M27</f>
        <v>0</v>
      </c>
      <c r="O27" s="587">
        <v>0</v>
      </c>
      <c r="P27" s="587">
        <v>0</v>
      </c>
      <c r="Q27" s="587">
        <v>0</v>
      </c>
      <c r="R27" s="587">
        <v>0</v>
      </c>
      <c r="S27" s="587">
        <v>0</v>
      </c>
      <c r="T27" s="587">
        <v>0</v>
      </c>
      <c r="U27" s="587">
        <v>0</v>
      </c>
      <c r="V27" s="587">
        <v>0</v>
      </c>
      <c r="W27" s="587">
        <v>0</v>
      </c>
      <c r="X27" s="587">
        <v>0</v>
      </c>
      <c r="Y27" s="587">
        <v>0</v>
      </c>
      <c r="Z27" s="587">
        <v>0</v>
      </c>
      <c r="AA27" s="587">
        <v>0</v>
      </c>
      <c r="AB27" s="587">
        <v>0</v>
      </c>
    </row>
    <row r="28" spans="1:28" ht="24">
      <c r="A28" s="459" t="s">
        <v>618</v>
      </c>
      <c r="B28" s="461" t="s">
        <v>703</v>
      </c>
      <c r="C28" s="587">
        <v>7000000</v>
      </c>
      <c r="D28" s="587">
        <v>0</v>
      </c>
      <c r="E28" s="587">
        <v>0</v>
      </c>
      <c r="F28" s="587">
        <v>0</v>
      </c>
      <c r="G28" s="587">
        <v>0</v>
      </c>
      <c r="H28" s="587">
        <v>0</v>
      </c>
      <c r="I28" s="587">
        <v>0</v>
      </c>
      <c r="J28" s="587">
        <v>0</v>
      </c>
      <c r="K28" s="587">
        <v>0</v>
      </c>
      <c r="L28" s="587">
        <v>0</v>
      </c>
      <c r="M28" s="587">
        <v>0</v>
      </c>
      <c r="N28" s="587">
        <v>0</v>
      </c>
      <c r="O28" s="587">
        <v>0</v>
      </c>
      <c r="P28" s="587">
        <v>0</v>
      </c>
      <c r="Q28" s="587">
        <v>0</v>
      </c>
      <c r="R28" s="587">
        <v>0</v>
      </c>
      <c r="S28" s="587">
        <v>0</v>
      </c>
      <c r="T28" s="587">
        <v>0</v>
      </c>
      <c r="U28" s="587">
        <v>0</v>
      </c>
      <c r="V28" s="587">
        <v>0</v>
      </c>
      <c r="W28" s="587">
        <v>0</v>
      </c>
      <c r="X28" s="587">
        <v>0</v>
      </c>
      <c r="Y28" s="587">
        <v>0</v>
      </c>
      <c r="Z28" s="587">
        <v>0</v>
      </c>
      <c r="AA28" s="587">
        <v>0</v>
      </c>
      <c r="AB28" s="587">
        <v>0</v>
      </c>
    </row>
    <row r="29" spans="1:28" ht="12.75">
      <c r="A29" s="457" t="s">
        <v>378</v>
      </c>
      <c r="B29" s="458" t="s">
        <v>632</v>
      </c>
      <c r="C29" s="584">
        <f>C8-C16</f>
        <v>3614841</v>
      </c>
      <c r="D29" s="584">
        <f>D8-D16</f>
        <v>-509217</v>
      </c>
      <c r="E29" s="584">
        <f aca="true" t="shared" si="19" ref="E29:O29">E8-E16</f>
        <v>2816367.2699999996</v>
      </c>
      <c r="F29" s="584">
        <f t="shared" si="19"/>
        <v>3507858.512699999</v>
      </c>
      <c r="G29" s="584">
        <f t="shared" si="19"/>
        <v>3542937.0978270024</v>
      </c>
      <c r="H29" s="584">
        <f t="shared" si="19"/>
        <v>3578366.4688052684</v>
      </c>
      <c r="I29" s="584">
        <f t="shared" si="19"/>
        <v>3614150.1334933154</v>
      </c>
      <c r="J29" s="584">
        <f t="shared" si="19"/>
        <v>3650291.6348282583</v>
      </c>
      <c r="K29" s="584">
        <f t="shared" si="19"/>
        <v>3686794.5511765406</v>
      </c>
      <c r="L29" s="584">
        <f t="shared" si="19"/>
        <v>3723662.4966883026</v>
      </c>
      <c r="M29" s="584">
        <f t="shared" si="19"/>
        <v>3760899.121655192</v>
      </c>
      <c r="N29" s="584">
        <f t="shared" si="19"/>
        <v>3798508</v>
      </c>
      <c r="O29" s="584">
        <f t="shared" si="19"/>
        <v>3953891</v>
      </c>
      <c r="P29" s="584">
        <f aca="true" t="shared" si="20" ref="P29:Z29">P8-P16</f>
        <v>3923369</v>
      </c>
      <c r="Q29" s="584">
        <f t="shared" si="20"/>
        <v>3962608.730000004</v>
      </c>
      <c r="R29" s="584">
        <f t="shared" si="20"/>
        <v>4002226.8473000005</v>
      </c>
      <c r="S29" s="584">
        <f t="shared" si="20"/>
        <v>4042248.185773</v>
      </c>
      <c r="T29" s="584">
        <f t="shared" si="20"/>
        <v>4082659.647630729</v>
      </c>
      <c r="U29" s="584">
        <f t="shared" si="20"/>
        <v>4123501.2041070387</v>
      </c>
      <c r="V29" s="584">
        <f t="shared" si="20"/>
        <v>4164712.896148108</v>
      </c>
      <c r="W29" s="584">
        <f t="shared" si="20"/>
        <v>4206370.835109584</v>
      </c>
      <c r="X29" s="584">
        <f t="shared" si="20"/>
        <v>4248417.203460678</v>
      </c>
      <c r="Y29" s="584">
        <f t="shared" si="20"/>
        <v>4290911.2554952875</v>
      </c>
      <c r="Z29" s="584">
        <f t="shared" si="20"/>
        <v>4333813.318050243</v>
      </c>
      <c r="AA29" s="584">
        <f>AA8-AA16</f>
        <v>4377183.791230746</v>
      </c>
      <c r="AB29" s="584">
        <f>AB8-AB16</f>
        <v>4420982.149143055</v>
      </c>
    </row>
    <row r="30" spans="1:28" ht="24">
      <c r="A30" s="457" t="s">
        <v>565</v>
      </c>
      <c r="B30" s="462" t="s">
        <v>633</v>
      </c>
      <c r="C30" s="584">
        <v>10376246</v>
      </c>
      <c r="D30" s="585">
        <f>C30-D22-D21-D24+75105+418000+700000</f>
        <v>11301318</v>
      </c>
      <c r="E30" s="585">
        <f>D30-E22-E21-E24+800000</f>
        <v>11423515</v>
      </c>
      <c r="F30" s="585">
        <f aca="true" t="shared" si="21" ref="F30:O30">E30-F22-F21-F24</f>
        <v>10886960</v>
      </c>
      <c r="G30" s="585">
        <f t="shared" si="21"/>
        <v>10375440</v>
      </c>
      <c r="H30" s="585">
        <f t="shared" si="21"/>
        <v>9707220</v>
      </c>
      <c r="I30" s="585">
        <f t="shared" si="21"/>
        <v>9039000</v>
      </c>
      <c r="J30" s="585">
        <f t="shared" si="21"/>
        <v>8446780</v>
      </c>
      <c r="K30" s="585">
        <f t="shared" si="21"/>
        <v>7854560</v>
      </c>
      <c r="L30" s="585">
        <f t="shared" si="21"/>
        <v>7262340</v>
      </c>
      <c r="M30" s="585">
        <f t="shared" si="21"/>
        <v>6670120</v>
      </c>
      <c r="N30" s="585">
        <f t="shared" si="21"/>
        <v>6077900</v>
      </c>
      <c r="O30" s="585">
        <f t="shared" si="21"/>
        <v>5485680</v>
      </c>
      <c r="P30" s="585">
        <f>O30-P21-P22-P24</f>
        <v>4893760</v>
      </c>
      <c r="Q30" s="585">
        <f aca="true" t="shared" si="22" ref="Q30:AB30">P30-Q21-Q22-Q24</f>
        <v>4468240</v>
      </c>
      <c r="R30" s="585">
        <f t="shared" si="22"/>
        <v>4042720</v>
      </c>
      <c r="S30" s="585">
        <f t="shared" si="22"/>
        <v>3617200</v>
      </c>
      <c r="T30" s="585">
        <f t="shared" si="22"/>
        <v>3191680</v>
      </c>
      <c r="U30" s="585">
        <f t="shared" si="22"/>
        <v>2766160</v>
      </c>
      <c r="V30" s="585">
        <f t="shared" si="22"/>
        <v>2340640</v>
      </c>
      <c r="W30" s="585">
        <f t="shared" si="22"/>
        <v>1915120</v>
      </c>
      <c r="X30" s="585">
        <f t="shared" si="22"/>
        <v>1489600</v>
      </c>
      <c r="Y30" s="585">
        <f t="shared" si="22"/>
        <v>1064080</v>
      </c>
      <c r="Z30" s="585">
        <f t="shared" si="22"/>
        <v>638560</v>
      </c>
      <c r="AA30" s="585">
        <f t="shared" si="22"/>
        <v>213040</v>
      </c>
      <c r="AB30" s="585">
        <f t="shared" si="22"/>
        <v>0</v>
      </c>
    </row>
    <row r="31" spans="1:28" ht="12.75">
      <c r="A31" s="457" t="s">
        <v>566</v>
      </c>
      <c r="B31" s="458" t="s">
        <v>634</v>
      </c>
      <c r="C31" s="588">
        <f>C30/C8*100</f>
        <v>30.299211047806914</v>
      </c>
      <c r="D31" s="588">
        <f aca="true" t="shared" si="23" ref="D31:N31">D30/D8*100</f>
        <v>35.09689137123681</v>
      </c>
      <c r="E31" s="588">
        <f t="shared" si="23"/>
        <v>34.44308840567185</v>
      </c>
      <c r="F31" s="588">
        <f t="shared" si="23"/>
        <v>31.869241352859795</v>
      </c>
      <c r="G31" s="588">
        <f t="shared" si="23"/>
        <v>30.07116457153134</v>
      </c>
      <c r="H31" s="588">
        <f t="shared" si="23"/>
        <v>27.855901800243394</v>
      </c>
      <c r="I31" s="588">
        <f t="shared" si="23"/>
        <v>25.681557754102847</v>
      </c>
      <c r="J31" s="588">
        <f t="shared" si="23"/>
        <v>23.761332181690207</v>
      </c>
      <c r="K31" s="588">
        <f t="shared" si="23"/>
        <v>21.87661332507733</v>
      </c>
      <c r="L31" s="588">
        <f t="shared" si="23"/>
        <v>20.0268863199353</v>
      </c>
      <c r="M31" s="588">
        <f t="shared" si="23"/>
        <v>18.21164301655913</v>
      </c>
      <c r="N31" s="588">
        <f t="shared" si="23"/>
        <v>16.43038209836354</v>
      </c>
      <c r="O31" s="588">
        <f>O30/O8*100</f>
        <v>14.62381480809202</v>
      </c>
      <c r="P31" s="588">
        <f>P30/P8*100</f>
        <v>12.940334727400623</v>
      </c>
      <c r="Q31" s="588">
        <f aca="true" t="shared" si="24" ref="Q31:X31">Q30/Q8*100</f>
        <v>11.698170304913026</v>
      </c>
      <c r="R31" s="588">
        <f t="shared" si="24"/>
        <v>10.479335980389935</v>
      </c>
      <c r="S31" s="588">
        <f t="shared" si="24"/>
        <v>9.283489209018544</v>
      </c>
      <c r="T31" s="588">
        <f t="shared" si="24"/>
        <v>8.110296938737473</v>
      </c>
      <c r="U31" s="588">
        <f t="shared" si="24"/>
        <v>6.959425113772405</v>
      </c>
      <c r="V31" s="588">
        <f t="shared" si="24"/>
        <v>5.830549835303698</v>
      </c>
      <c r="W31" s="588">
        <f t="shared" si="24"/>
        <v>4.723342803815017</v>
      </c>
      <c r="X31" s="588">
        <f t="shared" si="24"/>
        <v>3.637489833597143</v>
      </c>
      <c r="Y31" s="588">
        <f>Y30/Y8*100</f>
        <v>2.5726755669559327</v>
      </c>
      <c r="Z31" s="588">
        <f>Z30/Z8*100</f>
        <v>1.5285900882946912</v>
      </c>
      <c r="AA31" s="588">
        <f>AA30/AA8*100</f>
        <v>0.5049276450210155</v>
      </c>
      <c r="AB31" s="588">
        <f>AB30/AB8*100</f>
        <v>0</v>
      </c>
    </row>
    <row r="32" spans="1:28" ht="24">
      <c r="A32" s="457" t="s">
        <v>567</v>
      </c>
      <c r="B32" s="463" t="s">
        <v>635</v>
      </c>
      <c r="C32" s="588">
        <f>C19/C8*100</f>
        <v>43.51377775483263</v>
      </c>
      <c r="D32" s="588">
        <f aca="true" t="shared" si="25" ref="D32:N32">D19/D8*100</f>
        <v>3.382206628321522</v>
      </c>
      <c r="E32" s="588">
        <f t="shared" si="25"/>
        <v>4.485217796779235</v>
      </c>
      <c r="F32" s="588">
        <f t="shared" si="25"/>
        <v>3.833617145128253</v>
      </c>
      <c r="G32" s="588">
        <f t="shared" si="25"/>
        <v>3.6398912673051993</v>
      </c>
      <c r="H32" s="588">
        <f t="shared" si="25"/>
        <v>3.9790250962928098</v>
      </c>
      <c r="I32" s="588">
        <f t="shared" si="25"/>
        <v>3.8658713970704763</v>
      </c>
      <c r="J32" s="588">
        <f t="shared" si="25"/>
        <v>3.5407754438699306</v>
      </c>
      <c r="K32" s="588">
        <f t="shared" si="25"/>
        <v>3.4334141625021104</v>
      </c>
      <c r="L32" s="588">
        <f t="shared" si="25"/>
        <v>3.327831746284024</v>
      </c>
      <c r="M32" s="588">
        <f t="shared" si="25"/>
        <v>3.2157851950044893</v>
      </c>
      <c r="N32" s="588">
        <f t="shared" si="25"/>
        <v>3.1218861372547173</v>
      </c>
      <c r="O32" s="588">
        <f>O19/O8*100</f>
        <v>3.0702712092139777</v>
      </c>
      <c r="P32" s="588">
        <f aca="true" t="shared" si="26" ref="P32:Z32">P19/P8*100</f>
        <v>2.7256272813614766</v>
      </c>
      <c r="Q32" s="588">
        <f t="shared" si="26"/>
        <v>2.1390185981630987</v>
      </c>
      <c r="R32" s="588">
        <f t="shared" si="26"/>
        <v>2.029599403979728</v>
      </c>
      <c r="S32" s="588">
        <f t="shared" si="26"/>
        <v>1.9221370473925266</v>
      </c>
      <c r="T32" s="588">
        <f t="shared" si="26"/>
        <v>1.8166040581498348</v>
      </c>
      <c r="U32" s="588">
        <f t="shared" si="26"/>
        <v>1.7129722106394578</v>
      </c>
      <c r="V32" s="588">
        <f t="shared" si="26"/>
        <v>1.6112149944085052</v>
      </c>
      <c r="W32" s="588">
        <f t="shared" si="26"/>
        <v>1.5113039589712878</v>
      </c>
      <c r="X32" s="588">
        <f t="shared" si="26"/>
        <v>1.4132136388303846</v>
      </c>
      <c r="Y32" s="588">
        <f t="shared" si="26"/>
        <v>1.316917439679435</v>
      </c>
      <c r="Z32" s="588">
        <f t="shared" si="26"/>
        <v>1.2223894789265948</v>
      </c>
      <c r="AA32" s="588">
        <f>AA19/AA8*100</f>
        <v>1.1296044839922648</v>
      </c>
      <c r="AB32" s="588">
        <f>AB19/AB8*100</f>
        <v>0.5199255383219554</v>
      </c>
    </row>
    <row r="33" spans="3:16" ht="12.75"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</row>
  </sheetData>
  <mergeCells count="2">
    <mergeCell ref="C5:O5"/>
    <mergeCell ref="P5:AB5"/>
  </mergeCells>
  <printOptions horizontalCentered="1"/>
  <pageMargins left="0.2" right="0.1968503937007874" top="0.5118110236220472" bottom="0.551181102362204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27" sqref="F27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50.375" style="0" bestFit="1" customWidth="1"/>
    <col min="5" max="5" width="14.75390625" style="0" customWidth="1"/>
    <col min="6" max="6" width="15.875" style="0" customWidth="1"/>
  </cols>
  <sheetData>
    <row r="1" spans="1:6" ht="12.75">
      <c r="A1" s="14"/>
      <c r="B1" s="14"/>
      <c r="C1" s="14"/>
      <c r="D1" s="14"/>
      <c r="E1" s="15" t="s">
        <v>748</v>
      </c>
      <c r="F1" s="107"/>
    </row>
    <row r="2" spans="1:6" ht="12.75">
      <c r="A2" s="14"/>
      <c r="B2" s="14"/>
      <c r="C2" s="14"/>
      <c r="D2" s="14"/>
      <c r="E2" s="15" t="s">
        <v>307</v>
      </c>
      <c r="F2" s="107"/>
    </row>
    <row r="3" spans="1:6" ht="12.75">
      <c r="A3" s="14"/>
      <c r="B3" s="14"/>
      <c r="C3" s="14"/>
      <c r="D3" s="16"/>
      <c r="E3" s="15" t="s">
        <v>50</v>
      </c>
      <c r="F3" s="107"/>
    </row>
    <row r="4" spans="1:6" ht="12.75">
      <c r="A4" s="14"/>
      <c r="B4" s="14"/>
      <c r="C4" s="14"/>
      <c r="D4" s="16"/>
      <c r="E4" s="15" t="s">
        <v>639</v>
      </c>
      <c r="F4" s="107"/>
    </row>
    <row r="5" spans="1:6" ht="12.75">
      <c r="A5" s="14"/>
      <c r="B5" s="14"/>
      <c r="C5" s="14"/>
      <c r="D5" s="16"/>
      <c r="E5" s="15"/>
      <c r="F5" s="15"/>
    </row>
    <row r="6" spans="1:6" ht="12.75">
      <c r="A6" s="14"/>
      <c r="B6" s="14"/>
      <c r="C6" s="14"/>
      <c r="D6" s="16"/>
      <c r="E6" s="15"/>
      <c r="F6" s="15"/>
    </row>
    <row r="7" spans="1:6" ht="12.75">
      <c r="A7" s="14"/>
      <c r="B7" s="14"/>
      <c r="C7" s="14"/>
      <c r="D7" s="16"/>
      <c r="E7" s="15"/>
      <c r="F7" s="15"/>
    </row>
    <row r="8" spans="1:6" ht="12.75">
      <c r="A8" s="769"/>
      <c r="B8" s="769"/>
      <c r="C8" s="769"/>
      <c r="D8" s="769"/>
      <c r="E8" s="769"/>
      <c r="F8" s="769"/>
    </row>
    <row r="9" spans="1:6" ht="15.75">
      <c r="A9" s="792" t="s">
        <v>747</v>
      </c>
      <c r="B9" s="792"/>
      <c r="C9" s="792"/>
      <c r="D9" s="792"/>
      <c r="E9" s="792"/>
      <c r="F9" s="792"/>
    </row>
    <row r="10" spans="1:6" ht="12.75">
      <c r="A10" s="600"/>
      <c r="B10" s="600"/>
      <c r="C10" s="600"/>
      <c r="D10" s="600"/>
      <c r="E10" s="600"/>
      <c r="F10" s="600"/>
    </row>
    <row r="11" spans="1:6" ht="12.75">
      <c r="A11" s="600"/>
      <c r="B11" s="600"/>
      <c r="C11" s="600"/>
      <c r="D11" s="600"/>
      <c r="E11" s="600"/>
      <c r="F11" s="600"/>
    </row>
    <row r="12" spans="1:6" ht="12.75">
      <c r="A12" s="769"/>
      <c r="B12" s="769"/>
      <c r="C12" s="769"/>
      <c r="D12" s="769"/>
      <c r="E12" s="769"/>
      <c r="F12" s="769"/>
    </row>
    <row r="13" spans="1:6" ht="13.5" thickBot="1">
      <c r="A13" s="16"/>
      <c r="B13" s="16"/>
      <c r="C13" s="16"/>
      <c r="D13" s="16"/>
      <c r="E13" s="16"/>
      <c r="F13" s="59" t="s">
        <v>308</v>
      </c>
    </row>
    <row r="14" spans="1:6" ht="12.75">
      <c r="A14" s="770" t="s">
        <v>344</v>
      </c>
      <c r="B14" s="771"/>
      <c r="C14" s="772"/>
      <c r="D14" s="733" t="s">
        <v>115</v>
      </c>
      <c r="E14" s="733" t="s">
        <v>286</v>
      </c>
      <c r="F14" s="779" t="s">
        <v>289</v>
      </c>
    </row>
    <row r="15" spans="1:6" ht="12.75">
      <c r="A15" s="767" t="s">
        <v>63</v>
      </c>
      <c r="B15" s="768" t="s">
        <v>47</v>
      </c>
      <c r="C15" s="768" t="s">
        <v>0</v>
      </c>
      <c r="D15" s="734"/>
      <c r="E15" s="734"/>
      <c r="F15" s="780"/>
    </row>
    <row r="16" spans="1:6" ht="13.5" thickBot="1">
      <c r="A16" s="721"/>
      <c r="B16" s="735"/>
      <c r="C16" s="735"/>
      <c r="D16" s="735"/>
      <c r="E16" s="735"/>
      <c r="F16" s="781"/>
    </row>
    <row r="17" spans="1:6" ht="13.5" thickBot="1">
      <c r="A17" s="60">
        <v>1</v>
      </c>
      <c r="B17" s="61">
        <v>2</v>
      </c>
      <c r="C17" s="281">
        <v>3</v>
      </c>
      <c r="D17" s="281">
        <v>4</v>
      </c>
      <c r="E17" s="281">
        <v>5</v>
      </c>
      <c r="F17" s="282">
        <v>6</v>
      </c>
    </row>
    <row r="18" spans="1:6" ht="13.5" thickBot="1">
      <c r="A18" s="561">
        <v>851</v>
      </c>
      <c r="B18" s="543"/>
      <c r="C18" s="613"/>
      <c r="D18" s="565" t="s">
        <v>18</v>
      </c>
      <c r="E18" s="569">
        <f>E19</f>
        <v>20000</v>
      </c>
      <c r="F18" s="570">
        <f>F19</f>
        <v>20000</v>
      </c>
    </row>
    <row r="19" spans="1:6" ht="12.75">
      <c r="A19" s="536"/>
      <c r="B19" s="564">
        <v>85111</v>
      </c>
      <c r="C19" s="614"/>
      <c r="D19" s="566" t="s">
        <v>734</v>
      </c>
      <c r="E19" s="568">
        <f>SUM(E21:E22)</f>
        <v>20000</v>
      </c>
      <c r="F19" s="571">
        <f>F23</f>
        <v>20000</v>
      </c>
    </row>
    <row r="20" spans="1:6" ht="12.75">
      <c r="A20" s="536"/>
      <c r="B20" s="538"/>
      <c r="C20" s="615">
        <v>6300</v>
      </c>
      <c r="D20" s="158" t="s">
        <v>742</v>
      </c>
      <c r="E20" s="567"/>
      <c r="F20" s="537"/>
    </row>
    <row r="21" spans="1:6" ht="12.75">
      <c r="A21" s="536"/>
      <c r="B21" s="538"/>
      <c r="C21" s="615"/>
      <c r="D21" s="158" t="s">
        <v>743</v>
      </c>
      <c r="E21" s="567">
        <f>'Dochody-ukł.wykon.'!G153</f>
        <v>20000</v>
      </c>
      <c r="F21" s="537"/>
    </row>
    <row r="22" spans="1:6" ht="12.75">
      <c r="A22" s="536"/>
      <c r="B22" s="538"/>
      <c r="C22" s="551">
        <v>2560</v>
      </c>
      <c r="D22" s="160" t="s">
        <v>740</v>
      </c>
      <c r="E22" s="567"/>
      <c r="F22" s="537"/>
    </row>
    <row r="23" spans="1:6" ht="12.75">
      <c r="A23" s="616"/>
      <c r="B23" s="538"/>
      <c r="C23" s="551"/>
      <c r="D23" s="160" t="s">
        <v>741</v>
      </c>
      <c r="E23" s="538"/>
      <c r="F23" s="537">
        <f>'WYDATKI ukł.wyk.'!G280</f>
        <v>20000</v>
      </c>
    </row>
    <row r="24" spans="1:6" ht="13.5" thickBot="1">
      <c r="A24" s="617"/>
      <c r="B24" s="618"/>
      <c r="C24" s="619"/>
      <c r="D24" s="618"/>
      <c r="E24" s="618"/>
      <c r="F24" s="620"/>
    </row>
  </sheetData>
  <mergeCells count="10">
    <mergeCell ref="A8:F8"/>
    <mergeCell ref="A9:F9"/>
    <mergeCell ref="A12:F12"/>
    <mergeCell ref="A14:C14"/>
    <mergeCell ref="D14:D16"/>
    <mergeCell ref="E14:E16"/>
    <mergeCell ref="F14:F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6"/>
  <sheetViews>
    <sheetView view="pageBreakPreview" zoomScale="60" workbookViewId="0" topLeftCell="A72">
      <selection activeCell="F100" sqref="F100"/>
    </sheetView>
  </sheetViews>
  <sheetFormatPr defaultColWidth="9.00390625" defaultRowHeight="12.75"/>
  <cols>
    <col min="1" max="1" width="3.75390625" style="107" customWidth="1"/>
    <col min="2" max="2" width="6.625" style="55" customWidth="1"/>
    <col min="3" max="3" width="5.625" style="288" customWidth="1"/>
    <col min="4" max="4" width="51.00390625" style="55" customWidth="1"/>
    <col min="5" max="5" width="11.125" style="55" customWidth="1"/>
    <col min="6" max="6" width="10.00390625" style="55" customWidth="1"/>
    <col min="7" max="7" width="11.00390625" style="55" customWidth="1"/>
    <col min="8" max="9" width="9.125" style="55" customWidth="1"/>
    <col min="10" max="10" width="10.125" style="55" bestFit="1" customWidth="1"/>
    <col min="11" max="16384" width="9.125" style="55" customWidth="1"/>
  </cols>
  <sheetData>
    <row r="1" spans="1:6" ht="12.75">
      <c r="A1" s="15"/>
      <c r="B1" s="9"/>
      <c r="C1" s="51"/>
      <c r="D1" s="9"/>
      <c r="F1" s="15" t="s">
        <v>48</v>
      </c>
    </row>
    <row r="2" spans="1:6" ht="12.75">
      <c r="A2" s="15"/>
      <c r="B2" s="9"/>
      <c r="C2" s="51"/>
      <c r="D2" s="9"/>
      <c r="F2" s="15" t="s">
        <v>99</v>
      </c>
    </row>
    <row r="3" spans="1:6" ht="12.75">
      <c r="A3" s="15"/>
      <c r="B3" s="9"/>
      <c r="C3" s="51"/>
      <c r="D3" s="9"/>
      <c r="F3" s="15" t="s">
        <v>207</v>
      </c>
    </row>
    <row r="4" spans="1:6" ht="12.75">
      <c r="A4" s="15"/>
      <c r="B4" s="9"/>
      <c r="C4" s="51"/>
      <c r="D4" s="9"/>
      <c r="F4" s="15" t="s">
        <v>653</v>
      </c>
    </row>
    <row r="5" spans="1:4" ht="12.75" customHeight="1">
      <c r="A5" s="15"/>
      <c r="B5" s="9"/>
      <c r="C5" s="51"/>
      <c r="D5" s="9"/>
    </row>
    <row r="6" spans="1:7" ht="13.5" customHeight="1">
      <c r="A6" s="709" t="s">
        <v>654</v>
      </c>
      <c r="B6" s="709"/>
      <c r="C6" s="709"/>
      <c r="D6" s="709"/>
      <c r="E6" s="709"/>
      <c r="F6" s="709"/>
      <c r="G6" s="709"/>
    </row>
    <row r="7" spans="1:7" ht="13.5" thickBot="1">
      <c r="A7" s="708" t="s">
        <v>97</v>
      </c>
      <c r="B7" s="708"/>
      <c r="C7" s="708"/>
      <c r="D7" s="708"/>
      <c r="E7" s="708"/>
      <c r="F7" s="708"/>
      <c r="G7" s="708"/>
    </row>
    <row r="8" spans="1:7" ht="14.25" customHeight="1">
      <c r="A8" s="719" t="s">
        <v>63</v>
      </c>
      <c r="B8" s="733" t="s">
        <v>47</v>
      </c>
      <c r="C8" s="733" t="s">
        <v>0</v>
      </c>
      <c r="D8" s="733" t="s">
        <v>64</v>
      </c>
      <c r="E8" s="710" t="s">
        <v>603</v>
      </c>
      <c r="F8" s="731" t="s">
        <v>640</v>
      </c>
      <c r="G8" s="712" t="s">
        <v>652</v>
      </c>
    </row>
    <row r="9" spans="1:7" s="33" customFormat="1" ht="12.75" customHeight="1">
      <c r="A9" s="720"/>
      <c r="B9" s="734"/>
      <c r="C9" s="734"/>
      <c r="D9" s="734"/>
      <c r="E9" s="705"/>
      <c r="F9" s="732"/>
      <c r="G9" s="713"/>
    </row>
    <row r="10" spans="1:7" s="33" customFormat="1" ht="9.75" customHeight="1" thickBot="1">
      <c r="A10" s="721"/>
      <c r="B10" s="735"/>
      <c r="C10" s="735"/>
      <c r="D10" s="735"/>
      <c r="E10" s="706"/>
      <c r="F10" s="711"/>
      <c r="G10" s="707"/>
    </row>
    <row r="11" spans="1:7" ht="9" customHeight="1" thickBot="1">
      <c r="A11" s="464">
        <v>1</v>
      </c>
      <c r="B11" s="465">
        <v>2</v>
      </c>
      <c r="C11" s="465">
        <v>3</v>
      </c>
      <c r="D11" s="465">
        <v>4</v>
      </c>
      <c r="E11" s="506">
        <v>5</v>
      </c>
      <c r="F11" s="465">
        <v>6</v>
      </c>
      <c r="G11" s="466">
        <v>7</v>
      </c>
    </row>
    <row r="12" spans="1:7" ht="12.75" customHeight="1" thickBot="1">
      <c r="A12" s="41" t="s">
        <v>1</v>
      </c>
      <c r="B12" s="42"/>
      <c r="C12" s="42"/>
      <c r="D12" s="133" t="s">
        <v>2</v>
      </c>
      <c r="E12" s="307">
        <f>E13+E17</f>
        <v>55000</v>
      </c>
      <c r="F12" s="357">
        <f>F13+F17</f>
        <v>0</v>
      </c>
      <c r="G12" s="189">
        <f aca="true" t="shared" si="0" ref="G12:G77">F12+E12</f>
        <v>55000</v>
      </c>
    </row>
    <row r="13" spans="1:7" ht="12.75" customHeight="1" thickBot="1">
      <c r="A13" s="43"/>
      <c r="B13" s="386" t="s">
        <v>3</v>
      </c>
      <c r="C13" s="184"/>
      <c r="D13" s="387" t="s">
        <v>69</v>
      </c>
      <c r="E13" s="487">
        <f>E14</f>
        <v>50000</v>
      </c>
      <c r="F13" s="503">
        <f>F14</f>
        <v>0</v>
      </c>
      <c r="G13" s="641">
        <f t="shared" si="0"/>
        <v>50000</v>
      </c>
    </row>
    <row r="14" spans="1:7" ht="12.75" customHeight="1">
      <c r="A14" s="43"/>
      <c r="B14" s="39"/>
      <c r="C14" s="40" t="s">
        <v>100</v>
      </c>
      <c r="D14" s="10" t="s">
        <v>70</v>
      </c>
      <c r="E14" s="177">
        <v>50000</v>
      </c>
      <c r="F14" s="176"/>
      <c r="G14" s="25">
        <f t="shared" si="0"/>
        <v>50000</v>
      </c>
    </row>
    <row r="15" spans="1:7" ht="12.75" customHeight="1">
      <c r="A15" s="43"/>
      <c r="B15" s="39"/>
      <c r="C15" s="40"/>
      <c r="D15" s="1" t="s">
        <v>71</v>
      </c>
      <c r="E15" s="177"/>
      <c r="F15" s="176"/>
      <c r="G15" s="25"/>
    </row>
    <row r="16" spans="1:7" ht="12.75" customHeight="1">
      <c r="A16" s="43"/>
      <c r="B16" s="39"/>
      <c r="C16" s="40"/>
      <c r="D16" s="389"/>
      <c r="E16" s="177"/>
      <c r="F16" s="176"/>
      <c r="G16" s="25"/>
    </row>
    <row r="17" spans="1:7" ht="12.75" customHeight="1" thickBot="1">
      <c r="A17" s="43"/>
      <c r="B17" s="390" t="s">
        <v>501</v>
      </c>
      <c r="C17" s="391"/>
      <c r="D17" s="191" t="s">
        <v>502</v>
      </c>
      <c r="E17" s="491">
        <f>E18</f>
        <v>5000</v>
      </c>
      <c r="F17" s="447">
        <f>F18</f>
        <v>0</v>
      </c>
      <c r="G17" s="25">
        <f t="shared" si="0"/>
        <v>5000</v>
      </c>
    </row>
    <row r="18" spans="1:7" ht="12.75" customHeight="1">
      <c r="A18" s="43"/>
      <c r="B18" s="39"/>
      <c r="C18" s="40" t="s">
        <v>490</v>
      </c>
      <c r="D18" s="10" t="s">
        <v>503</v>
      </c>
      <c r="E18" s="467">
        <v>5000</v>
      </c>
      <c r="F18" s="504"/>
      <c r="G18" s="642">
        <f t="shared" si="0"/>
        <v>5000</v>
      </c>
    </row>
    <row r="19" spans="1:7" ht="12.75" customHeight="1">
      <c r="A19" s="43"/>
      <c r="B19" s="39"/>
      <c r="C19" s="40"/>
      <c r="D19" s="10" t="s">
        <v>504</v>
      </c>
      <c r="E19" s="467"/>
      <c r="F19" s="447"/>
      <c r="G19" s="25"/>
    </row>
    <row r="20" spans="1:7" ht="12.75" customHeight="1">
      <c r="A20" s="43"/>
      <c r="B20" s="44"/>
      <c r="C20" s="44"/>
      <c r="D20" s="39"/>
      <c r="E20" s="177"/>
      <c r="F20" s="176"/>
      <c r="G20" s="25"/>
    </row>
    <row r="21" spans="1:7" ht="12.75" customHeight="1" thickBot="1">
      <c r="A21" s="41" t="s">
        <v>21</v>
      </c>
      <c r="B21" s="42"/>
      <c r="C21" s="42"/>
      <c r="D21" s="105" t="s">
        <v>22</v>
      </c>
      <c r="E21" s="307">
        <f>E22</f>
        <v>183714</v>
      </c>
      <c r="F21" s="265">
        <f>F22</f>
        <v>4922</v>
      </c>
      <c r="G21" s="98">
        <f t="shared" si="0"/>
        <v>188636</v>
      </c>
    </row>
    <row r="22" spans="1:7" ht="12.75" customHeight="1" thickBot="1">
      <c r="A22" s="392"/>
      <c r="B22" s="386" t="s">
        <v>44</v>
      </c>
      <c r="C22" s="393"/>
      <c r="D22" s="394" t="s">
        <v>121</v>
      </c>
      <c r="E22" s="487">
        <f>SUM(E23)</f>
        <v>183714</v>
      </c>
      <c r="F22" s="176">
        <f>SUM(F23)</f>
        <v>4922</v>
      </c>
      <c r="G22" s="25">
        <f t="shared" si="0"/>
        <v>188636</v>
      </c>
    </row>
    <row r="23" spans="1:7" ht="12.75" customHeight="1">
      <c r="A23" s="392"/>
      <c r="B23" s="395"/>
      <c r="C23" s="39">
        <v>2460</v>
      </c>
      <c r="D23" s="450" t="s">
        <v>468</v>
      </c>
      <c r="E23" s="177">
        <v>183714</v>
      </c>
      <c r="F23" s="263">
        <v>4922</v>
      </c>
      <c r="G23" s="642">
        <f t="shared" si="0"/>
        <v>188636</v>
      </c>
    </row>
    <row r="24" spans="1:7" ht="12.75" customHeight="1">
      <c r="A24" s="392"/>
      <c r="B24" s="13"/>
      <c r="C24" s="39"/>
      <c r="D24" s="389"/>
      <c r="E24" s="177"/>
      <c r="F24" s="176"/>
      <c r="G24" s="25"/>
    </row>
    <row r="25" spans="1:7" ht="12.75" customHeight="1" thickBot="1">
      <c r="A25" s="46">
        <v>600</v>
      </c>
      <c r="B25" s="42"/>
      <c r="C25" s="391"/>
      <c r="D25" s="105" t="s">
        <v>32</v>
      </c>
      <c r="E25" s="307">
        <f>SUM(E26)</f>
        <v>552202</v>
      </c>
      <c r="F25" s="265">
        <f>SUM(F26)</f>
        <v>-194790</v>
      </c>
      <c r="G25" s="98">
        <f t="shared" si="0"/>
        <v>357412</v>
      </c>
    </row>
    <row r="26" spans="1:7" ht="12.75" customHeight="1" thickBot="1">
      <c r="A26" s="23"/>
      <c r="B26" s="174">
        <v>60014</v>
      </c>
      <c r="C26" s="396"/>
      <c r="D26" s="394" t="s">
        <v>33</v>
      </c>
      <c r="E26" s="487">
        <f>SUM(E27:E30)</f>
        <v>552202</v>
      </c>
      <c r="F26" s="503">
        <f>SUM(F27:F30)</f>
        <v>-194790</v>
      </c>
      <c r="G26" s="641">
        <f t="shared" si="0"/>
        <v>357412</v>
      </c>
    </row>
    <row r="27" spans="1:7" ht="12.75" customHeight="1">
      <c r="A27" s="23"/>
      <c r="B27" s="39"/>
      <c r="C27" s="40" t="s">
        <v>103</v>
      </c>
      <c r="D27" s="10" t="s">
        <v>41</v>
      </c>
      <c r="E27" s="177">
        <v>150000</v>
      </c>
      <c r="F27" s="176">
        <v>-40965</v>
      </c>
      <c r="G27" s="25">
        <f>F27+E27</f>
        <v>109035</v>
      </c>
    </row>
    <row r="28" spans="1:7" ht="12.75" customHeight="1">
      <c r="A28" s="23"/>
      <c r="B28" s="44"/>
      <c r="C28" s="40" t="s">
        <v>104</v>
      </c>
      <c r="D28" s="10" t="s">
        <v>505</v>
      </c>
      <c r="E28" s="177">
        <v>35722</v>
      </c>
      <c r="F28" s="176">
        <v>4448</v>
      </c>
      <c r="G28" s="25">
        <f t="shared" si="0"/>
        <v>40170</v>
      </c>
    </row>
    <row r="29" spans="1:7" ht="12.75" customHeight="1">
      <c r="A29" s="23"/>
      <c r="B29" s="44"/>
      <c r="C29" s="40"/>
      <c r="D29" s="10" t="s">
        <v>74</v>
      </c>
      <c r="E29" s="177"/>
      <c r="F29" s="176"/>
      <c r="G29" s="25"/>
    </row>
    <row r="30" spans="1:7" ht="12.75" customHeight="1">
      <c r="A30" s="23"/>
      <c r="B30" s="44"/>
      <c r="C30" s="40" t="s">
        <v>101</v>
      </c>
      <c r="D30" s="76" t="s">
        <v>45</v>
      </c>
      <c r="E30" s="177">
        <v>366480</v>
      </c>
      <c r="F30" s="176">
        <f>36771-195044</f>
        <v>-158273</v>
      </c>
      <c r="G30" s="25">
        <f t="shared" si="0"/>
        <v>208207</v>
      </c>
    </row>
    <row r="31" spans="1:7" ht="12.75" customHeight="1">
      <c r="A31" s="23"/>
      <c r="B31" s="44"/>
      <c r="C31" s="40"/>
      <c r="D31" s="10"/>
      <c r="E31" s="177"/>
      <c r="F31" s="176"/>
      <c r="G31" s="25"/>
    </row>
    <row r="32" spans="1:7" ht="12.75" customHeight="1" thickBot="1">
      <c r="A32" s="46">
        <v>700</v>
      </c>
      <c r="B32" s="42"/>
      <c r="C32" s="42"/>
      <c r="D32" s="105" t="s">
        <v>5</v>
      </c>
      <c r="E32" s="307">
        <f>E33</f>
        <v>1482747</v>
      </c>
      <c r="F32" s="265">
        <f>F33</f>
        <v>-1107934</v>
      </c>
      <c r="G32" s="98">
        <f t="shared" si="0"/>
        <v>374813</v>
      </c>
    </row>
    <row r="33" spans="1:7" ht="12.75" customHeight="1" thickBot="1">
      <c r="A33" s="23"/>
      <c r="B33" s="174">
        <v>70005</v>
      </c>
      <c r="C33" s="184"/>
      <c r="D33" s="394" t="s">
        <v>7</v>
      </c>
      <c r="E33" s="487">
        <f>SUM(E34:E46)</f>
        <v>1482747</v>
      </c>
      <c r="F33" s="503">
        <f>SUM(F34:F46)</f>
        <v>-1107934</v>
      </c>
      <c r="G33" s="641">
        <f t="shared" si="0"/>
        <v>374813</v>
      </c>
    </row>
    <row r="34" spans="1:7" ht="12.75" customHeight="1">
      <c r="A34" s="23"/>
      <c r="B34" s="39"/>
      <c r="C34" s="40" t="s">
        <v>102</v>
      </c>
      <c r="D34" s="10" t="s">
        <v>711</v>
      </c>
      <c r="E34" s="177">
        <v>4000</v>
      </c>
      <c r="F34" s="176">
        <v>-1014</v>
      </c>
      <c r="G34" s="25">
        <f t="shared" si="0"/>
        <v>2986</v>
      </c>
    </row>
    <row r="35" spans="1:7" ht="12.75" customHeight="1">
      <c r="A35" s="23"/>
      <c r="B35" s="39"/>
      <c r="C35" s="40"/>
      <c r="D35" s="10" t="s">
        <v>73</v>
      </c>
      <c r="E35" s="5"/>
      <c r="F35" s="176"/>
      <c r="G35" s="25"/>
    </row>
    <row r="36" spans="1:7" ht="12.75" customHeight="1">
      <c r="A36" s="23"/>
      <c r="B36" s="39"/>
      <c r="C36" s="40" t="s">
        <v>103</v>
      </c>
      <c r="D36" s="10" t="s">
        <v>41</v>
      </c>
      <c r="E36" s="177">
        <v>2294</v>
      </c>
      <c r="F36" s="176">
        <v>1738</v>
      </c>
      <c r="G36" s="25">
        <f>F36+E36</f>
        <v>4032</v>
      </c>
    </row>
    <row r="37" spans="1:7" ht="12.75" customHeight="1">
      <c r="A37" s="23"/>
      <c r="B37" s="39"/>
      <c r="C37" s="40" t="s">
        <v>104</v>
      </c>
      <c r="D37" s="10" t="s">
        <v>505</v>
      </c>
      <c r="E37" s="177">
        <v>102259</v>
      </c>
      <c r="F37" s="176">
        <f>3637+8000</f>
        <v>11637</v>
      </c>
      <c r="G37" s="25">
        <f t="shared" si="0"/>
        <v>113896</v>
      </c>
    </row>
    <row r="38" spans="1:7" ht="12.75" customHeight="1">
      <c r="A38" s="23"/>
      <c r="B38" s="39"/>
      <c r="C38" s="39"/>
      <c r="D38" s="10" t="s">
        <v>74</v>
      </c>
      <c r="E38" s="177"/>
      <c r="F38" s="176"/>
      <c r="G38" s="25"/>
    </row>
    <row r="39" spans="1:7" ht="12.75" customHeight="1">
      <c r="A39" s="23"/>
      <c r="B39" s="39"/>
      <c r="C39" s="40" t="s">
        <v>105</v>
      </c>
      <c r="D39" s="10" t="s">
        <v>75</v>
      </c>
      <c r="E39" s="177">
        <v>1101300</v>
      </c>
      <c r="F39" s="176">
        <v>-1097550</v>
      </c>
      <c r="G39" s="25">
        <f t="shared" si="0"/>
        <v>3750</v>
      </c>
    </row>
    <row r="40" spans="1:7" ht="12.75" customHeight="1">
      <c r="A40" s="23"/>
      <c r="B40" s="39"/>
      <c r="C40" s="40" t="s">
        <v>269</v>
      </c>
      <c r="D40" s="10" t="s">
        <v>702</v>
      </c>
      <c r="E40" s="177">
        <v>3750</v>
      </c>
      <c r="F40" s="176">
        <v>1000</v>
      </c>
      <c r="G40" s="25">
        <f>F40+E40</f>
        <v>4750</v>
      </c>
    </row>
    <row r="41" spans="1:7" ht="12.75" customHeight="1">
      <c r="A41" s="23"/>
      <c r="B41" s="39"/>
      <c r="C41" s="40" t="s">
        <v>101</v>
      </c>
      <c r="D41" s="76" t="s">
        <v>45</v>
      </c>
      <c r="E41" s="177">
        <v>3644</v>
      </c>
      <c r="F41" s="176"/>
      <c r="G41" s="25">
        <f>F41+E41</f>
        <v>3644</v>
      </c>
    </row>
    <row r="42" spans="1:7" ht="12.75" customHeight="1">
      <c r="A42" s="23"/>
      <c r="B42" s="39"/>
      <c r="C42" s="40" t="s">
        <v>100</v>
      </c>
      <c r="D42" s="10" t="s">
        <v>70</v>
      </c>
      <c r="E42" s="177">
        <v>86000</v>
      </c>
      <c r="F42" s="176"/>
      <c r="G42" s="25">
        <f t="shared" si="0"/>
        <v>86000</v>
      </c>
    </row>
    <row r="43" spans="1:7" ht="12.75" customHeight="1">
      <c r="A43" s="23"/>
      <c r="B43" s="39"/>
      <c r="C43" s="40"/>
      <c r="D43" s="1" t="s">
        <v>76</v>
      </c>
      <c r="E43" s="177"/>
      <c r="F43" s="176"/>
      <c r="G43" s="25"/>
    </row>
    <row r="44" spans="1:7" ht="12.75" customHeight="1">
      <c r="A44" s="23"/>
      <c r="B44" s="39"/>
      <c r="C44" s="40" t="s">
        <v>272</v>
      </c>
      <c r="D44" s="10" t="s">
        <v>77</v>
      </c>
      <c r="E44" s="177">
        <v>129500</v>
      </c>
      <c r="F44" s="176"/>
      <c r="G44" s="25">
        <f t="shared" si="0"/>
        <v>129500</v>
      </c>
    </row>
    <row r="45" spans="1:7" ht="12.75" customHeight="1">
      <c r="A45" s="23"/>
      <c r="B45" s="39"/>
      <c r="C45" s="40"/>
      <c r="D45" s="10" t="s">
        <v>67</v>
      </c>
      <c r="E45" s="5"/>
      <c r="F45" s="176"/>
      <c r="G45" s="25"/>
    </row>
    <row r="46" spans="1:7" ht="12.75" customHeight="1">
      <c r="A46" s="23"/>
      <c r="B46" s="39"/>
      <c r="C46" s="40" t="s">
        <v>708</v>
      </c>
      <c r="D46" s="10" t="s">
        <v>709</v>
      </c>
      <c r="E46" s="177">
        <v>50000</v>
      </c>
      <c r="F46" s="176">
        <v>-23745</v>
      </c>
      <c r="G46" s="25">
        <f>F46+E46</f>
        <v>26255</v>
      </c>
    </row>
    <row r="47" spans="1:7" ht="12.75" customHeight="1">
      <c r="A47" s="23"/>
      <c r="B47" s="39"/>
      <c r="C47" s="40"/>
      <c r="D47" s="10"/>
      <c r="E47" s="177"/>
      <c r="F47" s="176"/>
      <c r="G47" s="25"/>
    </row>
    <row r="48" spans="1:7" ht="12.75" customHeight="1" thickBot="1">
      <c r="A48" s="46">
        <v>710</v>
      </c>
      <c r="B48" s="42"/>
      <c r="C48" s="47"/>
      <c r="D48" s="105" t="s">
        <v>9</v>
      </c>
      <c r="E48" s="307">
        <f>E49+E53+E57</f>
        <v>203256</v>
      </c>
      <c r="F48" s="357">
        <f>F49+F53+F57</f>
        <v>0</v>
      </c>
      <c r="G48" s="189">
        <f t="shared" si="0"/>
        <v>203256</v>
      </c>
    </row>
    <row r="49" spans="1:7" ht="12.75" customHeight="1" thickBot="1">
      <c r="A49" s="23"/>
      <c r="B49" s="174">
        <v>71013</v>
      </c>
      <c r="C49" s="396"/>
      <c r="D49" s="394" t="s">
        <v>78</v>
      </c>
      <c r="E49" s="487">
        <f>E50</f>
        <v>40000</v>
      </c>
      <c r="F49" s="503">
        <f>F50</f>
        <v>0</v>
      </c>
      <c r="G49" s="641">
        <f t="shared" si="0"/>
        <v>40000</v>
      </c>
    </row>
    <row r="50" spans="1:7" ht="12.75" customHeight="1">
      <c r="A50" s="23"/>
      <c r="B50" s="39"/>
      <c r="C50" s="40" t="s">
        <v>100</v>
      </c>
      <c r="D50" s="10" t="s">
        <v>70</v>
      </c>
      <c r="E50" s="177">
        <v>40000</v>
      </c>
      <c r="F50" s="176"/>
      <c r="G50" s="25">
        <f t="shared" si="0"/>
        <v>40000</v>
      </c>
    </row>
    <row r="51" spans="1:7" ht="12.75" customHeight="1">
      <c r="A51" s="23"/>
      <c r="B51" s="39"/>
      <c r="C51" s="40"/>
      <c r="D51" s="10" t="s">
        <v>79</v>
      </c>
      <c r="E51" s="177"/>
      <c r="F51" s="176"/>
      <c r="G51" s="25"/>
    </row>
    <row r="52" spans="1:7" ht="12.75" customHeight="1">
      <c r="A52" s="23"/>
      <c r="B52" s="39"/>
      <c r="C52" s="40"/>
      <c r="D52" s="10"/>
      <c r="E52" s="177"/>
      <c r="F52" s="176"/>
      <c r="G52" s="25"/>
    </row>
    <row r="53" spans="1:7" ht="12.75" customHeight="1" thickBot="1">
      <c r="A53" s="23"/>
      <c r="B53" s="183">
        <v>71014</v>
      </c>
      <c r="C53" s="391"/>
      <c r="D53" s="191" t="s">
        <v>12</v>
      </c>
      <c r="E53" s="486">
        <f>E54</f>
        <v>6000</v>
      </c>
      <c r="F53" s="176">
        <f>F54</f>
        <v>0</v>
      </c>
      <c r="G53" s="25">
        <f t="shared" si="0"/>
        <v>6000</v>
      </c>
    </row>
    <row r="54" spans="1:7" ht="12.75" customHeight="1">
      <c r="A54" s="23"/>
      <c r="B54" s="39"/>
      <c r="C54" s="40" t="s">
        <v>100</v>
      </c>
      <c r="D54" s="10" t="s">
        <v>70</v>
      </c>
      <c r="E54" s="177">
        <v>6000</v>
      </c>
      <c r="F54" s="263"/>
      <c r="G54" s="642">
        <f t="shared" si="0"/>
        <v>6000</v>
      </c>
    </row>
    <row r="55" spans="1:7" ht="12.75" customHeight="1">
      <c r="A55" s="23"/>
      <c r="B55" s="39"/>
      <c r="C55" s="40"/>
      <c r="D55" s="10" t="s">
        <v>79</v>
      </c>
      <c r="E55" s="177"/>
      <c r="F55" s="176"/>
      <c r="G55" s="25"/>
    </row>
    <row r="56" spans="1:7" ht="12.75" customHeight="1">
      <c r="A56" s="23"/>
      <c r="B56" s="39"/>
      <c r="C56" s="40"/>
      <c r="D56" s="10"/>
      <c r="E56" s="177"/>
      <c r="F56" s="176"/>
      <c r="G56" s="25"/>
    </row>
    <row r="57" spans="1:7" ht="12.75" customHeight="1" thickBot="1">
      <c r="A57" s="23"/>
      <c r="B57" s="183">
        <v>71015</v>
      </c>
      <c r="C57" s="48"/>
      <c r="D57" s="191" t="s">
        <v>14</v>
      </c>
      <c r="E57" s="486">
        <f>SUM(E58:E60)</f>
        <v>157256</v>
      </c>
      <c r="F57" s="502">
        <f>SUM(F58:F60)</f>
        <v>0</v>
      </c>
      <c r="G57" s="601">
        <f t="shared" si="0"/>
        <v>157256</v>
      </c>
    </row>
    <row r="58" spans="1:7" ht="12.75" customHeight="1">
      <c r="A58" s="23"/>
      <c r="B58" s="39"/>
      <c r="C58" s="39">
        <v>2110</v>
      </c>
      <c r="D58" s="450" t="s">
        <v>70</v>
      </c>
      <c r="E58" s="177">
        <v>152756</v>
      </c>
      <c r="F58" s="176"/>
      <c r="G58" s="25">
        <f t="shared" si="0"/>
        <v>152756</v>
      </c>
    </row>
    <row r="59" spans="1:7" ht="12.75" customHeight="1">
      <c r="A59" s="23"/>
      <c r="B59" s="39"/>
      <c r="C59" s="39"/>
      <c r="D59" s="1" t="s">
        <v>80</v>
      </c>
      <c r="E59" s="177"/>
      <c r="F59" s="176"/>
      <c r="G59" s="25"/>
    </row>
    <row r="60" spans="1:7" ht="12.75" customHeight="1">
      <c r="A60" s="23"/>
      <c r="B60" s="39"/>
      <c r="C60" s="4" t="s">
        <v>271</v>
      </c>
      <c r="D60" s="411" t="s">
        <v>81</v>
      </c>
      <c r="E60" s="177">
        <v>4500</v>
      </c>
      <c r="F60" s="176"/>
      <c r="G60" s="25">
        <f t="shared" si="0"/>
        <v>4500</v>
      </c>
    </row>
    <row r="61" spans="1:7" ht="12.75" customHeight="1">
      <c r="A61" s="23"/>
      <c r="B61" s="39"/>
      <c r="C61" s="40"/>
      <c r="D61" s="10"/>
      <c r="E61" s="177"/>
      <c r="F61" s="176"/>
      <c r="G61" s="25"/>
    </row>
    <row r="62" spans="1:7" ht="12.75" customHeight="1" thickBot="1">
      <c r="A62" s="46">
        <v>750</v>
      </c>
      <c r="B62" s="42"/>
      <c r="C62" s="42"/>
      <c r="D62" s="105" t="s">
        <v>15</v>
      </c>
      <c r="E62" s="307">
        <f>E63+E67+E76</f>
        <v>2232863</v>
      </c>
      <c r="F62" s="265">
        <f>F63+F67+F76</f>
        <v>-1515</v>
      </c>
      <c r="G62" s="98">
        <f t="shared" si="0"/>
        <v>2231348</v>
      </c>
    </row>
    <row r="63" spans="1:7" ht="12.75" customHeight="1" thickBot="1">
      <c r="A63" s="23"/>
      <c r="B63" s="174">
        <v>75011</v>
      </c>
      <c r="C63" s="184"/>
      <c r="D63" s="394" t="s">
        <v>16</v>
      </c>
      <c r="E63" s="487">
        <f>E64</f>
        <v>149975</v>
      </c>
      <c r="F63" s="503">
        <f>F64</f>
        <v>0</v>
      </c>
      <c r="G63" s="641">
        <f t="shared" si="0"/>
        <v>149975</v>
      </c>
    </row>
    <row r="64" spans="1:7" ht="12.75" customHeight="1">
      <c r="A64" s="23"/>
      <c r="B64" s="39"/>
      <c r="C64" s="39">
        <v>2110</v>
      </c>
      <c r="D64" s="10" t="s">
        <v>70</v>
      </c>
      <c r="E64" s="177">
        <v>149975</v>
      </c>
      <c r="F64" s="176"/>
      <c r="G64" s="25">
        <f t="shared" si="0"/>
        <v>149975</v>
      </c>
    </row>
    <row r="65" spans="1:7" ht="12.75" customHeight="1">
      <c r="A65" s="23"/>
      <c r="B65" s="39"/>
      <c r="C65" s="39"/>
      <c r="D65" s="10" t="s">
        <v>79</v>
      </c>
      <c r="E65" s="177"/>
      <c r="F65" s="176"/>
      <c r="G65" s="25"/>
    </row>
    <row r="66" spans="1:7" ht="12.75" customHeight="1">
      <c r="A66" s="23"/>
      <c r="B66" s="39"/>
      <c r="C66" s="39"/>
      <c r="D66" s="10"/>
      <c r="E66" s="177"/>
      <c r="F66" s="176"/>
      <c r="G66" s="25"/>
    </row>
    <row r="67" spans="1:7" ht="12.75" customHeight="1" thickBot="1">
      <c r="A67" s="23"/>
      <c r="B67" s="183">
        <v>75020</v>
      </c>
      <c r="C67" s="48"/>
      <c r="D67" s="191" t="s">
        <v>31</v>
      </c>
      <c r="E67" s="486">
        <f>SUM(E68:E74)</f>
        <v>2066888</v>
      </c>
      <c r="F67" s="176">
        <f>SUM(F68:F74)</f>
        <v>-1515</v>
      </c>
      <c r="G67" s="25">
        <f t="shared" si="0"/>
        <v>2065373</v>
      </c>
    </row>
    <row r="68" spans="1:7" ht="12.75" customHeight="1">
      <c r="A68" s="23"/>
      <c r="B68" s="39"/>
      <c r="C68" s="40" t="s">
        <v>267</v>
      </c>
      <c r="D68" s="10" t="s">
        <v>82</v>
      </c>
      <c r="E68" s="177">
        <v>1800000</v>
      </c>
      <c r="F68" s="263"/>
      <c r="G68" s="642">
        <f t="shared" si="0"/>
        <v>1800000</v>
      </c>
    </row>
    <row r="69" spans="1:7" ht="12.75" customHeight="1">
      <c r="A69" s="23"/>
      <c r="B69" s="39"/>
      <c r="C69" s="40" t="s">
        <v>103</v>
      </c>
      <c r="D69" s="10" t="s">
        <v>41</v>
      </c>
      <c r="E69" s="177">
        <v>2215</v>
      </c>
      <c r="F69" s="176">
        <v>-515</v>
      </c>
      <c r="G69" s="25">
        <f t="shared" si="0"/>
        <v>1700</v>
      </c>
    </row>
    <row r="70" spans="1:7" ht="12.75" customHeight="1">
      <c r="A70" s="23"/>
      <c r="B70" s="39"/>
      <c r="C70" s="40" t="s">
        <v>263</v>
      </c>
      <c r="D70" s="10" t="s">
        <v>40</v>
      </c>
      <c r="E70" s="177">
        <v>9500</v>
      </c>
      <c r="F70" s="176"/>
      <c r="G70" s="25">
        <f t="shared" si="0"/>
        <v>9500</v>
      </c>
    </row>
    <row r="71" spans="1:7" ht="12.75" customHeight="1">
      <c r="A71" s="23"/>
      <c r="B71" s="39"/>
      <c r="C71" s="40" t="s">
        <v>268</v>
      </c>
      <c r="D71" s="10" t="s">
        <v>712</v>
      </c>
      <c r="E71" s="177">
        <v>2500</v>
      </c>
      <c r="F71" s="176"/>
      <c r="G71" s="25">
        <f t="shared" si="0"/>
        <v>2500</v>
      </c>
    </row>
    <row r="72" spans="1:7" ht="12.75" customHeight="1">
      <c r="A72" s="23"/>
      <c r="B72" s="39"/>
      <c r="C72" s="40" t="s">
        <v>269</v>
      </c>
      <c r="D72" s="10" t="s">
        <v>42</v>
      </c>
      <c r="E72" s="177">
        <v>0</v>
      </c>
      <c r="F72" s="176"/>
      <c r="G72" s="25">
        <f t="shared" si="0"/>
        <v>0</v>
      </c>
    </row>
    <row r="73" spans="1:7" ht="12.75" customHeight="1">
      <c r="A73" s="23"/>
      <c r="B73" s="39"/>
      <c r="C73" s="40" t="s">
        <v>270</v>
      </c>
      <c r="D73" s="10" t="s">
        <v>713</v>
      </c>
      <c r="E73" s="177">
        <v>2000</v>
      </c>
      <c r="F73" s="176">
        <v>-1000</v>
      </c>
      <c r="G73" s="25">
        <f t="shared" si="0"/>
        <v>1000</v>
      </c>
    </row>
    <row r="74" spans="1:7" ht="12.75" customHeight="1">
      <c r="A74" s="23"/>
      <c r="B74" s="39"/>
      <c r="C74" s="40" t="s">
        <v>101</v>
      </c>
      <c r="D74" s="10" t="s">
        <v>45</v>
      </c>
      <c r="E74" s="177">
        <v>250673</v>
      </c>
      <c r="F74" s="176"/>
      <c r="G74" s="25">
        <f t="shared" si="0"/>
        <v>250673</v>
      </c>
    </row>
    <row r="75" spans="1:7" ht="12.75" customHeight="1">
      <c r="A75" s="23"/>
      <c r="B75" s="39"/>
      <c r="C75" s="39"/>
      <c r="D75" s="39"/>
      <c r="E75" s="177"/>
      <c r="F75" s="176"/>
      <c r="G75" s="25"/>
    </row>
    <row r="76" spans="1:7" ht="12.75" customHeight="1" thickBot="1">
      <c r="A76" s="23"/>
      <c r="B76" s="183">
        <v>75045</v>
      </c>
      <c r="C76" s="48"/>
      <c r="D76" s="191" t="s">
        <v>17</v>
      </c>
      <c r="E76" s="486">
        <f>E77</f>
        <v>16000</v>
      </c>
      <c r="F76" s="502">
        <f>F77</f>
        <v>0</v>
      </c>
      <c r="G76" s="601">
        <f t="shared" si="0"/>
        <v>16000</v>
      </c>
    </row>
    <row r="77" spans="1:7" ht="12.75" customHeight="1">
      <c r="A77" s="23"/>
      <c r="B77" s="39"/>
      <c r="C77" s="39">
        <v>2110</v>
      </c>
      <c r="D77" s="10" t="s">
        <v>70</v>
      </c>
      <c r="E77" s="177">
        <v>16000</v>
      </c>
      <c r="F77" s="176"/>
      <c r="G77" s="25">
        <f t="shared" si="0"/>
        <v>16000</v>
      </c>
    </row>
    <row r="78" spans="1:7" ht="12.75" customHeight="1">
      <c r="A78" s="23"/>
      <c r="B78" s="39"/>
      <c r="C78" s="39"/>
      <c r="D78" s="10" t="s">
        <v>83</v>
      </c>
      <c r="E78" s="177"/>
      <c r="F78" s="176"/>
      <c r="G78" s="25"/>
    </row>
    <row r="79" spans="1:7" ht="12.75" customHeight="1">
      <c r="A79" s="23"/>
      <c r="B79" s="39"/>
      <c r="C79" s="39"/>
      <c r="D79" s="10"/>
      <c r="E79" s="264"/>
      <c r="F79" s="176"/>
      <c r="G79" s="25"/>
    </row>
    <row r="80" spans="1:7" ht="12.75" customHeight="1" thickBot="1">
      <c r="A80" s="46">
        <v>752</v>
      </c>
      <c r="B80" s="42"/>
      <c r="C80" s="42"/>
      <c r="D80" s="105" t="s">
        <v>766</v>
      </c>
      <c r="E80" s="266">
        <f>E81</f>
        <v>0</v>
      </c>
      <c r="F80" s="265">
        <f>F81</f>
        <v>697</v>
      </c>
      <c r="G80" s="98">
        <f>G81</f>
        <v>697</v>
      </c>
    </row>
    <row r="81" spans="1:7" ht="12.75" customHeight="1" thickBot="1">
      <c r="A81" s="23"/>
      <c r="B81" s="174">
        <v>75212</v>
      </c>
      <c r="C81" s="184"/>
      <c r="D81" s="394" t="s">
        <v>767</v>
      </c>
      <c r="E81" s="643">
        <f>E82</f>
        <v>0</v>
      </c>
      <c r="F81" s="503">
        <f>F82</f>
        <v>697</v>
      </c>
      <c r="G81" s="641">
        <f>F81+E81</f>
        <v>697</v>
      </c>
    </row>
    <row r="82" spans="1:7" ht="12.75" customHeight="1">
      <c r="A82" s="23"/>
      <c r="B82" s="39"/>
      <c r="C82" s="40" t="s">
        <v>101</v>
      </c>
      <c r="D82" s="10" t="s">
        <v>45</v>
      </c>
      <c r="E82" s="264">
        <v>0</v>
      </c>
      <c r="F82" s="176">
        <v>697</v>
      </c>
      <c r="G82" s="25">
        <f>F82+E82</f>
        <v>697</v>
      </c>
    </row>
    <row r="83" spans="1:7" ht="12.75" customHeight="1">
      <c r="A83" s="23"/>
      <c r="B83" s="39"/>
      <c r="C83" s="39"/>
      <c r="D83" s="10"/>
      <c r="E83" s="264"/>
      <c r="F83" s="176"/>
      <c r="G83" s="25"/>
    </row>
    <row r="84" spans="1:7" ht="12.75" customHeight="1" thickBot="1">
      <c r="A84" s="46">
        <v>754</v>
      </c>
      <c r="B84" s="42"/>
      <c r="C84" s="47"/>
      <c r="D84" s="105" t="s">
        <v>544</v>
      </c>
      <c r="E84" s="492">
        <f>E85</f>
        <v>23000</v>
      </c>
      <c r="F84" s="500">
        <f>F85</f>
        <v>0</v>
      </c>
      <c r="G84" s="189">
        <f>F84+E84</f>
        <v>23000</v>
      </c>
    </row>
    <row r="85" spans="1:7" ht="12.75" customHeight="1" thickBot="1">
      <c r="A85" s="23"/>
      <c r="B85" s="174">
        <v>75414</v>
      </c>
      <c r="C85" s="396"/>
      <c r="D85" s="394" t="s">
        <v>545</v>
      </c>
      <c r="E85" s="493">
        <f>E86</f>
        <v>23000</v>
      </c>
      <c r="F85" s="505">
        <f>F86</f>
        <v>0</v>
      </c>
      <c r="G85" s="641">
        <f>F85+E85</f>
        <v>23000</v>
      </c>
    </row>
    <row r="86" spans="1:7" ht="12.75" customHeight="1">
      <c r="A86" s="23"/>
      <c r="B86" s="39"/>
      <c r="C86" s="4" t="s">
        <v>271</v>
      </c>
      <c r="D86" s="411" t="s">
        <v>81</v>
      </c>
      <c r="E86" s="467">
        <v>23000</v>
      </c>
      <c r="F86" s="447"/>
      <c r="G86" s="25">
        <f>F86+E86</f>
        <v>23000</v>
      </c>
    </row>
    <row r="87" spans="1:7" ht="12.75" customHeight="1">
      <c r="A87" s="23"/>
      <c r="B87" s="39"/>
      <c r="C87" s="40"/>
      <c r="D87" s="10"/>
      <c r="E87" s="177"/>
      <c r="F87" s="176"/>
      <c r="G87" s="25"/>
    </row>
    <row r="88" spans="1:7" ht="12.75" customHeight="1">
      <c r="A88" s="43">
        <v>756</v>
      </c>
      <c r="B88" s="39"/>
      <c r="C88" s="40"/>
      <c r="D88" s="104" t="s">
        <v>715</v>
      </c>
      <c r="E88" s="177"/>
      <c r="F88" s="176"/>
      <c r="G88" s="25"/>
    </row>
    <row r="89" spans="1:7" ht="12.75" customHeight="1" thickBot="1">
      <c r="A89" s="46"/>
      <c r="B89" s="42"/>
      <c r="C89" s="42"/>
      <c r="D89" s="105" t="s">
        <v>716</v>
      </c>
      <c r="E89" s="307">
        <f>E90</f>
        <v>2415735</v>
      </c>
      <c r="F89" s="357">
        <f>F90</f>
        <v>0</v>
      </c>
      <c r="G89" s="189">
        <f>F89+E89</f>
        <v>2415735</v>
      </c>
    </row>
    <row r="90" spans="1:7" ht="12.75" customHeight="1">
      <c r="A90" s="23"/>
      <c r="B90" s="39">
        <v>75622</v>
      </c>
      <c r="C90" s="39"/>
      <c r="D90" s="10" t="s">
        <v>84</v>
      </c>
      <c r="E90" s="262">
        <f>E92+E93</f>
        <v>2415735</v>
      </c>
      <c r="F90" s="263">
        <f>SUM(F92:F93)</f>
        <v>0</v>
      </c>
      <c r="G90" s="642">
        <f>F90+E90</f>
        <v>2415735</v>
      </c>
    </row>
    <row r="91" spans="1:7" ht="12.75" customHeight="1" thickBot="1">
      <c r="A91" s="23"/>
      <c r="B91" s="48"/>
      <c r="C91" s="48"/>
      <c r="D91" s="191" t="s">
        <v>85</v>
      </c>
      <c r="E91" s="181"/>
      <c r="F91" s="137"/>
      <c r="G91" s="601"/>
    </row>
    <row r="92" spans="1:7" ht="12.75" customHeight="1">
      <c r="A92" s="23"/>
      <c r="B92" s="39"/>
      <c r="C92" s="40" t="s">
        <v>266</v>
      </c>
      <c r="D92" s="10" t="s">
        <v>484</v>
      </c>
      <c r="E92" s="177">
        <v>2361585</v>
      </c>
      <c r="F92" s="176"/>
      <c r="G92" s="25">
        <f>F92+E92</f>
        <v>2361585</v>
      </c>
    </row>
    <row r="93" spans="1:7" ht="12.75" customHeight="1">
      <c r="A93" s="23"/>
      <c r="B93" s="39"/>
      <c r="C93" s="40" t="s">
        <v>482</v>
      </c>
      <c r="D93" s="10" t="s">
        <v>483</v>
      </c>
      <c r="E93" s="177">
        <v>54150</v>
      </c>
      <c r="F93" s="176"/>
      <c r="G93" s="25">
        <f>F93+E93</f>
        <v>54150</v>
      </c>
    </row>
    <row r="94" spans="1:7" ht="12.75" customHeight="1">
      <c r="A94" s="23"/>
      <c r="B94" s="39"/>
      <c r="C94" s="40"/>
      <c r="D94" s="10"/>
      <c r="E94" s="177"/>
      <c r="F94" s="176"/>
      <c r="G94" s="25"/>
    </row>
    <row r="95" spans="1:7" ht="12.75" customHeight="1" thickBot="1">
      <c r="A95" s="46">
        <v>758</v>
      </c>
      <c r="B95" s="42"/>
      <c r="C95" s="42"/>
      <c r="D95" s="105" t="s">
        <v>34</v>
      </c>
      <c r="E95" s="307">
        <f>E96+E103+E106+E109+E99</f>
        <v>16559929</v>
      </c>
      <c r="F95" s="357">
        <f>F96+F103+F106+F109+F99</f>
        <v>181078</v>
      </c>
      <c r="G95" s="189">
        <f>F95+E95</f>
        <v>16741007</v>
      </c>
    </row>
    <row r="96" spans="1:7" ht="12.75" customHeight="1" thickBot="1">
      <c r="A96" s="23"/>
      <c r="B96" s="174">
        <v>75801</v>
      </c>
      <c r="C96" s="184"/>
      <c r="D96" s="394" t="s">
        <v>86</v>
      </c>
      <c r="E96" s="487">
        <f>E97</f>
        <v>9959775</v>
      </c>
      <c r="F96" s="503">
        <f>F97</f>
        <v>123025</v>
      </c>
      <c r="G96" s="641">
        <f>F96+E96</f>
        <v>10082800</v>
      </c>
    </row>
    <row r="97" spans="1:7" ht="12.75" customHeight="1">
      <c r="A97" s="23"/>
      <c r="B97" s="39"/>
      <c r="C97" s="39">
        <v>2920</v>
      </c>
      <c r="D97" s="10" t="s">
        <v>30</v>
      </c>
      <c r="E97" s="177">
        <v>9959775</v>
      </c>
      <c r="F97" s="176">
        <f>66852+56173</f>
        <v>123025</v>
      </c>
      <c r="G97" s="25">
        <f>F97+E97</f>
        <v>10082800</v>
      </c>
    </row>
    <row r="98" spans="1:7" ht="12.75" customHeight="1">
      <c r="A98" s="23"/>
      <c r="B98" s="39"/>
      <c r="C98" s="39"/>
      <c r="D98" s="389"/>
      <c r="E98" s="177"/>
      <c r="F98" s="176"/>
      <c r="G98" s="25"/>
    </row>
    <row r="99" spans="1:7" ht="12.75" customHeight="1" thickBot="1">
      <c r="A99" s="23"/>
      <c r="B99" s="183">
        <v>75802</v>
      </c>
      <c r="C99" s="48"/>
      <c r="D99" s="191" t="s">
        <v>719</v>
      </c>
      <c r="E99" s="486">
        <f>E101+E100</f>
        <v>750046</v>
      </c>
      <c r="F99" s="176">
        <f>F101+F100</f>
        <v>60877</v>
      </c>
      <c r="G99" s="25">
        <f>F99+E99</f>
        <v>810923</v>
      </c>
    </row>
    <row r="100" spans="1:7" ht="12.75" customHeight="1">
      <c r="A100" s="23"/>
      <c r="B100" s="39"/>
      <c r="C100" s="39">
        <v>2760</v>
      </c>
      <c r="D100" s="10" t="s">
        <v>754</v>
      </c>
      <c r="E100" s="177">
        <v>0</v>
      </c>
      <c r="F100" s="263">
        <f>550046+60877</f>
        <v>610923</v>
      </c>
      <c r="G100" s="642">
        <f>F100+E100</f>
        <v>610923</v>
      </c>
    </row>
    <row r="101" spans="1:10" ht="12.75" customHeight="1">
      <c r="A101" s="23"/>
      <c r="B101" s="39"/>
      <c r="C101" s="39">
        <v>2780</v>
      </c>
      <c r="D101" s="10" t="s">
        <v>718</v>
      </c>
      <c r="E101" s="177">
        <v>750046</v>
      </c>
      <c r="F101" s="176">
        <v>-550046</v>
      </c>
      <c r="G101" s="25">
        <f>F101+E101</f>
        <v>200000</v>
      </c>
      <c r="J101" s="289">
        <f>G95-G106</f>
        <v>16678921</v>
      </c>
    </row>
    <row r="102" spans="1:7" ht="12.75" customHeight="1">
      <c r="A102" s="23"/>
      <c r="B102" s="39"/>
      <c r="C102" s="39"/>
      <c r="D102" s="10"/>
      <c r="E102" s="177"/>
      <c r="F102" s="176"/>
      <c r="G102" s="25"/>
    </row>
    <row r="103" spans="1:7" ht="12.75" customHeight="1" thickBot="1">
      <c r="A103" s="23"/>
      <c r="B103" s="183">
        <v>75803</v>
      </c>
      <c r="C103" s="48"/>
      <c r="D103" s="191" t="s">
        <v>87</v>
      </c>
      <c r="E103" s="486">
        <f>E104</f>
        <v>2941090</v>
      </c>
      <c r="F103" s="502">
        <f>F104</f>
        <v>0</v>
      </c>
      <c r="G103" s="601">
        <f>F103+E103</f>
        <v>2941090</v>
      </c>
    </row>
    <row r="104" spans="1:7" ht="12.75" customHeight="1">
      <c r="A104" s="23"/>
      <c r="B104" s="39"/>
      <c r="C104" s="39">
        <v>2920</v>
      </c>
      <c r="D104" s="10" t="s">
        <v>30</v>
      </c>
      <c r="E104" s="177">
        <v>2941090</v>
      </c>
      <c r="F104" s="176"/>
      <c r="G104" s="25">
        <f>F104+E104</f>
        <v>2941090</v>
      </c>
    </row>
    <row r="105" spans="1:7" ht="12.75" customHeight="1">
      <c r="A105" s="23"/>
      <c r="B105" s="39"/>
      <c r="C105" s="39"/>
      <c r="D105" s="389"/>
      <c r="E105" s="177"/>
      <c r="F105" s="176"/>
      <c r="G105" s="25"/>
    </row>
    <row r="106" spans="1:7" ht="12.75" customHeight="1" thickBot="1">
      <c r="A106" s="23"/>
      <c r="B106" s="183">
        <v>75814</v>
      </c>
      <c r="C106" s="391"/>
      <c r="D106" s="191" t="s">
        <v>35</v>
      </c>
      <c r="E106" s="486">
        <f>E107</f>
        <v>64910</v>
      </c>
      <c r="F106" s="176">
        <f>F107</f>
        <v>-2824</v>
      </c>
      <c r="G106" s="25">
        <f>F106+E106</f>
        <v>62086</v>
      </c>
    </row>
    <row r="107" spans="1:9" ht="12.75" customHeight="1">
      <c r="A107" s="23"/>
      <c r="B107" s="39"/>
      <c r="C107" s="40" t="s">
        <v>265</v>
      </c>
      <c r="D107" s="10" t="s">
        <v>88</v>
      </c>
      <c r="E107" s="177">
        <v>64910</v>
      </c>
      <c r="F107" s="263">
        <f>461+290+100+650-4900+575</f>
        <v>-2824</v>
      </c>
      <c r="G107" s="642">
        <f>F107+E107</f>
        <v>62086</v>
      </c>
      <c r="I107" s="55">
        <f>168+112+450+800</f>
        <v>1530</v>
      </c>
    </row>
    <row r="108" spans="1:7" ht="12.75" customHeight="1">
      <c r="A108" s="23"/>
      <c r="B108" s="39"/>
      <c r="C108" s="40"/>
      <c r="D108" s="389"/>
      <c r="E108" s="177"/>
      <c r="F108" s="176"/>
      <c r="G108" s="25"/>
    </row>
    <row r="109" spans="1:7" ht="12.75" customHeight="1" thickBot="1">
      <c r="A109" s="23"/>
      <c r="B109" s="183">
        <v>75832</v>
      </c>
      <c r="C109" s="391"/>
      <c r="D109" s="191" t="s">
        <v>489</v>
      </c>
      <c r="E109" s="486">
        <f>E110</f>
        <v>2844108</v>
      </c>
      <c r="F109" s="502">
        <f>F110</f>
        <v>0</v>
      </c>
      <c r="G109" s="601">
        <f>F109+E109</f>
        <v>2844108</v>
      </c>
    </row>
    <row r="110" spans="1:7" ht="12.75" customHeight="1">
      <c r="A110" s="23"/>
      <c r="B110" s="39"/>
      <c r="C110" s="40" t="s">
        <v>488</v>
      </c>
      <c r="D110" s="450" t="s">
        <v>30</v>
      </c>
      <c r="E110" s="177">
        <v>2844108</v>
      </c>
      <c r="F110" s="176"/>
      <c r="G110" s="25">
        <f>F110+E110</f>
        <v>2844108</v>
      </c>
    </row>
    <row r="111" spans="1:7" ht="12.75" customHeight="1">
      <c r="A111" s="23"/>
      <c r="B111" s="39"/>
      <c r="C111" s="40"/>
      <c r="D111" s="389"/>
      <c r="E111" s="177"/>
      <c r="F111" s="176"/>
      <c r="G111" s="25"/>
    </row>
    <row r="112" spans="1:7" ht="12.75" customHeight="1" thickBot="1">
      <c r="A112" s="46">
        <v>801</v>
      </c>
      <c r="B112" s="49"/>
      <c r="C112" s="49"/>
      <c r="D112" s="7" t="s">
        <v>24</v>
      </c>
      <c r="E112" s="494">
        <f>E113+E122+E141+E133+E136</f>
        <v>737183</v>
      </c>
      <c r="F112" s="129">
        <f>F113+F122+F141+F133+F136</f>
        <v>20571</v>
      </c>
      <c r="G112" s="98">
        <f>F112+E112</f>
        <v>757754</v>
      </c>
    </row>
    <row r="113" spans="1:7" ht="12.75" customHeight="1" thickBot="1">
      <c r="A113" s="43"/>
      <c r="B113" s="183">
        <v>80120</v>
      </c>
      <c r="C113" s="183"/>
      <c r="D113" s="137" t="s">
        <v>36</v>
      </c>
      <c r="E113" s="486">
        <f>SUM(E114:E120)</f>
        <v>519449</v>
      </c>
      <c r="F113" s="503">
        <f>SUM(F114:F120)</f>
        <v>2958</v>
      </c>
      <c r="G113" s="641">
        <f>F113+E113</f>
        <v>522407</v>
      </c>
    </row>
    <row r="114" spans="1:7" ht="12.75" customHeight="1">
      <c r="A114" s="43"/>
      <c r="B114" s="8"/>
      <c r="C114" s="50" t="s">
        <v>263</v>
      </c>
      <c r="D114" s="1" t="s">
        <v>40</v>
      </c>
      <c r="E114" s="177">
        <v>1066</v>
      </c>
      <c r="F114" s="176"/>
      <c r="G114" s="25">
        <f>F114+E114</f>
        <v>1066</v>
      </c>
    </row>
    <row r="115" spans="1:7" ht="12.75" customHeight="1">
      <c r="A115" s="43"/>
      <c r="B115" s="8"/>
      <c r="C115" s="50" t="s">
        <v>710</v>
      </c>
      <c r="D115" s="1" t="s">
        <v>714</v>
      </c>
      <c r="E115" s="177">
        <v>0</v>
      </c>
      <c r="F115" s="176">
        <v>469</v>
      </c>
      <c r="G115" s="25">
        <f>F115+E115</f>
        <v>469</v>
      </c>
    </row>
    <row r="116" spans="1:7" ht="12.75" customHeight="1">
      <c r="A116" s="43"/>
      <c r="B116" s="8"/>
      <c r="C116" s="50" t="s">
        <v>101</v>
      </c>
      <c r="D116" s="1" t="s">
        <v>45</v>
      </c>
      <c r="E116" s="177">
        <v>500383</v>
      </c>
      <c r="F116" s="176">
        <f>2489</f>
        <v>2489</v>
      </c>
      <c r="G116" s="25">
        <f>F116+E116</f>
        <v>502872</v>
      </c>
    </row>
    <row r="117" spans="1:7" ht="12.75" customHeight="1">
      <c r="A117" s="43"/>
      <c r="B117" s="8"/>
      <c r="C117" s="40" t="s">
        <v>507</v>
      </c>
      <c r="D117" s="9" t="s">
        <v>508</v>
      </c>
      <c r="E117" s="177"/>
      <c r="F117" s="176"/>
      <c r="G117" s="25"/>
    </row>
    <row r="118" spans="1:7" ht="12.75" customHeight="1">
      <c r="A118" s="43"/>
      <c r="B118" s="8"/>
      <c r="C118" s="40"/>
      <c r="D118" s="1" t="s">
        <v>509</v>
      </c>
      <c r="E118" s="177">
        <v>3000</v>
      </c>
      <c r="F118" s="176"/>
      <c r="G118" s="25">
        <f>F118+E118</f>
        <v>3000</v>
      </c>
    </row>
    <row r="119" spans="1:7" ht="12.75" customHeight="1">
      <c r="A119" s="43"/>
      <c r="B119" s="8"/>
      <c r="C119" s="50" t="s">
        <v>737</v>
      </c>
      <c r="D119" s="1" t="s">
        <v>738</v>
      </c>
      <c r="E119" s="177"/>
      <c r="F119" s="176"/>
      <c r="G119" s="25"/>
    </row>
    <row r="120" spans="1:7" ht="12.75" customHeight="1">
      <c r="A120" s="43"/>
      <c r="B120" s="8"/>
      <c r="C120" s="50"/>
      <c r="D120" s="1" t="s">
        <v>739</v>
      </c>
      <c r="E120" s="177">
        <v>15000</v>
      </c>
      <c r="F120" s="176"/>
      <c r="G120" s="25">
        <f>F120+E120</f>
        <v>15000</v>
      </c>
    </row>
    <row r="121" spans="1:7" ht="12.75" customHeight="1">
      <c r="A121" s="43"/>
      <c r="B121" s="8"/>
      <c r="C121" s="13"/>
      <c r="D121" s="173"/>
      <c r="E121" s="177"/>
      <c r="F121" s="176"/>
      <c r="G121" s="25"/>
    </row>
    <row r="122" spans="1:7" ht="12.75" customHeight="1" thickBot="1">
      <c r="A122" s="43"/>
      <c r="B122" s="183">
        <v>80130</v>
      </c>
      <c r="C122" s="49"/>
      <c r="D122" s="137" t="s">
        <v>37</v>
      </c>
      <c r="E122" s="486">
        <f>SUM(E123:E131)</f>
        <v>113502</v>
      </c>
      <c r="F122" s="176">
        <f>SUM(F123:F131)</f>
        <v>17613</v>
      </c>
      <c r="G122" s="25">
        <f>F122+E122</f>
        <v>131115</v>
      </c>
    </row>
    <row r="123" spans="1:7" ht="12.75" customHeight="1">
      <c r="A123" s="43"/>
      <c r="B123" s="8"/>
      <c r="C123" s="40" t="s">
        <v>104</v>
      </c>
      <c r="D123" s="10" t="s">
        <v>505</v>
      </c>
      <c r="E123" s="177">
        <v>3000</v>
      </c>
      <c r="F123" s="263">
        <f>682</f>
        <v>682</v>
      </c>
      <c r="G123" s="642">
        <f>F123+E123</f>
        <v>3682</v>
      </c>
    </row>
    <row r="124" spans="1:7" ht="12.75" customHeight="1">
      <c r="A124" s="43"/>
      <c r="B124" s="8"/>
      <c r="C124" s="39"/>
      <c r="D124" s="10" t="s">
        <v>74</v>
      </c>
      <c r="E124" s="177"/>
      <c r="F124" s="176"/>
      <c r="G124" s="25"/>
    </row>
    <row r="125" spans="1:7" ht="12.75" customHeight="1">
      <c r="A125" s="43"/>
      <c r="B125" s="13"/>
      <c r="C125" s="50" t="s">
        <v>263</v>
      </c>
      <c r="D125" s="1" t="s">
        <v>40</v>
      </c>
      <c r="E125" s="177">
        <v>6430</v>
      </c>
      <c r="F125" s="176">
        <f>494</f>
        <v>494</v>
      </c>
      <c r="G125" s="25">
        <f>F125+E125</f>
        <v>6924</v>
      </c>
    </row>
    <row r="126" spans="1:7" ht="12.75" customHeight="1">
      <c r="A126" s="43"/>
      <c r="B126" s="44"/>
      <c r="C126" s="40" t="s">
        <v>268</v>
      </c>
      <c r="D126" s="10" t="s">
        <v>712</v>
      </c>
      <c r="E126" s="177">
        <v>2000</v>
      </c>
      <c r="F126" s="176">
        <f>-325</f>
        <v>-325</v>
      </c>
      <c r="G126" s="25">
        <f>F126+E126</f>
        <v>1675</v>
      </c>
    </row>
    <row r="127" spans="1:7" ht="12.75" customHeight="1">
      <c r="A127" s="23"/>
      <c r="B127" s="40"/>
      <c r="C127" s="40" t="s">
        <v>270</v>
      </c>
      <c r="D127" s="10" t="s">
        <v>677</v>
      </c>
      <c r="E127" s="177">
        <v>8000</v>
      </c>
      <c r="F127" s="176">
        <f>-1780</f>
        <v>-1780</v>
      </c>
      <c r="G127" s="25">
        <f>F127+E127</f>
        <v>6220</v>
      </c>
    </row>
    <row r="128" spans="1:7" ht="12.75" customHeight="1">
      <c r="A128" s="23"/>
      <c r="B128" s="40"/>
      <c r="C128" s="50" t="s">
        <v>101</v>
      </c>
      <c r="D128" s="1" t="s">
        <v>45</v>
      </c>
      <c r="E128" s="177">
        <v>66424</v>
      </c>
      <c r="F128" s="176">
        <f>4851</f>
        <v>4851</v>
      </c>
      <c r="G128" s="25">
        <f>F128+E128</f>
        <v>71275</v>
      </c>
    </row>
    <row r="129" spans="1:7" ht="12.75" customHeight="1">
      <c r="A129" s="23"/>
      <c r="B129" s="40"/>
      <c r="C129" s="40" t="s">
        <v>507</v>
      </c>
      <c r="D129" s="9" t="s">
        <v>508</v>
      </c>
      <c r="E129" s="177"/>
      <c r="F129" s="176"/>
      <c r="G129" s="25"/>
    </row>
    <row r="130" spans="1:7" ht="12.75" customHeight="1">
      <c r="A130" s="23"/>
      <c r="B130" s="40"/>
      <c r="C130" s="40"/>
      <c r="D130" s="1" t="s">
        <v>509</v>
      </c>
      <c r="E130" s="177">
        <v>5000</v>
      </c>
      <c r="F130" s="176"/>
      <c r="G130" s="25">
        <f>F130+E130</f>
        <v>5000</v>
      </c>
    </row>
    <row r="131" spans="1:7" ht="12.75" customHeight="1">
      <c r="A131" s="23"/>
      <c r="B131" s="40"/>
      <c r="C131" s="39">
        <v>2700</v>
      </c>
      <c r="D131" s="10" t="s">
        <v>111</v>
      </c>
      <c r="E131" s="177">
        <v>22648</v>
      </c>
      <c r="F131" s="176">
        <f>13691</f>
        <v>13691</v>
      </c>
      <c r="G131" s="25">
        <f>F131+E131</f>
        <v>36339</v>
      </c>
    </row>
    <row r="132" spans="1:7" ht="12.75" customHeight="1">
      <c r="A132" s="23"/>
      <c r="B132" s="40"/>
      <c r="C132" s="39"/>
      <c r="D132" s="10"/>
      <c r="E132" s="177"/>
      <c r="F132" s="176"/>
      <c r="G132" s="25"/>
    </row>
    <row r="133" spans="1:7" ht="12.75" customHeight="1" thickBot="1">
      <c r="A133" s="23"/>
      <c r="B133" s="390" t="s">
        <v>706</v>
      </c>
      <c r="C133" s="48"/>
      <c r="D133" s="191" t="s">
        <v>707</v>
      </c>
      <c r="E133" s="486">
        <f>E134</f>
        <v>27360</v>
      </c>
      <c r="F133" s="502">
        <f>F134</f>
        <v>0</v>
      </c>
      <c r="G133" s="601">
        <f>F133+E133</f>
        <v>27360</v>
      </c>
    </row>
    <row r="134" spans="1:7" ht="12.75" customHeight="1">
      <c r="A134" s="23"/>
      <c r="B134" s="40"/>
      <c r="C134" s="40" t="s">
        <v>103</v>
      </c>
      <c r="D134" s="10" t="s">
        <v>41</v>
      </c>
      <c r="E134" s="177">
        <v>27360</v>
      </c>
      <c r="F134" s="176"/>
      <c r="G134" s="25">
        <f>F134+E134</f>
        <v>27360</v>
      </c>
    </row>
    <row r="135" spans="1:7" ht="12.75" customHeight="1">
      <c r="A135" s="23"/>
      <c r="B135" s="40"/>
      <c r="C135" s="40"/>
      <c r="D135" s="10"/>
      <c r="E135" s="177"/>
      <c r="F135" s="176"/>
      <c r="G135" s="25"/>
    </row>
    <row r="136" spans="1:7" ht="12.75" customHeight="1" thickBot="1">
      <c r="A136" s="23"/>
      <c r="B136" s="390" t="s">
        <v>720</v>
      </c>
      <c r="C136" s="391"/>
      <c r="D136" s="191" t="s">
        <v>25</v>
      </c>
      <c r="E136" s="486">
        <f>E138+E137</f>
        <v>7856</v>
      </c>
      <c r="F136" s="502">
        <f>F138+F137</f>
        <v>0</v>
      </c>
      <c r="G136" s="601">
        <f>F136+E136</f>
        <v>7856</v>
      </c>
    </row>
    <row r="137" spans="1:7" ht="12.75" customHeight="1">
      <c r="A137" s="23"/>
      <c r="B137" s="40"/>
      <c r="C137" s="595" t="s">
        <v>101</v>
      </c>
      <c r="D137" s="450" t="s">
        <v>45</v>
      </c>
      <c r="E137" s="262">
        <v>7056</v>
      </c>
      <c r="F137" s="263"/>
      <c r="G137" s="642">
        <f>F137+E137</f>
        <v>7056</v>
      </c>
    </row>
    <row r="138" spans="1:7" ht="12.75" customHeight="1">
      <c r="A138" s="23"/>
      <c r="B138" s="40"/>
      <c r="C138" s="50" t="s">
        <v>721</v>
      </c>
      <c r="D138" s="10" t="s">
        <v>65</v>
      </c>
      <c r="E138" s="177">
        <v>800</v>
      </c>
      <c r="F138" s="176"/>
      <c r="G138" s="25">
        <f>F138+E138</f>
        <v>800</v>
      </c>
    </row>
    <row r="139" spans="1:7" ht="12.75" customHeight="1">
      <c r="A139" s="23"/>
      <c r="B139" s="40"/>
      <c r="C139" s="39"/>
      <c r="D139" s="10" t="s">
        <v>66</v>
      </c>
      <c r="E139" s="177"/>
      <c r="F139" s="176"/>
      <c r="G139" s="25"/>
    </row>
    <row r="140" spans="1:7" ht="12.75" customHeight="1">
      <c r="A140" s="23"/>
      <c r="B140" s="40"/>
      <c r="C140" s="39"/>
      <c r="D140" s="10"/>
      <c r="E140" s="177"/>
      <c r="F140" s="176"/>
      <c r="G140" s="25"/>
    </row>
    <row r="141" spans="1:7" ht="12.75" customHeight="1" thickBot="1">
      <c r="A141" s="23"/>
      <c r="B141" s="391" t="s">
        <v>89</v>
      </c>
      <c r="C141" s="397"/>
      <c r="D141" s="191" t="s">
        <v>38</v>
      </c>
      <c r="E141" s="486">
        <f>E142</f>
        <v>69016</v>
      </c>
      <c r="F141" s="502">
        <f>F142</f>
        <v>0</v>
      </c>
      <c r="G141" s="601">
        <f>F141+E141</f>
        <v>69016</v>
      </c>
    </row>
    <row r="142" spans="1:7" ht="12.75" customHeight="1">
      <c r="A142" s="23"/>
      <c r="B142" s="40"/>
      <c r="C142" s="40" t="s">
        <v>264</v>
      </c>
      <c r="D142" s="10" t="s">
        <v>90</v>
      </c>
      <c r="E142" s="177">
        <v>69016</v>
      </c>
      <c r="F142" s="176"/>
      <c r="G142" s="25">
        <f>F142+E142</f>
        <v>69016</v>
      </c>
    </row>
    <row r="143" spans="1:7" ht="12.75" customHeight="1">
      <c r="A143" s="23"/>
      <c r="B143" s="40"/>
      <c r="C143" s="40"/>
      <c r="D143" s="10"/>
      <c r="E143" s="177"/>
      <c r="F143" s="176"/>
      <c r="G143" s="25"/>
    </row>
    <row r="144" spans="1:7" ht="12.75" customHeight="1" thickBot="1">
      <c r="A144" s="46">
        <v>803</v>
      </c>
      <c r="B144" s="47"/>
      <c r="C144" s="47"/>
      <c r="D144" s="105" t="s">
        <v>670</v>
      </c>
      <c r="E144" s="307">
        <f>E145</f>
        <v>144959</v>
      </c>
      <c r="F144" s="265">
        <f>F145</f>
        <v>0</v>
      </c>
      <c r="G144" s="98">
        <f>F144+E144</f>
        <v>144959</v>
      </c>
    </row>
    <row r="145" spans="1:7" ht="12.75" customHeight="1" thickBot="1">
      <c r="A145" s="23"/>
      <c r="B145" s="386" t="s">
        <v>669</v>
      </c>
      <c r="C145" s="396"/>
      <c r="D145" s="394" t="s">
        <v>671</v>
      </c>
      <c r="E145" s="487">
        <f>SUM(E146:E149)</f>
        <v>144959</v>
      </c>
      <c r="F145" s="503">
        <f>SUM(F146:F149)</f>
        <v>0</v>
      </c>
      <c r="G145" s="641">
        <f>F145+E145</f>
        <v>144959</v>
      </c>
    </row>
    <row r="146" spans="1:9" ht="12.75" customHeight="1">
      <c r="A146" s="23"/>
      <c r="B146" s="40"/>
      <c r="C146" s="40" t="s">
        <v>696</v>
      </c>
      <c r="D146" s="10" t="s">
        <v>698</v>
      </c>
      <c r="E146" s="177">
        <v>108719</v>
      </c>
      <c r="F146" s="176"/>
      <c r="G146" s="25">
        <f>F146+E146</f>
        <v>108719</v>
      </c>
      <c r="I146" s="55">
        <f>E146/E145</f>
        <v>0.7499982753744162</v>
      </c>
    </row>
    <row r="147" spans="1:7" ht="12.75" customHeight="1">
      <c r="A147" s="23"/>
      <c r="B147" s="40"/>
      <c r="C147" s="40"/>
      <c r="D147" s="10" t="s">
        <v>699</v>
      </c>
      <c r="E147" s="177"/>
      <c r="F147" s="176"/>
      <c r="G147" s="25"/>
    </row>
    <row r="148" spans="1:7" ht="12.75" customHeight="1">
      <c r="A148" s="23"/>
      <c r="B148" s="40"/>
      <c r="C148" s="40" t="s">
        <v>697</v>
      </c>
      <c r="D148" s="10" t="s">
        <v>698</v>
      </c>
      <c r="E148" s="177">
        <v>36240</v>
      </c>
      <c r="F148" s="176"/>
      <c r="G148" s="25">
        <f>F148+E148</f>
        <v>36240</v>
      </c>
    </row>
    <row r="149" spans="1:7" ht="12.75" customHeight="1">
      <c r="A149" s="23"/>
      <c r="B149" s="40"/>
      <c r="C149" s="40"/>
      <c r="D149" s="10" t="s">
        <v>699</v>
      </c>
      <c r="E149" s="177"/>
      <c r="F149" s="176"/>
      <c r="G149" s="25"/>
    </row>
    <row r="150" spans="1:7" ht="12.75" customHeight="1">
      <c r="A150" s="23"/>
      <c r="B150" s="40"/>
      <c r="C150" s="40"/>
      <c r="D150" s="10"/>
      <c r="E150" s="177"/>
      <c r="F150" s="176"/>
      <c r="G150" s="25"/>
    </row>
    <row r="151" spans="1:7" ht="12.75" customHeight="1" thickBot="1">
      <c r="A151" s="46">
        <v>851</v>
      </c>
      <c r="B151" s="42"/>
      <c r="C151" s="42"/>
      <c r="D151" s="105" t="s">
        <v>18</v>
      </c>
      <c r="E151" s="307">
        <f>E160+E156+E152</f>
        <v>2807550</v>
      </c>
      <c r="F151" s="265">
        <f>F160+F156+F152</f>
        <v>5000</v>
      </c>
      <c r="G151" s="98">
        <f>F151+E151</f>
        <v>2812550</v>
      </c>
    </row>
    <row r="152" spans="1:7" ht="12.75" customHeight="1" thickBot="1">
      <c r="A152" s="43"/>
      <c r="B152" s="48">
        <v>85111</v>
      </c>
      <c r="C152" s="48"/>
      <c r="D152" s="191" t="s">
        <v>734</v>
      </c>
      <c r="E152" s="486">
        <f>E153</f>
        <v>15000</v>
      </c>
      <c r="F152" s="502">
        <f>F153</f>
        <v>5000</v>
      </c>
      <c r="G152" s="601">
        <f>F152+E152</f>
        <v>20000</v>
      </c>
    </row>
    <row r="153" spans="1:7" ht="12.75" customHeight="1">
      <c r="A153" s="43"/>
      <c r="B153" s="44"/>
      <c r="C153" s="611">
        <v>6300</v>
      </c>
      <c r="D153" s="10" t="s">
        <v>742</v>
      </c>
      <c r="E153" s="177">
        <v>15000</v>
      </c>
      <c r="F153" s="176">
        <v>5000</v>
      </c>
      <c r="G153" s="25">
        <f>F153+E153</f>
        <v>20000</v>
      </c>
    </row>
    <row r="154" spans="1:7" ht="12.75" customHeight="1">
      <c r="A154" s="43"/>
      <c r="B154" s="44"/>
      <c r="C154" s="611"/>
      <c r="D154" s="10" t="s">
        <v>743</v>
      </c>
      <c r="E154" s="177"/>
      <c r="F154" s="176"/>
      <c r="G154" s="25"/>
    </row>
    <row r="155" spans="1:7" ht="12.75" customHeight="1">
      <c r="A155" s="43"/>
      <c r="B155" s="13"/>
      <c r="C155" s="44"/>
      <c r="D155" s="104"/>
      <c r="E155" s="471"/>
      <c r="F155" s="357"/>
      <c r="G155" s="189"/>
    </row>
    <row r="156" spans="1:7" ht="12.75" customHeight="1" thickBot="1">
      <c r="A156" s="43"/>
      <c r="B156" s="183">
        <v>85154</v>
      </c>
      <c r="C156" s="42"/>
      <c r="D156" s="191" t="s">
        <v>39</v>
      </c>
      <c r="E156" s="486">
        <f>E157</f>
        <v>13700</v>
      </c>
      <c r="F156" s="502">
        <f>F157</f>
        <v>0</v>
      </c>
      <c r="G156" s="601">
        <f>F156+E156</f>
        <v>13700</v>
      </c>
    </row>
    <row r="157" spans="1:7" ht="12.75" customHeight="1">
      <c r="A157" s="43"/>
      <c r="B157" s="44"/>
      <c r="C157" s="39">
        <v>2330</v>
      </c>
      <c r="D157" s="10" t="s">
        <v>91</v>
      </c>
      <c r="E157" s="177">
        <v>13700</v>
      </c>
      <c r="F157" s="176"/>
      <c r="G157" s="25">
        <f>F157+E157</f>
        <v>13700</v>
      </c>
    </row>
    <row r="158" spans="1:7" ht="12.75" customHeight="1">
      <c r="A158" s="43"/>
      <c r="B158" s="13"/>
      <c r="C158" s="39"/>
      <c r="D158" s="10" t="s">
        <v>92</v>
      </c>
      <c r="E158" s="471"/>
      <c r="F158" s="357"/>
      <c r="G158" s="25"/>
    </row>
    <row r="159" spans="1:7" ht="12.75" customHeight="1">
      <c r="A159" s="43"/>
      <c r="B159" s="44"/>
      <c r="C159" s="39"/>
      <c r="D159" s="389"/>
      <c r="E159" s="471"/>
      <c r="F159" s="357"/>
      <c r="G159" s="25"/>
    </row>
    <row r="160" spans="1:7" ht="12.75" customHeight="1">
      <c r="A160" s="43"/>
      <c r="B160" s="39">
        <v>85156</v>
      </c>
      <c r="C160" s="398"/>
      <c r="D160" s="1" t="s">
        <v>93</v>
      </c>
      <c r="E160" s="177">
        <f>E162</f>
        <v>2778850</v>
      </c>
      <c r="F160" s="176">
        <f>F162</f>
        <v>0</v>
      </c>
      <c r="G160" s="25">
        <f>F160+E160</f>
        <v>2778850</v>
      </c>
    </row>
    <row r="161" spans="1:7" ht="12.75" customHeight="1" thickBot="1">
      <c r="A161" s="43"/>
      <c r="B161" s="183"/>
      <c r="C161" s="399"/>
      <c r="D161" s="191" t="s">
        <v>109</v>
      </c>
      <c r="E161" s="486"/>
      <c r="F161" s="176"/>
      <c r="G161" s="25"/>
    </row>
    <row r="162" spans="1:7" ht="12.75" customHeight="1">
      <c r="A162" s="43"/>
      <c r="B162" s="44"/>
      <c r="C162" s="39">
        <v>2110</v>
      </c>
      <c r="D162" s="10" t="s">
        <v>70</v>
      </c>
      <c r="E162" s="310">
        <v>2778850</v>
      </c>
      <c r="F162" s="263"/>
      <c r="G162" s="642">
        <f>F162+E162</f>
        <v>2778850</v>
      </c>
    </row>
    <row r="163" spans="1:7" ht="12.75" customHeight="1">
      <c r="A163" s="43"/>
      <c r="B163" s="44"/>
      <c r="C163" s="39"/>
      <c r="D163" s="1" t="s">
        <v>79</v>
      </c>
      <c r="E163" s="471"/>
      <c r="F163" s="357"/>
      <c r="G163" s="25"/>
    </row>
    <row r="164" spans="1:7" ht="12.75" customHeight="1">
      <c r="A164" s="43"/>
      <c r="B164" s="44"/>
      <c r="C164" s="39"/>
      <c r="D164" s="10"/>
      <c r="E164" s="177"/>
      <c r="F164" s="176"/>
      <c r="G164" s="25"/>
    </row>
    <row r="165" spans="1:7" ht="12.75" customHeight="1" thickBot="1">
      <c r="A165" s="46">
        <v>852</v>
      </c>
      <c r="B165" s="42"/>
      <c r="C165" s="42"/>
      <c r="D165" s="7" t="s">
        <v>277</v>
      </c>
      <c r="E165" s="307">
        <f>E166+E177+E188+E193+E196+E183+E201</f>
        <v>5202025</v>
      </c>
      <c r="F165" s="265">
        <f>F166+F177+F188+F193+F196+F183+F201</f>
        <v>212485</v>
      </c>
      <c r="G165" s="98">
        <f aca="true" t="shared" si="1" ref="G165:G170">F165+E165</f>
        <v>5414510</v>
      </c>
    </row>
    <row r="166" spans="1:7" ht="12.75" customHeight="1" thickBot="1">
      <c r="A166" s="23"/>
      <c r="B166" s="174">
        <v>85201</v>
      </c>
      <c r="C166" s="174"/>
      <c r="D166" s="191" t="s">
        <v>26</v>
      </c>
      <c r="E166" s="487">
        <f>SUM(E167:E175)</f>
        <v>722662</v>
      </c>
      <c r="F166" s="176">
        <f>SUM(F167:F175)</f>
        <v>-147737</v>
      </c>
      <c r="G166" s="25">
        <f t="shared" si="1"/>
        <v>574925</v>
      </c>
    </row>
    <row r="167" spans="1:7" ht="12.75" customHeight="1">
      <c r="A167" s="23"/>
      <c r="B167" s="39"/>
      <c r="C167" s="40" t="s">
        <v>103</v>
      </c>
      <c r="D167" s="10" t="s">
        <v>41</v>
      </c>
      <c r="E167" s="177">
        <v>2000</v>
      </c>
      <c r="F167" s="263">
        <v>-2000</v>
      </c>
      <c r="G167" s="642">
        <f t="shared" si="1"/>
        <v>0</v>
      </c>
    </row>
    <row r="168" spans="1:7" ht="12.75" customHeight="1">
      <c r="A168" s="23"/>
      <c r="B168" s="39"/>
      <c r="C168" s="40" t="s">
        <v>710</v>
      </c>
      <c r="D168" s="10" t="s">
        <v>714</v>
      </c>
      <c r="E168" s="177">
        <v>800</v>
      </c>
      <c r="F168" s="176">
        <v>300</v>
      </c>
      <c r="G168" s="25">
        <f t="shared" si="1"/>
        <v>1100</v>
      </c>
    </row>
    <row r="169" spans="1:7" ht="12.75" customHeight="1">
      <c r="A169" s="23"/>
      <c r="B169" s="39"/>
      <c r="C169" s="40" t="s">
        <v>270</v>
      </c>
      <c r="D169" s="10" t="s">
        <v>677</v>
      </c>
      <c r="E169" s="177">
        <v>44633</v>
      </c>
      <c r="F169" s="176">
        <f>-4037+8000</f>
        <v>3963</v>
      </c>
      <c r="G169" s="25">
        <f t="shared" si="1"/>
        <v>48596</v>
      </c>
    </row>
    <row r="170" spans="1:7" ht="12.75" customHeight="1">
      <c r="A170" s="23"/>
      <c r="B170" s="39"/>
      <c r="C170" s="40" t="s">
        <v>101</v>
      </c>
      <c r="D170" s="10" t="s">
        <v>45</v>
      </c>
      <c r="E170" s="177">
        <v>43113</v>
      </c>
      <c r="F170" s="176"/>
      <c r="G170" s="25">
        <f t="shared" si="1"/>
        <v>43113</v>
      </c>
    </row>
    <row r="171" spans="1:7" ht="12.75" customHeight="1">
      <c r="A171" s="23"/>
      <c r="B171" s="39"/>
      <c r="C171" s="40" t="s">
        <v>490</v>
      </c>
      <c r="D171" s="308" t="s">
        <v>751</v>
      </c>
      <c r="E171" s="177"/>
      <c r="F171" s="176"/>
      <c r="G171" s="25"/>
    </row>
    <row r="172" spans="1:7" ht="12.75" customHeight="1">
      <c r="A172" s="23"/>
      <c r="B172" s="39"/>
      <c r="C172" s="40"/>
      <c r="D172" s="308" t="s">
        <v>752</v>
      </c>
      <c r="E172" s="177">
        <v>150000</v>
      </c>
      <c r="F172" s="176">
        <v>-150000</v>
      </c>
      <c r="G172" s="25">
        <f>F172+E172</f>
        <v>0</v>
      </c>
    </row>
    <row r="173" spans="1:7" ht="12.75" customHeight="1">
      <c r="A173" s="23"/>
      <c r="B173" s="39"/>
      <c r="C173" s="40" t="s">
        <v>507</v>
      </c>
      <c r="D173" s="9" t="s">
        <v>508</v>
      </c>
      <c r="E173" s="177"/>
      <c r="F173" s="176"/>
      <c r="G173" s="25"/>
    </row>
    <row r="174" spans="1:7" ht="12.75" customHeight="1">
      <c r="A174" s="23"/>
      <c r="B174" s="39"/>
      <c r="C174" s="40"/>
      <c r="D174" s="1" t="s">
        <v>509</v>
      </c>
      <c r="E174" s="177">
        <v>478800</v>
      </c>
      <c r="F174" s="176"/>
      <c r="G174" s="25">
        <f>F174+E174</f>
        <v>478800</v>
      </c>
    </row>
    <row r="175" spans="1:7" ht="12.75" customHeight="1">
      <c r="A175" s="23"/>
      <c r="B175" s="39"/>
      <c r="C175" s="40" t="s">
        <v>756</v>
      </c>
      <c r="D175" s="434" t="s">
        <v>757</v>
      </c>
      <c r="E175" s="177">
        <v>3316</v>
      </c>
      <c r="F175" s="176"/>
      <c r="G175" s="25">
        <f>F175+E175</f>
        <v>3316</v>
      </c>
    </row>
    <row r="176" spans="1:7" ht="12.75" customHeight="1">
      <c r="A176" s="23"/>
      <c r="B176" s="39"/>
      <c r="C176" s="39"/>
      <c r="D176" s="389"/>
      <c r="E176" s="177"/>
      <c r="F176" s="176"/>
      <c r="G176" s="25"/>
    </row>
    <row r="177" spans="1:7" ht="12.75" customHeight="1" thickBot="1">
      <c r="A177" s="23"/>
      <c r="B177" s="183">
        <v>85202</v>
      </c>
      <c r="C177" s="48"/>
      <c r="D177" s="191" t="s">
        <v>27</v>
      </c>
      <c r="E177" s="486">
        <f>SUM(E178:E180)</f>
        <v>4191365</v>
      </c>
      <c r="F177" s="502">
        <f>SUM(F178:F180)</f>
        <v>22962</v>
      </c>
      <c r="G177" s="601">
        <f>F177+E177</f>
        <v>4214327</v>
      </c>
    </row>
    <row r="178" spans="1:9" ht="12.75" customHeight="1">
      <c r="A178" s="23"/>
      <c r="B178" s="39"/>
      <c r="C178" s="40" t="s">
        <v>263</v>
      </c>
      <c r="D178" s="10" t="s">
        <v>40</v>
      </c>
      <c r="E178" s="177">
        <v>1296311</v>
      </c>
      <c r="F178" s="176">
        <f>6700+11872+11000+1500</f>
        <v>31072</v>
      </c>
      <c r="G178" s="25">
        <f>F178+E178</f>
        <v>1327383</v>
      </c>
      <c r="I178" s="55">
        <f>11000+35756-90000</f>
        <v>-43244</v>
      </c>
    </row>
    <row r="179" spans="1:9" ht="12.75" customHeight="1">
      <c r="A179" s="23"/>
      <c r="B179" s="39"/>
      <c r="C179" s="40" t="s">
        <v>101</v>
      </c>
      <c r="D179" s="10" t="s">
        <v>45</v>
      </c>
      <c r="E179" s="177">
        <v>50203</v>
      </c>
      <c r="F179" s="176">
        <v>92</v>
      </c>
      <c r="G179" s="25">
        <f>F179+E179</f>
        <v>50295</v>
      </c>
      <c r="I179" s="55">
        <f>1500-224000-103000</f>
        <v>-325500</v>
      </c>
    </row>
    <row r="180" spans="1:7" ht="12.75" customHeight="1">
      <c r="A180" s="23"/>
      <c r="B180" s="39"/>
      <c r="C180" s="39">
        <v>2130</v>
      </c>
      <c r="D180" s="10" t="s">
        <v>65</v>
      </c>
      <c r="E180" s="177">
        <v>2844851</v>
      </c>
      <c r="F180" s="176">
        <v>-8202</v>
      </c>
      <c r="G180" s="25">
        <f>F180+E180</f>
        <v>2836649</v>
      </c>
    </row>
    <row r="181" spans="1:7" ht="12.75" customHeight="1">
      <c r="A181" s="23"/>
      <c r="B181" s="39"/>
      <c r="C181" s="39"/>
      <c r="D181" s="10" t="s">
        <v>66</v>
      </c>
      <c r="E181" s="5"/>
      <c r="F181" s="1"/>
      <c r="G181" s="25"/>
    </row>
    <row r="182" spans="1:7" ht="12.75" customHeight="1">
      <c r="A182" s="23"/>
      <c r="B182" s="39"/>
      <c r="C182" s="39"/>
      <c r="D182" s="389"/>
      <c r="E182" s="5"/>
      <c r="F182" s="1"/>
      <c r="G182" s="25"/>
    </row>
    <row r="183" spans="1:7" ht="12.75" customHeight="1" thickBot="1">
      <c r="A183" s="23"/>
      <c r="B183" s="183">
        <v>85203</v>
      </c>
      <c r="C183" s="48"/>
      <c r="D183" s="191" t="s">
        <v>506</v>
      </c>
      <c r="E183" s="495">
        <f>SUM(E184:E185)</f>
        <v>184112</v>
      </c>
      <c r="F183" s="136">
        <f>SUM(F184:F185)</f>
        <v>0</v>
      </c>
      <c r="G183" s="25">
        <f>F183+E183</f>
        <v>184112</v>
      </c>
    </row>
    <row r="184" spans="1:7" ht="12.75" customHeight="1">
      <c r="A184" s="23"/>
      <c r="B184" s="39"/>
      <c r="C184" s="40" t="s">
        <v>263</v>
      </c>
      <c r="D184" s="10" t="s">
        <v>40</v>
      </c>
      <c r="E184" s="132">
        <v>4112</v>
      </c>
      <c r="F184" s="547"/>
      <c r="G184" s="642">
        <f>F184+E184</f>
        <v>4112</v>
      </c>
    </row>
    <row r="185" spans="1:7" ht="12.75" customHeight="1">
      <c r="A185" s="23"/>
      <c r="B185" s="39"/>
      <c r="C185" s="39">
        <v>2110</v>
      </c>
      <c r="D185" s="1" t="s">
        <v>70</v>
      </c>
      <c r="E185" s="177">
        <v>180000</v>
      </c>
      <c r="F185" s="176"/>
      <c r="G185" s="25">
        <f>F185+E185</f>
        <v>180000</v>
      </c>
    </row>
    <row r="186" spans="1:7" ht="12.75" customHeight="1">
      <c r="A186" s="23"/>
      <c r="B186" s="39"/>
      <c r="C186" s="39"/>
      <c r="D186" s="1" t="s">
        <v>80</v>
      </c>
      <c r="E186" s="177"/>
      <c r="F186" s="176"/>
      <c r="G186" s="25"/>
    </row>
    <row r="187" spans="1:7" ht="12.75" customHeight="1">
      <c r="A187" s="23"/>
      <c r="B187" s="39"/>
      <c r="C187" s="39"/>
      <c r="D187" s="10"/>
      <c r="E187" s="177"/>
      <c r="F187" s="176"/>
      <c r="G187" s="25"/>
    </row>
    <row r="188" spans="1:7" ht="12.75" customHeight="1" thickBot="1">
      <c r="A188" s="23"/>
      <c r="B188" s="183">
        <v>85204</v>
      </c>
      <c r="C188" s="48"/>
      <c r="D188" s="191" t="s">
        <v>28</v>
      </c>
      <c r="E188" s="486">
        <f>SUM(E189:E190)</f>
        <v>20452</v>
      </c>
      <c r="F188" s="502">
        <f>SUM(F189:F190)</f>
        <v>18635</v>
      </c>
      <c r="G188" s="601">
        <f>F188+E188</f>
        <v>39087</v>
      </c>
    </row>
    <row r="189" spans="1:7" ht="12.75" customHeight="1">
      <c r="A189" s="23"/>
      <c r="B189" s="39"/>
      <c r="C189" s="40" t="s">
        <v>263</v>
      </c>
      <c r="D189" s="10" t="s">
        <v>40</v>
      </c>
      <c r="E189" s="177">
        <v>1000</v>
      </c>
      <c r="F189" s="176">
        <v>-718</v>
      </c>
      <c r="G189" s="25">
        <f>F189+E189</f>
        <v>282</v>
      </c>
    </row>
    <row r="190" spans="1:7" ht="12.75" customHeight="1">
      <c r="A190" s="23"/>
      <c r="B190" s="39"/>
      <c r="C190" s="40" t="s">
        <v>507</v>
      </c>
      <c r="D190" s="9" t="s">
        <v>508</v>
      </c>
      <c r="E190" s="177">
        <v>19452</v>
      </c>
      <c r="F190" s="176">
        <v>19353</v>
      </c>
      <c r="G190" s="25">
        <f>F190+E190</f>
        <v>38805</v>
      </c>
    </row>
    <row r="191" spans="1:7" ht="12.75" customHeight="1">
      <c r="A191" s="23"/>
      <c r="B191" s="39"/>
      <c r="C191" s="40"/>
      <c r="D191" s="1" t="s">
        <v>509</v>
      </c>
      <c r="E191" s="177"/>
      <c r="F191" s="176"/>
      <c r="G191" s="25"/>
    </row>
    <row r="192" spans="1:7" ht="12.75" customHeight="1">
      <c r="A192" s="23"/>
      <c r="B192" s="39"/>
      <c r="C192" s="40"/>
      <c r="D192" s="10"/>
      <c r="E192" s="177"/>
      <c r="F192" s="176"/>
      <c r="G192" s="25"/>
    </row>
    <row r="193" spans="1:7" ht="12.75" customHeight="1" thickBot="1">
      <c r="A193" s="23"/>
      <c r="B193" s="183">
        <v>85218</v>
      </c>
      <c r="C193" s="48"/>
      <c r="D193" s="191" t="s">
        <v>19</v>
      </c>
      <c r="E193" s="486">
        <f>SUM(E194:E194)</f>
        <v>31792</v>
      </c>
      <c r="F193" s="176">
        <f>SUM(F194:F194)</f>
        <v>-9503</v>
      </c>
      <c r="G193" s="25">
        <f>F193+E193</f>
        <v>22289</v>
      </c>
    </row>
    <row r="194" spans="1:7" ht="12.75" customHeight="1">
      <c r="A194" s="23"/>
      <c r="B194" s="39"/>
      <c r="C194" s="40" t="s">
        <v>101</v>
      </c>
      <c r="D194" s="10" t="s">
        <v>45</v>
      </c>
      <c r="E194" s="177">
        <v>31792</v>
      </c>
      <c r="F194" s="263">
        <f>-10557+1054</f>
        <v>-9503</v>
      </c>
      <c r="G194" s="642">
        <f>F194+E194</f>
        <v>22289</v>
      </c>
    </row>
    <row r="195" spans="1:7" ht="12.75" customHeight="1">
      <c r="A195" s="23"/>
      <c r="B195" s="39"/>
      <c r="C195" s="39"/>
      <c r="D195" s="389"/>
      <c r="E195" s="177"/>
      <c r="F195" s="176"/>
      <c r="G195" s="25"/>
    </row>
    <row r="196" spans="1:7" ht="12.75" customHeight="1" thickBot="1">
      <c r="A196" s="23"/>
      <c r="B196" s="183">
        <v>85220</v>
      </c>
      <c r="C196" s="48"/>
      <c r="D196" s="191" t="s">
        <v>274</v>
      </c>
      <c r="E196" s="486">
        <f>E197+E198</f>
        <v>51642</v>
      </c>
      <c r="F196" s="502">
        <f>F197+F198</f>
        <v>-11872</v>
      </c>
      <c r="G196" s="601">
        <f>F196+E196</f>
        <v>39770</v>
      </c>
    </row>
    <row r="197" spans="1:7" ht="12.75" customHeight="1">
      <c r="A197" s="23"/>
      <c r="B197" s="39"/>
      <c r="C197" s="40" t="s">
        <v>263</v>
      </c>
      <c r="D197" s="10" t="s">
        <v>40</v>
      </c>
      <c r="E197" s="177">
        <v>24752</v>
      </c>
      <c r="F197" s="176">
        <v>-11872</v>
      </c>
      <c r="G197" s="25">
        <f>F197+E197</f>
        <v>12880</v>
      </c>
    </row>
    <row r="198" spans="1:7" ht="12.75" customHeight="1">
      <c r="A198" s="23"/>
      <c r="B198" s="39"/>
      <c r="C198" s="39">
        <v>2130</v>
      </c>
      <c r="D198" s="10" t="s">
        <v>65</v>
      </c>
      <c r="E198" s="177">
        <v>26890</v>
      </c>
      <c r="F198" s="176"/>
      <c r="G198" s="25">
        <f>F198+E198</f>
        <v>26890</v>
      </c>
    </row>
    <row r="199" spans="1:7" ht="12.75" customHeight="1">
      <c r="A199" s="23"/>
      <c r="B199" s="39"/>
      <c r="C199" s="39"/>
      <c r="D199" s="10" t="s">
        <v>66</v>
      </c>
      <c r="E199" s="177"/>
      <c r="F199" s="176"/>
      <c r="G199" s="25"/>
    </row>
    <row r="200" spans="1:7" ht="12.75" customHeight="1">
      <c r="A200" s="23"/>
      <c r="B200" s="39"/>
      <c r="C200" s="39"/>
      <c r="D200" s="10"/>
      <c r="E200" s="177"/>
      <c r="F200" s="176"/>
      <c r="G200" s="25"/>
    </row>
    <row r="201" spans="1:7" ht="12.75" customHeight="1" thickBot="1">
      <c r="A201" s="23"/>
      <c r="B201" s="183">
        <v>85295</v>
      </c>
      <c r="C201" s="48"/>
      <c r="D201" s="191" t="s">
        <v>25</v>
      </c>
      <c r="E201" s="486">
        <f>E203</f>
        <v>0</v>
      </c>
      <c r="F201" s="502">
        <f>F203</f>
        <v>340000</v>
      </c>
      <c r="G201" s="601">
        <f>F201+E201</f>
        <v>340000</v>
      </c>
    </row>
    <row r="202" spans="1:7" ht="12.75" customHeight="1">
      <c r="A202" s="23"/>
      <c r="B202" s="39"/>
      <c r="C202" s="39">
        <v>2120</v>
      </c>
      <c r="D202" s="308" t="s">
        <v>751</v>
      </c>
      <c r="E202" s="177"/>
      <c r="F202" s="176"/>
      <c r="G202" s="25"/>
    </row>
    <row r="203" spans="1:7" ht="12.75" customHeight="1">
      <c r="A203" s="23"/>
      <c r="B203" s="39"/>
      <c r="C203" s="39"/>
      <c r="D203" s="308" t="s">
        <v>752</v>
      </c>
      <c r="E203" s="177">
        <v>0</v>
      </c>
      <c r="F203" s="176">
        <v>340000</v>
      </c>
      <c r="G203" s="25">
        <f>F203+E203</f>
        <v>340000</v>
      </c>
    </row>
    <row r="204" spans="1:7" ht="12.75" customHeight="1">
      <c r="A204" s="23"/>
      <c r="B204" s="39"/>
      <c r="C204" s="39"/>
      <c r="D204" s="389"/>
      <c r="E204" s="177"/>
      <c r="F204" s="176"/>
      <c r="G204" s="25"/>
    </row>
    <row r="205" spans="1:7" ht="12.75" customHeight="1" thickBot="1">
      <c r="A205" s="46">
        <v>853</v>
      </c>
      <c r="B205" s="42"/>
      <c r="C205" s="42"/>
      <c r="D205" s="105" t="s">
        <v>273</v>
      </c>
      <c r="E205" s="496">
        <f>E206+E210+E213+E218</f>
        <v>862658</v>
      </c>
      <c r="F205" s="499">
        <f>F206+F210+F213+F218</f>
        <v>-76098</v>
      </c>
      <c r="G205" s="189">
        <f>F205+E205</f>
        <v>786560</v>
      </c>
    </row>
    <row r="206" spans="1:7" ht="12.75" customHeight="1" thickBot="1">
      <c r="A206" s="23"/>
      <c r="B206" s="48">
        <v>85321</v>
      </c>
      <c r="C206" s="48"/>
      <c r="D206" s="191" t="s">
        <v>94</v>
      </c>
      <c r="E206" s="486">
        <f>E207</f>
        <v>218000</v>
      </c>
      <c r="F206" s="503">
        <f>F207</f>
        <v>0</v>
      </c>
      <c r="G206" s="641">
        <f>F206+E206</f>
        <v>218000</v>
      </c>
    </row>
    <row r="207" spans="1:7" ht="12.75" customHeight="1">
      <c r="A207" s="23"/>
      <c r="B207" s="39"/>
      <c r="C207" s="39">
        <v>2110</v>
      </c>
      <c r="D207" s="10" t="s">
        <v>70</v>
      </c>
      <c r="E207" s="177">
        <v>218000</v>
      </c>
      <c r="F207" s="176"/>
      <c r="G207" s="25">
        <f>F207+E207</f>
        <v>218000</v>
      </c>
    </row>
    <row r="208" spans="1:7" ht="12.75" customHeight="1">
      <c r="A208" s="23"/>
      <c r="B208" s="39"/>
      <c r="C208" s="39"/>
      <c r="D208" s="1" t="s">
        <v>79</v>
      </c>
      <c r="E208" s="177"/>
      <c r="F208" s="176"/>
      <c r="G208" s="25"/>
    </row>
    <row r="209" spans="1:7" ht="12.75" customHeight="1">
      <c r="A209" s="23"/>
      <c r="B209" s="39"/>
      <c r="C209" s="39"/>
      <c r="D209" s="389"/>
      <c r="E209" s="177"/>
      <c r="F209" s="176"/>
      <c r="G209" s="25"/>
    </row>
    <row r="210" spans="1:7" ht="12.75" customHeight="1" thickBot="1">
      <c r="A210" s="23"/>
      <c r="B210" s="48">
        <v>85324</v>
      </c>
      <c r="C210" s="48"/>
      <c r="D210" s="191" t="s">
        <v>110</v>
      </c>
      <c r="E210" s="486">
        <f>SUM(E211:E211)</f>
        <v>36225</v>
      </c>
      <c r="F210" s="176">
        <f>SUM(F211:F211)</f>
        <v>15102</v>
      </c>
      <c r="G210" s="25">
        <f>F210+E210</f>
        <v>51327</v>
      </c>
    </row>
    <row r="211" spans="1:7" ht="12.75" customHeight="1">
      <c r="A211" s="23"/>
      <c r="B211" s="39"/>
      <c r="C211" s="40" t="s">
        <v>101</v>
      </c>
      <c r="D211" s="10" t="s">
        <v>45</v>
      </c>
      <c r="E211" s="177">
        <v>36225</v>
      </c>
      <c r="F211" s="263">
        <v>15102</v>
      </c>
      <c r="G211" s="642">
        <f>F211+E211</f>
        <v>51327</v>
      </c>
    </row>
    <row r="212" spans="1:7" ht="12.75" customHeight="1">
      <c r="A212" s="23"/>
      <c r="B212" s="39"/>
      <c r="C212" s="40"/>
      <c r="D212" s="389"/>
      <c r="E212" s="177"/>
      <c r="F212" s="176"/>
      <c r="G212" s="25"/>
    </row>
    <row r="213" spans="1:7" ht="12.75" customHeight="1" thickBot="1">
      <c r="A213" s="23"/>
      <c r="B213" s="48">
        <v>85333</v>
      </c>
      <c r="C213" s="48"/>
      <c r="D213" s="191" t="s">
        <v>20</v>
      </c>
      <c r="E213" s="486">
        <f>SUM(E214:E216)</f>
        <v>343433</v>
      </c>
      <c r="F213" s="502">
        <f>SUM(F214:F216)</f>
        <v>98800</v>
      </c>
      <c r="G213" s="601">
        <f>F213+E213</f>
        <v>442233</v>
      </c>
    </row>
    <row r="214" spans="1:7" ht="12.75" customHeight="1">
      <c r="A214" s="23"/>
      <c r="B214" s="39"/>
      <c r="C214" s="40" t="s">
        <v>263</v>
      </c>
      <c r="D214" s="10" t="s">
        <v>40</v>
      </c>
      <c r="E214" s="177">
        <v>74933</v>
      </c>
      <c r="F214" s="176">
        <v>-19000</v>
      </c>
      <c r="G214" s="25">
        <f>F214+E214</f>
        <v>55933</v>
      </c>
    </row>
    <row r="215" spans="1:7" ht="12.75" customHeight="1">
      <c r="A215" s="23"/>
      <c r="B215" s="39"/>
      <c r="C215" s="40" t="s">
        <v>270</v>
      </c>
      <c r="D215" s="10" t="s">
        <v>677</v>
      </c>
      <c r="E215" s="177">
        <v>2000</v>
      </c>
      <c r="F215" s="176"/>
      <c r="G215" s="25">
        <f>F215+E215</f>
        <v>2000</v>
      </c>
    </row>
    <row r="216" spans="1:7" ht="12.75" customHeight="1">
      <c r="A216" s="23"/>
      <c r="B216" s="39"/>
      <c r="C216" s="40" t="s">
        <v>101</v>
      </c>
      <c r="D216" s="1" t="s">
        <v>45</v>
      </c>
      <c r="E216" s="177">
        <v>266500</v>
      </c>
      <c r="F216" s="176">
        <f>19000+98800</f>
        <v>117800</v>
      </c>
      <c r="G216" s="25">
        <f>F216+E216</f>
        <v>384300</v>
      </c>
    </row>
    <row r="217" spans="1:7" ht="12.75" customHeight="1">
      <c r="A217" s="23"/>
      <c r="B217" s="8"/>
      <c r="C217" s="40"/>
      <c r="D217" s="1"/>
      <c r="E217" s="177"/>
      <c r="F217" s="176"/>
      <c r="G217" s="25"/>
    </row>
    <row r="218" spans="1:7" ht="12.75" customHeight="1" thickBot="1">
      <c r="A218" s="23"/>
      <c r="B218" s="183">
        <v>85395</v>
      </c>
      <c r="C218" s="391"/>
      <c r="D218" s="137" t="s">
        <v>658</v>
      </c>
      <c r="E218" s="486">
        <f>E221+E219</f>
        <v>265000</v>
      </c>
      <c r="F218" s="502">
        <f>F221+F219</f>
        <v>-190000</v>
      </c>
      <c r="G218" s="601">
        <f>F218+E218</f>
        <v>75000</v>
      </c>
    </row>
    <row r="219" spans="1:7" ht="12.75" customHeight="1">
      <c r="A219" s="23"/>
      <c r="B219" s="39"/>
      <c r="C219" s="40" t="s">
        <v>490</v>
      </c>
      <c r="D219" s="308" t="s">
        <v>751</v>
      </c>
      <c r="E219" s="177">
        <v>190000</v>
      </c>
      <c r="F219" s="176">
        <v>-190000</v>
      </c>
      <c r="G219" s="25">
        <f>F219+E219</f>
        <v>0</v>
      </c>
    </row>
    <row r="220" spans="1:7" ht="12.75" customHeight="1">
      <c r="A220" s="23"/>
      <c r="B220" s="39"/>
      <c r="C220" s="40"/>
      <c r="D220" s="308" t="s">
        <v>752</v>
      </c>
      <c r="E220" s="177"/>
      <c r="F220" s="176"/>
      <c r="G220" s="25"/>
    </row>
    <row r="221" spans="1:7" ht="12.75" customHeight="1">
      <c r="A221" s="23"/>
      <c r="B221" s="39"/>
      <c r="C221" s="40" t="s">
        <v>507</v>
      </c>
      <c r="D221" s="9" t="s">
        <v>508</v>
      </c>
      <c r="E221" s="177">
        <v>75000</v>
      </c>
      <c r="F221" s="176"/>
      <c r="G221" s="25">
        <f>F221+E221</f>
        <v>75000</v>
      </c>
    </row>
    <row r="222" spans="1:7" ht="12.75" customHeight="1">
      <c r="A222" s="23"/>
      <c r="B222" s="39"/>
      <c r="C222" s="40"/>
      <c r="D222" s="1" t="s">
        <v>509</v>
      </c>
      <c r="E222" s="177"/>
      <c r="F222" s="176"/>
      <c r="G222" s="25"/>
    </row>
    <row r="223" spans="1:7" ht="12.75" customHeight="1">
      <c r="A223" s="23"/>
      <c r="B223" s="39"/>
      <c r="C223" s="40"/>
      <c r="D223" s="1"/>
      <c r="E223" s="177"/>
      <c r="F223" s="176"/>
      <c r="G223" s="25"/>
    </row>
    <row r="224" spans="1:7" ht="12.75" customHeight="1" thickBot="1">
      <c r="A224" s="12">
        <v>854</v>
      </c>
      <c r="B224" s="49"/>
      <c r="C224" s="49"/>
      <c r="D224" s="7" t="s">
        <v>29</v>
      </c>
      <c r="E224" s="496">
        <f>E228+E231+E238+E225</f>
        <v>1067858</v>
      </c>
      <c r="F224" s="129">
        <f>F228+F231+F238+F225</f>
        <v>8000</v>
      </c>
      <c r="G224" s="65">
        <f>F224+E224</f>
        <v>1075858</v>
      </c>
    </row>
    <row r="225" spans="1:7" ht="12.75" customHeight="1" thickBot="1">
      <c r="A225" s="11"/>
      <c r="B225" s="183">
        <v>85406</v>
      </c>
      <c r="C225" s="183"/>
      <c r="D225" s="242" t="s">
        <v>722</v>
      </c>
      <c r="E225" s="495">
        <f>E226</f>
        <v>637</v>
      </c>
      <c r="F225" s="138">
        <f>F226</f>
        <v>0</v>
      </c>
      <c r="G225" s="102">
        <f>F225+E225</f>
        <v>637</v>
      </c>
    </row>
    <row r="226" spans="1:7" ht="12.75" customHeight="1">
      <c r="A226" s="11"/>
      <c r="B226" s="193"/>
      <c r="C226" s="595" t="s">
        <v>101</v>
      </c>
      <c r="D226" s="1" t="s">
        <v>45</v>
      </c>
      <c r="E226" s="597">
        <v>637</v>
      </c>
      <c r="F226" s="547"/>
      <c r="G226" s="25">
        <f>F226+E226</f>
        <v>637</v>
      </c>
    </row>
    <row r="227" spans="1:7" ht="12.75" customHeight="1">
      <c r="A227" s="11"/>
      <c r="B227" s="13"/>
      <c r="C227" s="13"/>
      <c r="D227" s="173"/>
      <c r="E227" s="598"/>
      <c r="F227" s="499"/>
      <c r="G227" s="189"/>
    </row>
    <row r="228" spans="1:7" ht="12.75" customHeight="1" thickBot="1">
      <c r="A228" s="11"/>
      <c r="B228" s="183">
        <v>85410</v>
      </c>
      <c r="C228" s="183"/>
      <c r="D228" s="137" t="s">
        <v>95</v>
      </c>
      <c r="E228" s="486">
        <f>E229</f>
        <v>84900</v>
      </c>
      <c r="F228" s="502">
        <f>F229</f>
        <v>8000</v>
      </c>
      <c r="G228" s="601">
        <f>F228+E228</f>
        <v>92900</v>
      </c>
    </row>
    <row r="229" spans="1:7" ht="12.75" customHeight="1">
      <c r="A229" s="11"/>
      <c r="B229" s="13"/>
      <c r="C229" s="50" t="s">
        <v>263</v>
      </c>
      <c r="D229" s="1" t="s">
        <v>40</v>
      </c>
      <c r="E229" s="177">
        <v>84900</v>
      </c>
      <c r="F229" s="176">
        <f>8000</f>
        <v>8000</v>
      </c>
      <c r="G229" s="25">
        <f>F229+E229</f>
        <v>92900</v>
      </c>
    </row>
    <row r="230" spans="1:7" ht="12.75" customHeight="1">
      <c r="A230" s="11"/>
      <c r="B230" s="13"/>
      <c r="C230" s="8"/>
      <c r="D230" s="1"/>
      <c r="E230" s="177"/>
      <c r="F230" s="176"/>
      <c r="G230" s="25"/>
    </row>
    <row r="231" spans="1:7" ht="12.75" customHeight="1" thickBot="1">
      <c r="A231" s="11"/>
      <c r="B231" s="183">
        <v>85415</v>
      </c>
      <c r="C231" s="48"/>
      <c r="D231" s="191" t="s">
        <v>43</v>
      </c>
      <c r="E231" s="486">
        <f>SUM(E232:E236)</f>
        <v>803478</v>
      </c>
      <c r="F231" s="502">
        <f>SUM(F232:F236)</f>
        <v>0</v>
      </c>
      <c r="G231" s="102">
        <f>F231+E231</f>
        <v>803478</v>
      </c>
    </row>
    <row r="232" spans="1:9" ht="12.75" customHeight="1">
      <c r="A232" s="11"/>
      <c r="B232" s="8"/>
      <c r="C232" s="40" t="s">
        <v>696</v>
      </c>
      <c r="D232" s="10" t="s">
        <v>698</v>
      </c>
      <c r="E232" s="177">
        <v>343451</v>
      </c>
      <c r="F232" s="176"/>
      <c r="G232" s="25">
        <f>F232+E232</f>
        <v>343451</v>
      </c>
      <c r="I232" s="55">
        <v>197241</v>
      </c>
    </row>
    <row r="233" spans="1:7" ht="12.75" customHeight="1">
      <c r="A233" s="11"/>
      <c r="B233" s="8"/>
      <c r="C233" s="40"/>
      <c r="D233" s="10" t="s">
        <v>699</v>
      </c>
      <c r="E233" s="177"/>
      <c r="F233" s="176"/>
      <c r="G233" s="25"/>
    </row>
    <row r="234" spans="1:7" ht="12.75" customHeight="1">
      <c r="A234" s="11"/>
      <c r="B234" s="8"/>
      <c r="C234" s="40" t="s">
        <v>697</v>
      </c>
      <c r="D234" s="10" t="s">
        <v>698</v>
      </c>
      <c r="E234" s="177">
        <v>161624</v>
      </c>
      <c r="F234" s="176"/>
      <c r="G234" s="25">
        <f>F234+E234</f>
        <v>161624</v>
      </c>
    </row>
    <row r="235" spans="1:7" ht="12.75" customHeight="1">
      <c r="A235" s="11"/>
      <c r="B235" s="8"/>
      <c r="C235" s="40"/>
      <c r="D235" s="10" t="s">
        <v>699</v>
      </c>
      <c r="E235" s="177"/>
      <c r="F235" s="176"/>
      <c r="G235" s="68"/>
    </row>
    <row r="236" spans="1:7" ht="12.75" customHeight="1">
      <c r="A236" s="11"/>
      <c r="B236" s="13"/>
      <c r="C236" s="39">
        <v>2700</v>
      </c>
      <c r="D236" s="10" t="s">
        <v>111</v>
      </c>
      <c r="E236" s="177">
        <v>298403</v>
      </c>
      <c r="F236" s="176"/>
      <c r="G236" s="25">
        <f>F236+E236</f>
        <v>298403</v>
      </c>
    </row>
    <row r="237" spans="1:7" ht="12.75" customHeight="1">
      <c r="A237" s="11"/>
      <c r="B237" s="13"/>
      <c r="C237" s="39"/>
      <c r="D237" s="389"/>
      <c r="E237" s="177"/>
      <c r="F237" s="176"/>
      <c r="G237" s="25"/>
    </row>
    <row r="238" spans="1:7" ht="12.75" customHeight="1" thickBot="1">
      <c r="A238" s="11"/>
      <c r="B238" s="183">
        <v>85420</v>
      </c>
      <c r="C238" s="48"/>
      <c r="D238" s="191" t="s">
        <v>477</v>
      </c>
      <c r="E238" s="486">
        <f>SUM(E239:E241)</f>
        <v>178843</v>
      </c>
      <c r="F238" s="502">
        <f>SUM(F239:F241)</f>
        <v>0</v>
      </c>
      <c r="G238" s="601">
        <f>F238+E238</f>
        <v>178843</v>
      </c>
    </row>
    <row r="239" spans="1:7" ht="12.75" customHeight="1">
      <c r="A239" s="11"/>
      <c r="B239" s="13"/>
      <c r="C239" s="40" t="s">
        <v>263</v>
      </c>
      <c r="D239" s="10" t="s">
        <v>40</v>
      </c>
      <c r="E239" s="177">
        <v>55163</v>
      </c>
      <c r="F239" s="176"/>
      <c r="G239" s="25">
        <f>F239+E239</f>
        <v>55163</v>
      </c>
    </row>
    <row r="240" spans="1:7" ht="12.75" customHeight="1">
      <c r="A240" s="11"/>
      <c r="B240" s="13"/>
      <c r="C240" s="40" t="s">
        <v>270</v>
      </c>
      <c r="D240" s="10" t="s">
        <v>677</v>
      </c>
      <c r="E240" s="177">
        <v>10000</v>
      </c>
      <c r="F240" s="176"/>
      <c r="G240" s="25">
        <f>F240+E240</f>
        <v>10000</v>
      </c>
    </row>
    <row r="241" spans="1:7" ht="12.75" customHeight="1">
      <c r="A241" s="11"/>
      <c r="B241" s="13"/>
      <c r="C241" s="40" t="s">
        <v>101</v>
      </c>
      <c r="D241" s="10" t="s">
        <v>45</v>
      </c>
      <c r="E241" s="177">
        <v>113680</v>
      </c>
      <c r="F241" s="176"/>
      <c r="G241" s="25">
        <f>F241+E241</f>
        <v>113680</v>
      </c>
    </row>
    <row r="242" spans="1:7" ht="12.75" customHeight="1">
      <c r="A242" s="11"/>
      <c r="B242" s="13"/>
      <c r="C242" s="40"/>
      <c r="D242" s="10"/>
      <c r="E242" s="177"/>
      <c r="F242" s="176"/>
      <c r="G242" s="25"/>
    </row>
    <row r="243" spans="1:7" ht="12.75" customHeight="1" thickBot="1">
      <c r="A243" s="46">
        <v>926</v>
      </c>
      <c r="B243" s="42"/>
      <c r="C243" s="42"/>
      <c r="D243" s="53" t="s">
        <v>260</v>
      </c>
      <c r="E243" s="307">
        <f>E244</f>
        <v>3375</v>
      </c>
      <c r="F243" s="265">
        <f>F244</f>
        <v>0</v>
      </c>
      <c r="G243" s="98">
        <f>F243+E243</f>
        <v>3375</v>
      </c>
    </row>
    <row r="244" spans="1:7" ht="12.75" customHeight="1" thickBot="1">
      <c r="A244" s="23"/>
      <c r="B244" s="183">
        <v>92605</v>
      </c>
      <c r="C244" s="48"/>
      <c r="D244" s="54" t="s">
        <v>261</v>
      </c>
      <c r="E244" s="486">
        <f>E246+E245</f>
        <v>3375</v>
      </c>
      <c r="F244" s="502">
        <f>F246+F245</f>
        <v>0</v>
      </c>
      <c r="G244" s="601">
        <f>F244+E244</f>
        <v>3375</v>
      </c>
    </row>
    <row r="245" spans="1:7" ht="12.75" customHeight="1">
      <c r="A245" s="195"/>
      <c r="B245" s="8"/>
      <c r="C245" s="50" t="s">
        <v>263</v>
      </c>
      <c r="D245" s="1" t="s">
        <v>40</v>
      </c>
      <c r="E245" s="177">
        <v>3000</v>
      </c>
      <c r="F245" s="176"/>
      <c r="G245" s="25">
        <f>F245+E245</f>
        <v>3000</v>
      </c>
    </row>
    <row r="246" spans="1:7" ht="12.75" customHeight="1">
      <c r="A246" s="11"/>
      <c r="B246" s="13"/>
      <c r="C246" s="40" t="s">
        <v>101</v>
      </c>
      <c r="D246" s="1" t="s">
        <v>45</v>
      </c>
      <c r="E246" s="177">
        <v>375</v>
      </c>
      <c r="F246" s="176"/>
      <c r="G246" s="25">
        <f>F246+E246</f>
        <v>375</v>
      </c>
    </row>
    <row r="247" spans="1:7" ht="12.75" customHeight="1" thickBot="1">
      <c r="A247" s="254"/>
      <c r="B247" s="137"/>
      <c r="C247" s="183"/>
      <c r="D247" s="137"/>
      <c r="E247" s="486"/>
      <c r="F247" s="502"/>
      <c r="G247" s="601"/>
    </row>
    <row r="248" spans="1:7" ht="13.5" thickBot="1">
      <c r="A248" s="728" t="s">
        <v>106</v>
      </c>
      <c r="B248" s="729"/>
      <c r="C248" s="729"/>
      <c r="D248" s="730"/>
      <c r="E248" s="644">
        <f>E224+E205+E165+E151+E112+E95+E89+E62+E48+E32+E25+E21+E12+E84+E144+E243+E80</f>
        <v>34534054</v>
      </c>
      <c r="F248" s="644">
        <f>F224+F205+F165+F151+F112+F95+F89+F62+F48+F32+F25+F21+F12+F84+F144+F243+F80</f>
        <v>-947584</v>
      </c>
      <c r="G248" s="363">
        <f aca="true" t="shared" si="2" ref="G248:G253">F248+E248</f>
        <v>33586470</v>
      </c>
    </row>
    <row r="249" spans="1:7" ht="12.75">
      <c r="A249" s="55"/>
      <c r="D249" s="401" t="s">
        <v>107</v>
      </c>
      <c r="E249" s="497">
        <f>SUM(E250:E252)</f>
        <v>8182608</v>
      </c>
      <c r="F249" s="622">
        <f>SUM(F250:F252)</f>
        <v>11151</v>
      </c>
      <c r="G249" s="490">
        <f t="shared" si="2"/>
        <v>8193759</v>
      </c>
    </row>
    <row r="250" spans="1:10" ht="12.75">
      <c r="A250" s="55"/>
      <c r="D250" s="402" t="s">
        <v>465</v>
      </c>
      <c r="E250" s="501">
        <f>E180+E138+E198</f>
        <v>2872541</v>
      </c>
      <c r="F250" s="136">
        <f>F180+F138+F198</f>
        <v>-8202</v>
      </c>
      <c r="G250" s="25">
        <f t="shared" si="2"/>
        <v>2864339</v>
      </c>
      <c r="J250" s="289"/>
    </row>
    <row r="251" spans="1:9" ht="12.75">
      <c r="A251" s="55"/>
      <c r="D251" s="402" t="s">
        <v>108</v>
      </c>
      <c r="E251" s="498">
        <f>E185+E162+E77+E64+E60+E58+E54+E50+E42+E14+E207+E86</f>
        <v>3705081</v>
      </c>
      <c r="F251" s="482">
        <f>F185+F162+F77+F64+F60+F58+F54+F50+F42+F14+F207+F86</f>
        <v>0</v>
      </c>
      <c r="G251" s="25">
        <f t="shared" si="2"/>
        <v>3705081</v>
      </c>
      <c r="I251" s="289"/>
    </row>
    <row r="252" spans="1:7" ht="12.75">
      <c r="A252" s="55"/>
      <c r="D252" s="403" t="s">
        <v>659</v>
      </c>
      <c r="E252" s="135">
        <f>E190+E157+E18+E221+E174+E234+E232+E146+E148+E130+E120+E219+E172+E118+E203</f>
        <v>1604986</v>
      </c>
      <c r="F252" s="135">
        <f>F190+F157+F18+F221+F174+F234+F232+F146+F148+F130+F120+F219+F172+F118+F203</f>
        <v>19353</v>
      </c>
      <c r="G252" s="67">
        <f t="shared" si="2"/>
        <v>1624339</v>
      </c>
    </row>
    <row r="253" spans="1:7" ht="26.25" thickBot="1">
      <c r="A253" s="55"/>
      <c r="D253" s="404" t="s">
        <v>746</v>
      </c>
      <c r="E253" s="515">
        <f>E236+E131+E153</f>
        <v>336051</v>
      </c>
      <c r="F253" s="515">
        <f>F236+F131+F153</f>
        <v>18691</v>
      </c>
      <c r="G253" s="601">
        <f t="shared" si="2"/>
        <v>354742</v>
      </c>
    </row>
    <row r="254" spans="1:9" ht="12.75">
      <c r="A254" s="55"/>
      <c r="I254" s="289">
        <f>SUM(G252:G253)</f>
        <v>1979081</v>
      </c>
    </row>
    <row r="255" ht="12.75">
      <c r="A255" s="55"/>
    </row>
    <row r="256" ht="12.75">
      <c r="A256" s="55"/>
    </row>
    <row r="257" spans="1:5" ht="12.75">
      <c r="A257" s="55"/>
      <c r="E257" s="289"/>
    </row>
    <row r="258" ht="12.75">
      <c r="A258" s="55"/>
    </row>
    <row r="259" spans="1:5" ht="12.75">
      <c r="A259" s="55"/>
      <c r="E259" s="55">
        <v>31274520</v>
      </c>
    </row>
    <row r="260" ht="12.75">
      <c r="A260" s="55"/>
    </row>
    <row r="261" ht="12.75">
      <c r="A261" s="55"/>
    </row>
    <row r="262" ht="12.75">
      <c r="A262" s="55"/>
    </row>
    <row r="263" ht="12.75">
      <c r="A263" s="55"/>
    </row>
    <row r="264" ht="12.75">
      <c r="A264" s="55"/>
    </row>
    <row r="265" ht="12.75">
      <c r="A265" s="55"/>
    </row>
    <row r="266" ht="12.75">
      <c r="A266" s="55"/>
    </row>
    <row r="267" ht="12.75">
      <c r="A267" s="55"/>
    </row>
    <row r="268" ht="12.75">
      <c r="A268" s="55"/>
    </row>
    <row r="269" ht="12.75">
      <c r="A269" s="55"/>
    </row>
    <row r="270" ht="12.75">
      <c r="A270" s="55"/>
    </row>
    <row r="271" ht="12.75">
      <c r="A271" s="55"/>
    </row>
    <row r="272" ht="12.75">
      <c r="A272" s="55"/>
    </row>
    <row r="273" ht="12.75">
      <c r="A273" s="55"/>
    </row>
    <row r="274" ht="12.75">
      <c r="A274" s="55"/>
    </row>
    <row r="275" ht="12.75">
      <c r="A275" s="55"/>
    </row>
    <row r="276" ht="12.75">
      <c r="A276" s="55"/>
    </row>
    <row r="277" ht="12.75">
      <c r="A277" s="55"/>
    </row>
    <row r="278" ht="12.75">
      <c r="A278" s="55"/>
    </row>
    <row r="279" ht="12.75">
      <c r="A279" s="55"/>
    </row>
    <row r="280" ht="12.75">
      <c r="A280" s="55"/>
    </row>
    <row r="281" ht="12.75">
      <c r="A281" s="55"/>
    </row>
    <row r="282" ht="12.75">
      <c r="A282" s="55"/>
    </row>
    <row r="283" ht="12.75">
      <c r="A283" s="55"/>
    </row>
    <row r="284" ht="12.75">
      <c r="A284" s="55"/>
    </row>
    <row r="285" ht="12.75">
      <c r="A285" s="55"/>
    </row>
    <row r="286" ht="12.75">
      <c r="A286" s="55"/>
    </row>
    <row r="287" ht="12.75">
      <c r="A287" s="55"/>
    </row>
    <row r="288" ht="12.75">
      <c r="A288" s="55"/>
    </row>
    <row r="289" ht="12.75">
      <c r="A289" s="55"/>
    </row>
    <row r="290" ht="12.75">
      <c r="A290" s="55"/>
    </row>
    <row r="291" ht="12.75">
      <c r="A291" s="55"/>
    </row>
    <row r="292" ht="12.75">
      <c r="A292" s="55"/>
    </row>
    <row r="293" ht="12.75">
      <c r="A293" s="55"/>
    </row>
    <row r="294" ht="12.75">
      <c r="A294" s="55"/>
    </row>
    <row r="295" ht="12.75">
      <c r="A295" s="55"/>
    </row>
    <row r="296" ht="12.75">
      <c r="A296" s="55"/>
    </row>
    <row r="297" ht="12.75">
      <c r="A297" s="55"/>
    </row>
    <row r="298" ht="12.75">
      <c r="A298" s="55"/>
    </row>
    <row r="299" ht="12.75">
      <c r="A299" s="55"/>
    </row>
    <row r="300" ht="12.75">
      <c r="A300" s="55"/>
    </row>
    <row r="301" ht="12.75">
      <c r="A301" s="55"/>
    </row>
    <row r="302" ht="12.75">
      <c r="A302" s="55"/>
    </row>
    <row r="303" ht="12.75">
      <c r="A303" s="55"/>
    </row>
    <row r="304" ht="12.75">
      <c r="A304" s="55"/>
    </row>
    <row r="305" ht="12.75">
      <c r="A305" s="55"/>
    </row>
    <row r="306" ht="12.75">
      <c r="A306" s="55"/>
    </row>
    <row r="307" ht="12.75">
      <c r="A307" s="55"/>
    </row>
    <row r="308" ht="12.75">
      <c r="A308" s="55"/>
    </row>
    <row r="309" ht="12.75">
      <c r="A309" s="55"/>
    </row>
    <row r="310" ht="12.75">
      <c r="A310" s="55"/>
    </row>
    <row r="311" ht="12.75">
      <c r="A311" s="55"/>
    </row>
    <row r="312" ht="12.75">
      <c r="A312" s="55"/>
    </row>
    <row r="313" ht="12.75">
      <c r="A313" s="55"/>
    </row>
    <row r="314" ht="12.75">
      <c r="A314" s="55"/>
    </row>
    <row r="315" ht="12.75">
      <c r="A315" s="55"/>
    </row>
    <row r="316" ht="12.75">
      <c r="A316" s="55"/>
    </row>
    <row r="317" ht="12.75">
      <c r="A317" s="55"/>
    </row>
    <row r="318" ht="12.75">
      <c r="A318" s="55"/>
    </row>
    <row r="319" ht="12.75">
      <c r="A319" s="55"/>
    </row>
    <row r="320" ht="12.75">
      <c r="A320" s="55"/>
    </row>
    <row r="321" ht="12.75">
      <c r="A321" s="55"/>
    </row>
    <row r="322" ht="12.75">
      <c r="A322" s="55"/>
    </row>
    <row r="323" ht="12.75">
      <c r="A323" s="55"/>
    </row>
    <row r="324" ht="12.75">
      <c r="A324" s="55"/>
    </row>
    <row r="325" ht="12.75">
      <c r="A325" s="55"/>
    </row>
    <row r="326" ht="12.75">
      <c r="A326" s="55"/>
    </row>
    <row r="327" ht="12.75">
      <c r="A327" s="55"/>
    </row>
    <row r="328" ht="12.75">
      <c r="A328" s="55"/>
    </row>
    <row r="329" ht="12.75">
      <c r="A329" s="55"/>
    </row>
    <row r="330" ht="12.75">
      <c r="A330" s="55"/>
    </row>
    <row r="331" ht="12.75">
      <c r="A331" s="55"/>
    </row>
    <row r="332" ht="12.75">
      <c r="A332" s="55"/>
    </row>
    <row r="333" ht="12.75">
      <c r="A333" s="55"/>
    </row>
    <row r="334" ht="12.75">
      <c r="A334" s="55"/>
    </row>
    <row r="335" ht="12.75">
      <c r="A335" s="55"/>
    </row>
    <row r="336" ht="12.75">
      <c r="A336" s="55"/>
    </row>
    <row r="337" ht="12.75">
      <c r="A337" s="55"/>
    </row>
    <row r="338" ht="12.75">
      <c r="A338" s="55"/>
    </row>
    <row r="339" ht="12.75">
      <c r="A339" s="55"/>
    </row>
    <row r="340" ht="12.75">
      <c r="A340" s="55"/>
    </row>
    <row r="341" ht="12.75">
      <c r="A341" s="55"/>
    </row>
    <row r="342" ht="12.75">
      <c r="A342" s="55"/>
    </row>
    <row r="343" ht="12.75">
      <c r="A343" s="55"/>
    </row>
    <row r="344" ht="12.75">
      <c r="A344" s="55"/>
    </row>
    <row r="345" ht="12.75">
      <c r="A345" s="55"/>
    </row>
    <row r="346" ht="12.75">
      <c r="A346" s="55"/>
    </row>
    <row r="347" ht="12.75">
      <c r="A347" s="55"/>
    </row>
    <row r="348" ht="12.75">
      <c r="A348" s="55"/>
    </row>
    <row r="349" ht="12.75">
      <c r="A349" s="55"/>
    </row>
    <row r="350" ht="12.75">
      <c r="A350" s="55"/>
    </row>
    <row r="351" ht="12.75">
      <c r="A351" s="55"/>
    </row>
    <row r="352" ht="12.75">
      <c r="A352" s="55"/>
    </row>
    <row r="353" ht="12.75">
      <c r="A353" s="55"/>
    </row>
    <row r="354" ht="12.75">
      <c r="A354" s="55"/>
    </row>
    <row r="355" ht="12.75">
      <c r="A355" s="55"/>
    </row>
    <row r="356" ht="12.75">
      <c r="A356" s="55"/>
    </row>
    <row r="357" ht="12.75">
      <c r="A357" s="55"/>
    </row>
    <row r="358" ht="12.75">
      <c r="A358" s="55"/>
    </row>
    <row r="359" ht="12.75">
      <c r="A359" s="55"/>
    </row>
    <row r="360" ht="12.75">
      <c r="A360" s="55"/>
    </row>
    <row r="361" ht="12.75">
      <c r="A361" s="55"/>
    </row>
    <row r="362" ht="12.75">
      <c r="A362" s="55"/>
    </row>
    <row r="363" ht="12.75">
      <c r="A363" s="55"/>
    </row>
    <row r="364" ht="12.75">
      <c r="A364" s="55"/>
    </row>
    <row r="365" ht="12.75">
      <c r="A365" s="55"/>
    </row>
    <row r="366" ht="12.75">
      <c r="A366" s="55"/>
    </row>
    <row r="367" ht="12.75">
      <c r="A367" s="55"/>
    </row>
    <row r="368" ht="12.75">
      <c r="A368" s="55"/>
    </row>
    <row r="369" ht="12.75">
      <c r="A369" s="55"/>
    </row>
    <row r="370" ht="12.75">
      <c r="A370" s="55"/>
    </row>
    <row r="371" ht="12.75">
      <c r="A371" s="55"/>
    </row>
    <row r="372" ht="12.75">
      <c r="A372" s="55"/>
    </row>
    <row r="373" ht="12.75">
      <c r="A373" s="55"/>
    </row>
    <row r="374" ht="12.75">
      <c r="A374" s="55"/>
    </row>
    <row r="375" ht="12.75">
      <c r="A375" s="55"/>
    </row>
    <row r="376" ht="12.75">
      <c r="A376" s="55"/>
    </row>
    <row r="377" ht="12.75">
      <c r="A377" s="55"/>
    </row>
    <row r="378" ht="12.75">
      <c r="A378" s="55"/>
    </row>
    <row r="379" ht="12.75">
      <c r="A379" s="55"/>
    </row>
    <row r="380" ht="12.75">
      <c r="A380" s="55"/>
    </row>
    <row r="381" ht="12.75">
      <c r="A381" s="55"/>
    </row>
    <row r="382" ht="12.75">
      <c r="A382" s="55"/>
    </row>
    <row r="383" ht="12.75">
      <c r="A383" s="55"/>
    </row>
    <row r="384" ht="12.75">
      <c r="A384" s="55"/>
    </row>
    <row r="385" ht="12.75">
      <c r="A385" s="55"/>
    </row>
    <row r="386" ht="12.75">
      <c r="A386" s="55"/>
    </row>
    <row r="387" ht="12.75">
      <c r="A387" s="55"/>
    </row>
    <row r="388" ht="12.75">
      <c r="A388" s="55"/>
    </row>
    <row r="389" ht="12.75">
      <c r="A389" s="55"/>
    </row>
    <row r="390" ht="12.75">
      <c r="A390" s="55"/>
    </row>
    <row r="391" ht="12.75">
      <c r="A391" s="55"/>
    </row>
    <row r="392" ht="12.75">
      <c r="A392" s="55"/>
    </row>
    <row r="393" ht="12.75">
      <c r="A393" s="55"/>
    </row>
    <row r="394" ht="12.75">
      <c r="A394" s="55"/>
    </row>
    <row r="395" spans="2:5" ht="12.75">
      <c r="B395" s="107"/>
      <c r="C395" s="290"/>
      <c r="D395" s="107"/>
      <c r="E395" s="107"/>
    </row>
    <row r="396" spans="2:5" ht="12.75">
      <c r="B396" s="107"/>
      <c r="C396" s="290"/>
      <c r="D396" s="107"/>
      <c r="E396" s="107"/>
    </row>
    <row r="397" spans="2:5" ht="12.75">
      <c r="B397" s="107"/>
      <c r="C397" s="290"/>
      <c r="D397" s="107"/>
      <c r="E397" s="107"/>
    </row>
    <row r="398" spans="2:5" ht="12.75">
      <c r="B398" s="107"/>
      <c r="C398" s="290"/>
      <c r="D398" s="107"/>
      <c r="E398" s="107"/>
    </row>
    <row r="399" spans="2:5" ht="12.75">
      <c r="B399" s="107"/>
      <c r="C399" s="290"/>
      <c r="D399" s="107"/>
      <c r="E399" s="107"/>
    </row>
    <row r="400" spans="2:5" ht="12.75">
      <c r="B400" s="107"/>
      <c r="C400" s="290"/>
      <c r="D400" s="107"/>
      <c r="E400" s="107"/>
    </row>
    <row r="401" spans="2:5" ht="12.75">
      <c r="B401" s="107"/>
      <c r="C401" s="290"/>
      <c r="D401" s="107"/>
      <c r="E401" s="107"/>
    </row>
    <row r="402" spans="2:5" ht="12.75">
      <c r="B402" s="107"/>
      <c r="C402" s="290"/>
      <c r="D402" s="107"/>
      <c r="E402" s="107"/>
    </row>
    <row r="403" spans="2:5" ht="12.75">
      <c r="B403" s="107"/>
      <c r="C403" s="290"/>
      <c r="D403" s="107"/>
      <c r="E403" s="107"/>
    </row>
    <row r="404" spans="2:5" ht="12.75">
      <c r="B404" s="107"/>
      <c r="C404" s="290"/>
      <c r="D404" s="107"/>
      <c r="E404" s="107"/>
    </row>
    <row r="405" spans="2:5" ht="12.75">
      <c r="B405" s="107"/>
      <c r="C405" s="290"/>
      <c r="D405" s="107"/>
      <c r="E405" s="107"/>
    </row>
    <row r="406" spans="2:5" ht="12.75">
      <c r="B406" s="107"/>
      <c r="C406" s="290"/>
      <c r="D406" s="107"/>
      <c r="E406" s="107"/>
    </row>
    <row r="407" spans="2:5" ht="12.75">
      <c r="B407" s="107"/>
      <c r="C407" s="290"/>
      <c r="D407" s="107"/>
      <c r="E407" s="107"/>
    </row>
    <row r="408" spans="2:5" ht="12.75">
      <c r="B408" s="107"/>
      <c r="C408" s="290"/>
      <c r="D408" s="107"/>
      <c r="E408" s="107"/>
    </row>
    <row r="409" spans="2:5" ht="12.75">
      <c r="B409" s="107"/>
      <c r="C409" s="290"/>
      <c r="D409" s="107"/>
      <c r="E409" s="107"/>
    </row>
    <row r="410" spans="2:5" ht="12.75">
      <c r="B410" s="107"/>
      <c r="C410" s="290"/>
      <c r="D410" s="107"/>
      <c r="E410" s="107"/>
    </row>
    <row r="411" spans="2:5" ht="12.75">
      <c r="B411" s="107"/>
      <c r="C411" s="290"/>
      <c r="D411" s="107"/>
      <c r="E411" s="107"/>
    </row>
    <row r="412" spans="2:5" ht="12.75">
      <c r="B412" s="107"/>
      <c r="C412" s="290"/>
      <c r="D412" s="107"/>
      <c r="E412" s="107"/>
    </row>
    <row r="413" spans="2:5" ht="12.75">
      <c r="B413" s="107"/>
      <c r="C413" s="290"/>
      <c r="D413" s="107"/>
      <c r="E413" s="107"/>
    </row>
    <row r="414" spans="2:5" ht="12.75">
      <c r="B414" s="107"/>
      <c r="C414" s="290"/>
      <c r="D414" s="107"/>
      <c r="E414" s="107"/>
    </row>
    <row r="415" spans="2:5" ht="12.75">
      <c r="B415" s="107"/>
      <c r="C415" s="290"/>
      <c r="D415" s="107"/>
      <c r="E415" s="107"/>
    </row>
    <row r="416" spans="2:5" ht="12.75">
      <c r="B416" s="107"/>
      <c r="C416" s="290"/>
      <c r="D416" s="107"/>
      <c r="E416" s="107"/>
    </row>
    <row r="417" spans="2:5" ht="12.75">
      <c r="B417" s="107"/>
      <c r="C417" s="290"/>
      <c r="D417" s="107"/>
      <c r="E417" s="107"/>
    </row>
    <row r="418" spans="2:5" ht="12.75">
      <c r="B418" s="107"/>
      <c r="C418" s="290"/>
      <c r="D418" s="107"/>
      <c r="E418" s="107"/>
    </row>
    <row r="419" spans="2:5" ht="12.75">
      <c r="B419" s="107"/>
      <c r="C419" s="290"/>
      <c r="D419" s="107"/>
      <c r="E419" s="107"/>
    </row>
    <row r="420" spans="2:5" ht="12.75">
      <c r="B420" s="107"/>
      <c r="C420" s="290"/>
      <c r="D420" s="107"/>
      <c r="E420" s="107"/>
    </row>
    <row r="421" spans="2:5" ht="12.75">
      <c r="B421" s="107"/>
      <c r="C421" s="290"/>
      <c r="D421" s="107"/>
      <c r="E421" s="107"/>
    </row>
    <row r="422" spans="2:5" ht="12.75">
      <c r="B422" s="107"/>
      <c r="C422" s="290"/>
      <c r="D422" s="107"/>
      <c r="E422" s="107"/>
    </row>
    <row r="423" spans="2:5" ht="12.75">
      <c r="B423" s="107"/>
      <c r="C423" s="290"/>
      <c r="D423" s="107"/>
      <c r="E423" s="107"/>
    </row>
    <row r="424" spans="2:5" ht="12.75">
      <c r="B424" s="107"/>
      <c r="C424" s="290"/>
      <c r="D424" s="107"/>
      <c r="E424" s="107"/>
    </row>
    <row r="425" spans="2:5" ht="12.75">
      <c r="B425" s="107"/>
      <c r="C425" s="290"/>
      <c r="D425" s="107"/>
      <c r="E425" s="107"/>
    </row>
    <row r="426" spans="2:5" ht="12.75">
      <c r="B426" s="107"/>
      <c r="C426" s="290"/>
      <c r="D426" s="107"/>
      <c r="E426" s="107"/>
    </row>
    <row r="427" spans="2:5" ht="12.75">
      <c r="B427" s="107"/>
      <c r="C427" s="290"/>
      <c r="D427" s="107"/>
      <c r="E427" s="107"/>
    </row>
    <row r="428" spans="2:5" ht="12.75">
      <c r="B428" s="107"/>
      <c r="C428" s="290"/>
      <c r="D428" s="107"/>
      <c r="E428" s="107"/>
    </row>
    <row r="429" spans="2:5" ht="12.75">
      <c r="B429" s="107"/>
      <c r="C429" s="290"/>
      <c r="D429" s="107"/>
      <c r="E429" s="107"/>
    </row>
    <row r="430" spans="2:5" ht="12.75">
      <c r="B430" s="107"/>
      <c r="C430" s="290"/>
      <c r="D430" s="107"/>
      <c r="E430" s="107"/>
    </row>
    <row r="431" spans="2:5" ht="12.75">
      <c r="B431" s="107"/>
      <c r="C431" s="290"/>
      <c r="D431" s="107"/>
      <c r="E431" s="107"/>
    </row>
    <row r="432" spans="2:5" ht="12.75">
      <c r="B432" s="107"/>
      <c r="C432" s="290"/>
      <c r="D432" s="107"/>
      <c r="E432" s="107"/>
    </row>
    <row r="433" spans="2:5" ht="12.75">
      <c r="B433" s="107"/>
      <c r="C433" s="290"/>
      <c r="D433" s="107"/>
      <c r="E433" s="107"/>
    </row>
    <row r="434" spans="2:5" ht="12.75">
      <c r="B434" s="107"/>
      <c r="C434" s="290"/>
      <c r="D434" s="107"/>
      <c r="E434" s="107"/>
    </row>
    <row r="435" spans="2:5" ht="12.75">
      <c r="B435" s="107"/>
      <c r="C435" s="290"/>
      <c r="D435" s="107"/>
      <c r="E435" s="107"/>
    </row>
    <row r="436" spans="2:5" ht="12.75">
      <c r="B436" s="107"/>
      <c r="C436" s="290"/>
      <c r="D436" s="107"/>
      <c r="E436" s="107"/>
    </row>
    <row r="437" spans="2:5" ht="12.75">
      <c r="B437" s="107"/>
      <c r="C437" s="290"/>
      <c r="D437" s="107"/>
      <c r="E437" s="107"/>
    </row>
    <row r="438" spans="2:5" ht="12.75">
      <c r="B438" s="107"/>
      <c r="C438" s="290"/>
      <c r="D438" s="107"/>
      <c r="E438" s="107"/>
    </row>
    <row r="439" spans="2:5" ht="12.75">
      <c r="B439" s="107"/>
      <c r="C439" s="290"/>
      <c r="D439" s="107"/>
      <c r="E439" s="107"/>
    </row>
    <row r="440" spans="2:5" ht="12.75">
      <c r="B440" s="107"/>
      <c r="C440" s="290"/>
      <c r="D440" s="107"/>
      <c r="E440" s="107"/>
    </row>
    <row r="441" spans="2:5" ht="12.75">
      <c r="B441" s="107"/>
      <c r="C441" s="290"/>
      <c r="D441" s="107"/>
      <c r="E441" s="107"/>
    </row>
    <row r="442" spans="2:5" ht="12.75">
      <c r="B442" s="107"/>
      <c r="C442" s="290"/>
      <c r="D442" s="107"/>
      <c r="E442" s="107"/>
    </row>
    <row r="443" spans="2:5" ht="12.75">
      <c r="B443" s="107"/>
      <c r="C443" s="290"/>
      <c r="D443" s="107"/>
      <c r="E443" s="107"/>
    </row>
    <row r="444" spans="2:5" ht="12.75">
      <c r="B444" s="107"/>
      <c r="C444" s="290"/>
      <c r="D444" s="107"/>
      <c r="E444" s="107"/>
    </row>
    <row r="445" spans="2:5" ht="12.75">
      <c r="B445" s="107"/>
      <c r="C445" s="290"/>
      <c r="D445" s="107"/>
      <c r="E445" s="107"/>
    </row>
    <row r="446" spans="2:5" ht="12.75">
      <c r="B446" s="107"/>
      <c r="C446" s="290"/>
      <c r="D446" s="107"/>
      <c r="E446" s="107"/>
    </row>
    <row r="447" spans="2:5" ht="12.75">
      <c r="B447" s="107"/>
      <c r="C447" s="290"/>
      <c r="D447" s="107"/>
      <c r="E447" s="107"/>
    </row>
    <row r="448" spans="2:5" ht="12.75">
      <c r="B448" s="107"/>
      <c r="C448" s="290"/>
      <c r="D448" s="107"/>
      <c r="E448" s="107"/>
    </row>
    <row r="449" spans="2:5" ht="12.75">
      <c r="B449" s="107"/>
      <c r="C449" s="290"/>
      <c r="D449" s="107"/>
      <c r="E449" s="107"/>
    </row>
    <row r="450" spans="2:5" ht="12.75">
      <c r="B450" s="107"/>
      <c r="C450" s="290"/>
      <c r="D450" s="107"/>
      <c r="E450" s="107"/>
    </row>
    <row r="451" spans="2:5" ht="12.75">
      <c r="B451" s="107"/>
      <c r="C451" s="290"/>
      <c r="D451" s="107"/>
      <c r="E451" s="107"/>
    </row>
    <row r="452" spans="2:5" ht="12.75">
      <c r="B452" s="107"/>
      <c r="C452" s="290"/>
      <c r="D452" s="107"/>
      <c r="E452" s="107"/>
    </row>
    <row r="453" spans="2:5" ht="12.75">
      <c r="B453" s="107"/>
      <c r="C453" s="290"/>
      <c r="D453" s="107"/>
      <c r="E453" s="107"/>
    </row>
    <row r="454" spans="2:5" ht="12.75">
      <c r="B454" s="107"/>
      <c r="C454" s="290"/>
      <c r="D454" s="107"/>
      <c r="E454" s="107"/>
    </row>
    <row r="455" spans="2:5" ht="12.75">
      <c r="B455" s="107"/>
      <c r="C455" s="290"/>
      <c r="D455" s="107"/>
      <c r="E455" s="107"/>
    </row>
    <row r="456" spans="2:5" ht="12.75">
      <c r="B456" s="107"/>
      <c r="C456" s="290"/>
      <c r="D456" s="107"/>
      <c r="E456" s="107"/>
    </row>
    <row r="457" spans="2:5" ht="12.75">
      <c r="B457" s="107"/>
      <c r="C457" s="290"/>
      <c r="D457" s="107"/>
      <c r="E457" s="107"/>
    </row>
    <row r="458" spans="2:5" ht="12.75">
      <c r="B458" s="107"/>
      <c r="C458" s="290"/>
      <c r="D458" s="107"/>
      <c r="E458" s="107"/>
    </row>
    <row r="459" spans="2:5" ht="12.75">
      <c r="B459" s="107"/>
      <c r="C459" s="290"/>
      <c r="D459" s="107"/>
      <c r="E459" s="107"/>
    </row>
    <row r="460" spans="2:5" ht="12.75">
      <c r="B460" s="107"/>
      <c r="C460" s="290"/>
      <c r="D460" s="107"/>
      <c r="E460" s="107"/>
    </row>
    <row r="461" spans="2:5" ht="12.75">
      <c r="B461" s="107"/>
      <c r="C461" s="290"/>
      <c r="D461" s="107"/>
      <c r="E461" s="107"/>
    </row>
    <row r="462" spans="2:5" ht="12.75">
      <c r="B462" s="107"/>
      <c r="C462" s="290"/>
      <c r="D462" s="107"/>
      <c r="E462" s="107"/>
    </row>
    <row r="463" spans="2:5" ht="12.75">
      <c r="B463" s="107"/>
      <c r="C463" s="290"/>
      <c r="D463" s="107"/>
      <c r="E463" s="107"/>
    </row>
    <row r="464" spans="2:5" ht="12.75">
      <c r="B464" s="107"/>
      <c r="C464" s="290"/>
      <c r="D464" s="107"/>
      <c r="E464" s="107"/>
    </row>
    <row r="465" spans="2:5" ht="12.75">
      <c r="B465" s="107"/>
      <c r="C465" s="290"/>
      <c r="D465" s="107"/>
      <c r="E465" s="107"/>
    </row>
    <row r="466" spans="2:5" ht="12.75">
      <c r="B466" s="107"/>
      <c r="C466" s="290"/>
      <c r="D466" s="107"/>
      <c r="E466" s="107"/>
    </row>
    <row r="467" spans="2:5" ht="12.75">
      <c r="B467" s="107"/>
      <c r="C467" s="290"/>
      <c r="D467" s="107"/>
      <c r="E467" s="107"/>
    </row>
    <row r="468" spans="2:5" ht="12.75">
      <c r="B468" s="107"/>
      <c r="C468" s="290"/>
      <c r="D468" s="107"/>
      <c r="E468" s="107"/>
    </row>
    <row r="469" spans="2:5" ht="12.75">
      <c r="B469" s="107"/>
      <c r="C469" s="290"/>
      <c r="D469" s="107"/>
      <c r="E469" s="107"/>
    </row>
    <row r="470" spans="2:5" ht="12.75">
      <c r="B470" s="107"/>
      <c r="C470" s="290"/>
      <c r="D470" s="107"/>
      <c r="E470" s="107"/>
    </row>
    <row r="471" spans="2:5" ht="12.75">
      <c r="B471" s="107"/>
      <c r="C471" s="290"/>
      <c r="D471" s="107"/>
      <c r="E471" s="107"/>
    </row>
    <row r="472" spans="2:5" ht="12.75">
      <c r="B472" s="107"/>
      <c r="C472" s="290"/>
      <c r="D472" s="107"/>
      <c r="E472" s="107"/>
    </row>
    <row r="473" spans="2:5" ht="12.75">
      <c r="B473" s="107"/>
      <c r="C473" s="290"/>
      <c r="D473" s="107"/>
      <c r="E473" s="107"/>
    </row>
    <row r="474" spans="2:5" ht="12.75">
      <c r="B474" s="107"/>
      <c r="C474" s="290"/>
      <c r="D474" s="107"/>
      <c r="E474" s="107"/>
    </row>
    <row r="475" spans="2:5" ht="12.75">
      <c r="B475" s="107"/>
      <c r="C475" s="290"/>
      <c r="D475" s="107"/>
      <c r="E475" s="107"/>
    </row>
    <row r="476" spans="2:5" ht="12.75">
      <c r="B476" s="107"/>
      <c r="C476" s="290"/>
      <c r="D476" s="107"/>
      <c r="E476" s="107"/>
    </row>
    <row r="477" spans="2:5" ht="12.75">
      <c r="B477" s="107"/>
      <c r="C477" s="290"/>
      <c r="D477" s="107"/>
      <c r="E477" s="107"/>
    </row>
    <row r="478" spans="2:5" ht="12.75">
      <c r="B478" s="107"/>
      <c r="C478" s="290"/>
      <c r="D478" s="107"/>
      <c r="E478" s="107"/>
    </row>
    <row r="479" spans="2:5" ht="12.75">
      <c r="B479" s="107"/>
      <c r="C479" s="290"/>
      <c r="D479" s="107"/>
      <c r="E479" s="107"/>
    </row>
    <row r="480" spans="2:5" ht="12.75">
      <c r="B480" s="107"/>
      <c r="C480" s="290"/>
      <c r="D480" s="107"/>
      <c r="E480" s="107"/>
    </row>
    <row r="481" spans="2:5" ht="12.75">
      <c r="B481" s="107"/>
      <c r="C481" s="290"/>
      <c r="D481" s="107"/>
      <c r="E481" s="107"/>
    </row>
    <row r="482" spans="2:5" ht="12.75">
      <c r="B482" s="107"/>
      <c r="C482" s="290"/>
      <c r="D482" s="107"/>
      <c r="E482" s="107"/>
    </row>
    <row r="483" spans="2:5" ht="12.75">
      <c r="B483" s="107"/>
      <c r="C483" s="290"/>
      <c r="D483" s="107"/>
      <c r="E483" s="107"/>
    </row>
    <row r="484" spans="2:5" ht="12.75">
      <c r="B484" s="107"/>
      <c r="C484" s="290"/>
      <c r="D484" s="107"/>
      <c r="E484" s="107"/>
    </row>
    <row r="485" spans="2:5" ht="12.75">
      <c r="B485" s="107"/>
      <c r="C485" s="290"/>
      <c r="D485" s="107"/>
      <c r="E485" s="107"/>
    </row>
    <row r="486" spans="2:5" ht="12.75">
      <c r="B486" s="107"/>
      <c r="C486" s="290"/>
      <c r="D486" s="107"/>
      <c r="E486" s="107"/>
    </row>
    <row r="487" spans="2:5" ht="12.75">
      <c r="B487" s="107"/>
      <c r="C487" s="290"/>
      <c r="D487" s="107"/>
      <c r="E487" s="107"/>
    </row>
    <row r="488" spans="2:5" ht="12.75">
      <c r="B488" s="107"/>
      <c r="C488" s="290"/>
      <c r="D488" s="107"/>
      <c r="E488" s="107"/>
    </row>
    <row r="489" spans="2:5" ht="12.75">
      <c r="B489" s="107"/>
      <c r="C489" s="290"/>
      <c r="D489" s="107"/>
      <c r="E489" s="107"/>
    </row>
    <row r="490" spans="2:5" ht="12.75">
      <c r="B490" s="107"/>
      <c r="C490" s="290"/>
      <c r="D490" s="107"/>
      <c r="E490" s="107"/>
    </row>
    <row r="491" spans="2:5" ht="12.75">
      <c r="B491" s="107"/>
      <c r="C491" s="290"/>
      <c r="D491" s="107"/>
      <c r="E491" s="107"/>
    </row>
    <row r="492" spans="2:5" ht="12.75">
      <c r="B492" s="107"/>
      <c r="C492" s="290"/>
      <c r="D492" s="107"/>
      <c r="E492" s="107"/>
    </row>
    <row r="493" spans="2:5" ht="12.75">
      <c r="B493" s="107"/>
      <c r="C493" s="290"/>
      <c r="D493" s="107"/>
      <c r="E493" s="107"/>
    </row>
    <row r="494" spans="2:5" ht="12.75">
      <c r="B494" s="107"/>
      <c r="C494" s="290"/>
      <c r="D494" s="107"/>
      <c r="E494" s="107"/>
    </row>
    <row r="495" spans="2:5" ht="12.75">
      <c r="B495" s="107"/>
      <c r="C495" s="290"/>
      <c r="D495" s="107"/>
      <c r="E495" s="107"/>
    </row>
    <row r="496" spans="2:5" ht="12.75">
      <c r="B496" s="107"/>
      <c r="C496" s="290"/>
      <c r="D496" s="107"/>
      <c r="E496" s="107"/>
    </row>
    <row r="497" spans="2:5" ht="12.75">
      <c r="B497" s="107"/>
      <c r="C497" s="290"/>
      <c r="D497" s="107"/>
      <c r="E497" s="107"/>
    </row>
    <row r="498" spans="2:5" ht="12.75">
      <c r="B498" s="107"/>
      <c r="C498" s="290"/>
      <c r="D498" s="107"/>
      <c r="E498" s="107"/>
    </row>
    <row r="499" spans="2:5" ht="12.75">
      <c r="B499" s="107"/>
      <c r="C499" s="290"/>
      <c r="D499" s="107"/>
      <c r="E499" s="107"/>
    </row>
    <row r="500" spans="2:5" ht="12.75">
      <c r="B500" s="107"/>
      <c r="C500" s="290"/>
      <c r="D500" s="107"/>
      <c r="E500" s="107"/>
    </row>
    <row r="501" spans="2:5" ht="12.75">
      <c r="B501" s="107"/>
      <c r="C501" s="290"/>
      <c r="D501" s="107"/>
      <c r="E501" s="107"/>
    </row>
    <row r="502" spans="2:5" ht="12.75">
      <c r="B502" s="107"/>
      <c r="C502" s="290"/>
      <c r="D502" s="107"/>
      <c r="E502" s="107"/>
    </row>
    <row r="503" spans="2:5" ht="12.75">
      <c r="B503" s="107"/>
      <c r="C503" s="290"/>
      <c r="D503" s="107"/>
      <c r="E503" s="107"/>
    </row>
    <row r="504" spans="2:5" ht="12.75">
      <c r="B504" s="107"/>
      <c r="C504" s="290"/>
      <c r="D504" s="107"/>
      <c r="E504" s="107"/>
    </row>
    <row r="505" spans="2:5" ht="12.75">
      <c r="B505" s="107"/>
      <c r="C505" s="290"/>
      <c r="D505" s="107"/>
      <c r="E505" s="107"/>
    </row>
    <row r="506" spans="2:5" ht="12.75">
      <c r="B506" s="107"/>
      <c r="C506" s="290"/>
      <c r="D506" s="107"/>
      <c r="E506" s="107"/>
    </row>
    <row r="507" spans="2:5" ht="12.75">
      <c r="B507" s="107"/>
      <c r="C507" s="290"/>
      <c r="D507" s="107"/>
      <c r="E507" s="107"/>
    </row>
    <row r="508" spans="2:5" ht="12.75">
      <c r="B508" s="107"/>
      <c r="C508" s="290"/>
      <c r="D508" s="107"/>
      <c r="E508" s="107"/>
    </row>
    <row r="509" spans="2:5" ht="12.75">
      <c r="B509" s="107"/>
      <c r="C509" s="290"/>
      <c r="D509" s="107"/>
      <c r="E509" s="107"/>
    </row>
    <row r="510" spans="2:5" ht="12.75">
      <c r="B510" s="107"/>
      <c r="C510" s="290"/>
      <c r="D510" s="107"/>
      <c r="E510" s="107"/>
    </row>
    <row r="511" spans="2:5" ht="12.75">
      <c r="B511" s="107"/>
      <c r="C511" s="290"/>
      <c r="D511" s="107"/>
      <c r="E511" s="107"/>
    </row>
    <row r="512" spans="2:5" ht="12.75">
      <c r="B512" s="107"/>
      <c r="C512" s="290"/>
      <c r="D512" s="107"/>
      <c r="E512" s="107"/>
    </row>
    <row r="513" spans="2:5" ht="12.75">
      <c r="B513" s="107"/>
      <c r="C513" s="290"/>
      <c r="D513" s="107"/>
      <c r="E513" s="107"/>
    </row>
    <row r="514" spans="2:5" ht="12.75">
      <c r="B514" s="107"/>
      <c r="C514" s="290"/>
      <c r="D514" s="107"/>
      <c r="E514" s="107"/>
    </row>
    <row r="515" spans="2:5" ht="12.75">
      <c r="B515" s="107"/>
      <c r="C515" s="290"/>
      <c r="D515" s="107"/>
      <c r="E515" s="107"/>
    </row>
    <row r="516" spans="2:5" ht="12.75">
      <c r="B516" s="107"/>
      <c r="C516" s="290"/>
      <c r="D516" s="107"/>
      <c r="E516" s="107"/>
    </row>
    <row r="517" spans="2:5" ht="12.75">
      <c r="B517" s="107"/>
      <c r="C517" s="290"/>
      <c r="D517" s="107"/>
      <c r="E517" s="107"/>
    </row>
    <row r="518" spans="2:5" ht="12.75">
      <c r="B518" s="107"/>
      <c r="C518" s="290"/>
      <c r="D518" s="107"/>
      <c r="E518" s="107"/>
    </row>
    <row r="519" spans="2:5" ht="12.75">
      <c r="B519" s="107"/>
      <c r="C519" s="290"/>
      <c r="D519" s="107"/>
      <c r="E519" s="107"/>
    </row>
    <row r="520" spans="2:5" ht="12.75">
      <c r="B520" s="107"/>
      <c r="C520" s="290"/>
      <c r="D520" s="107"/>
      <c r="E520" s="107"/>
    </row>
    <row r="521" spans="2:5" ht="12.75">
      <c r="B521" s="107"/>
      <c r="C521" s="290"/>
      <c r="D521" s="107"/>
      <c r="E521" s="107"/>
    </row>
    <row r="522" spans="2:5" ht="12.75">
      <c r="B522" s="107"/>
      <c r="C522" s="290"/>
      <c r="D522" s="107"/>
      <c r="E522" s="107"/>
    </row>
    <row r="523" spans="2:5" ht="12.75">
      <c r="B523" s="107"/>
      <c r="C523" s="290"/>
      <c r="D523" s="107"/>
      <c r="E523" s="107"/>
    </row>
    <row r="524" spans="2:5" ht="12.75">
      <c r="B524" s="107"/>
      <c r="C524" s="290"/>
      <c r="D524" s="107"/>
      <c r="E524" s="107"/>
    </row>
    <row r="525" spans="2:5" ht="12.75">
      <c r="B525" s="107"/>
      <c r="C525" s="290"/>
      <c r="D525" s="107"/>
      <c r="E525" s="107"/>
    </row>
    <row r="526" spans="2:5" ht="12.75">
      <c r="B526" s="107"/>
      <c r="C526" s="290"/>
      <c r="D526" s="107"/>
      <c r="E526" s="107"/>
    </row>
    <row r="527" spans="2:5" ht="12.75">
      <c r="B527" s="107"/>
      <c r="C527" s="290"/>
      <c r="D527" s="107"/>
      <c r="E527" s="107"/>
    </row>
    <row r="528" spans="2:5" ht="12.75">
      <c r="B528" s="107"/>
      <c r="C528" s="290"/>
      <c r="D528" s="107"/>
      <c r="E528" s="107"/>
    </row>
    <row r="529" spans="2:5" ht="12.75">
      <c r="B529" s="107"/>
      <c r="C529" s="290"/>
      <c r="D529" s="107"/>
      <c r="E529" s="107"/>
    </row>
    <row r="530" spans="2:5" ht="12.75">
      <c r="B530" s="107"/>
      <c r="C530" s="290"/>
      <c r="D530" s="107"/>
      <c r="E530" s="107"/>
    </row>
    <row r="531" spans="2:5" ht="12.75">
      <c r="B531" s="107"/>
      <c r="C531" s="290"/>
      <c r="D531" s="107"/>
      <c r="E531" s="107"/>
    </row>
    <row r="532" spans="2:5" ht="12.75">
      <c r="B532" s="107"/>
      <c r="C532" s="290"/>
      <c r="D532" s="107"/>
      <c r="E532" s="107"/>
    </row>
    <row r="533" spans="2:5" ht="12.75">
      <c r="B533" s="107"/>
      <c r="C533" s="290"/>
      <c r="D533" s="107"/>
      <c r="E533" s="107"/>
    </row>
    <row r="534" spans="2:5" ht="12.75">
      <c r="B534" s="107"/>
      <c r="C534" s="290"/>
      <c r="D534" s="107"/>
      <c r="E534" s="107"/>
    </row>
    <row r="535" spans="2:5" ht="12.75">
      <c r="B535" s="107"/>
      <c r="C535" s="290"/>
      <c r="D535" s="107"/>
      <c r="E535" s="107"/>
    </row>
    <row r="536" spans="2:5" ht="12.75">
      <c r="B536" s="107"/>
      <c r="C536" s="290"/>
      <c r="D536" s="107"/>
      <c r="E536" s="107"/>
    </row>
    <row r="537" spans="2:5" ht="12.75">
      <c r="B537" s="107"/>
      <c r="C537" s="290"/>
      <c r="D537" s="107"/>
      <c r="E537" s="107"/>
    </row>
    <row r="538" spans="2:5" ht="12.75">
      <c r="B538" s="107"/>
      <c r="C538" s="290"/>
      <c r="D538" s="107"/>
      <c r="E538" s="107"/>
    </row>
    <row r="539" spans="2:5" ht="12.75">
      <c r="B539" s="107"/>
      <c r="C539" s="290"/>
      <c r="D539" s="107"/>
      <c r="E539" s="107"/>
    </row>
    <row r="540" spans="2:5" ht="12.75">
      <c r="B540" s="107"/>
      <c r="C540" s="290"/>
      <c r="D540" s="107"/>
      <c r="E540" s="107"/>
    </row>
    <row r="541" spans="2:5" ht="12.75">
      <c r="B541" s="107"/>
      <c r="C541" s="290"/>
      <c r="D541" s="107"/>
      <c r="E541" s="107"/>
    </row>
    <row r="542" spans="2:5" ht="12.75">
      <c r="B542" s="107"/>
      <c r="C542" s="290"/>
      <c r="D542" s="107"/>
      <c r="E542" s="107"/>
    </row>
    <row r="543" spans="2:5" ht="12.75">
      <c r="B543" s="107"/>
      <c r="C543" s="290"/>
      <c r="D543" s="107"/>
      <c r="E543" s="107"/>
    </row>
    <row r="544" spans="2:5" ht="12.75">
      <c r="B544" s="107"/>
      <c r="C544" s="290"/>
      <c r="D544" s="107"/>
      <c r="E544" s="107"/>
    </row>
    <row r="545" spans="2:5" ht="12.75">
      <c r="B545" s="107"/>
      <c r="C545" s="290"/>
      <c r="D545" s="107"/>
      <c r="E545" s="107"/>
    </row>
    <row r="546" spans="2:5" ht="12.75">
      <c r="B546" s="107"/>
      <c r="C546" s="290"/>
      <c r="D546" s="107"/>
      <c r="E546" s="107"/>
    </row>
    <row r="547" spans="2:5" ht="12.75">
      <c r="B547" s="107"/>
      <c r="C547" s="290"/>
      <c r="D547" s="107"/>
      <c r="E547" s="107"/>
    </row>
    <row r="548" spans="2:5" ht="12.75">
      <c r="B548" s="107"/>
      <c r="C548" s="290"/>
      <c r="D548" s="107"/>
      <c r="E548" s="107"/>
    </row>
    <row r="549" spans="2:5" ht="12.75">
      <c r="B549" s="107"/>
      <c r="C549" s="290"/>
      <c r="D549" s="107"/>
      <c r="E549" s="107"/>
    </row>
    <row r="550" spans="2:5" ht="12.75">
      <c r="B550" s="107"/>
      <c r="C550" s="290"/>
      <c r="D550" s="107"/>
      <c r="E550" s="107"/>
    </row>
    <row r="551" spans="2:5" ht="12.75">
      <c r="B551" s="107"/>
      <c r="C551" s="290"/>
      <c r="D551" s="107"/>
      <c r="E551" s="107"/>
    </row>
    <row r="552" spans="2:5" ht="12.75">
      <c r="B552" s="107"/>
      <c r="C552" s="290"/>
      <c r="D552" s="107"/>
      <c r="E552" s="107"/>
    </row>
    <row r="553" spans="2:5" ht="12.75">
      <c r="B553" s="107"/>
      <c r="C553" s="290"/>
      <c r="D553" s="107"/>
      <c r="E553" s="107"/>
    </row>
    <row r="554" spans="2:5" ht="12.75">
      <c r="B554" s="107"/>
      <c r="C554" s="290"/>
      <c r="D554" s="107"/>
      <c r="E554" s="107"/>
    </row>
    <row r="555" spans="2:5" ht="12.75">
      <c r="B555" s="107"/>
      <c r="C555" s="290"/>
      <c r="D555" s="107"/>
      <c r="E555" s="107"/>
    </row>
    <row r="556" spans="2:5" ht="12.75">
      <c r="B556" s="107"/>
      <c r="C556" s="290"/>
      <c r="D556" s="107"/>
      <c r="E556" s="107"/>
    </row>
    <row r="557" spans="2:5" ht="12.75">
      <c r="B557" s="107"/>
      <c r="C557" s="290"/>
      <c r="D557" s="107"/>
      <c r="E557" s="107"/>
    </row>
    <row r="558" spans="2:5" ht="12.75">
      <c r="B558" s="107"/>
      <c r="C558" s="290"/>
      <c r="D558" s="107"/>
      <c r="E558" s="107"/>
    </row>
    <row r="559" spans="2:5" ht="12.75">
      <c r="B559" s="107"/>
      <c r="C559" s="290"/>
      <c r="D559" s="107"/>
      <c r="E559" s="107"/>
    </row>
    <row r="560" spans="2:5" ht="12.75">
      <c r="B560" s="107"/>
      <c r="C560" s="290"/>
      <c r="D560" s="107"/>
      <c r="E560" s="107"/>
    </row>
    <row r="561" spans="2:5" ht="12.75">
      <c r="B561" s="107"/>
      <c r="C561" s="290"/>
      <c r="D561" s="107"/>
      <c r="E561" s="107"/>
    </row>
    <row r="562" spans="2:5" ht="12.75">
      <c r="B562" s="107"/>
      <c r="C562" s="290"/>
      <c r="D562" s="107"/>
      <c r="E562" s="107"/>
    </row>
    <row r="563" spans="2:5" ht="12.75">
      <c r="B563" s="107"/>
      <c r="C563" s="290"/>
      <c r="D563" s="107"/>
      <c r="E563" s="107"/>
    </row>
    <row r="564" spans="2:5" ht="12.75">
      <c r="B564" s="107"/>
      <c r="C564" s="290"/>
      <c r="D564" s="107"/>
      <c r="E564" s="107"/>
    </row>
    <row r="565" spans="2:5" ht="12.75">
      <c r="B565" s="107"/>
      <c r="C565" s="290"/>
      <c r="D565" s="107"/>
      <c r="E565" s="107"/>
    </row>
    <row r="566" spans="2:5" ht="12.75">
      <c r="B566" s="107"/>
      <c r="C566" s="290"/>
      <c r="D566" s="107"/>
      <c r="E566" s="107"/>
    </row>
    <row r="567" spans="2:5" ht="12.75">
      <c r="B567" s="107"/>
      <c r="C567" s="290"/>
      <c r="D567" s="107"/>
      <c r="E567" s="107"/>
    </row>
    <row r="568" spans="2:5" ht="12.75">
      <c r="B568" s="107"/>
      <c r="C568" s="290"/>
      <c r="D568" s="107"/>
      <c r="E568" s="107"/>
    </row>
    <row r="569" spans="2:5" ht="12.75">
      <c r="B569" s="107"/>
      <c r="C569" s="290"/>
      <c r="D569" s="107"/>
      <c r="E569" s="107"/>
    </row>
    <row r="570" spans="2:5" ht="12.75">
      <c r="B570" s="107"/>
      <c r="C570" s="290"/>
      <c r="D570" s="107"/>
      <c r="E570" s="107"/>
    </row>
    <row r="571" spans="2:5" ht="12.75">
      <c r="B571" s="107"/>
      <c r="C571" s="290"/>
      <c r="D571" s="107"/>
      <c r="E571" s="107"/>
    </row>
    <row r="572" spans="2:5" ht="12.75">
      <c r="B572" s="107"/>
      <c r="C572" s="290"/>
      <c r="D572" s="107"/>
      <c r="E572" s="107"/>
    </row>
    <row r="573" spans="2:5" ht="12.75">
      <c r="B573" s="107"/>
      <c r="C573" s="290"/>
      <c r="D573" s="107"/>
      <c r="E573" s="107"/>
    </row>
    <row r="574" spans="2:5" ht="12.75">
      <c r="B574" s="107"/>
      <c r="C574" s="290"/>
      <c r="D574" s="107"/>
      <c r="E574" s="107"/>
    </row>
    <row r="575" spans="2:5" ht="12.75">
      <c r="B575" s="107"/>
      <c r="C575" s="290"/>
      <c r="D575" s="107"/>
      <c r="E575" s="107"/>
    </row>
    <row r="576" spans="2:5" ht="12.75">
      <c r="B576" s="107"/>
      <c r="C576" s="290"/>
      <c r="D576" s="107"/>
      <c r="E576" s="107"/>
    </row>
    <row r="577" spans="2:5" ht="12.75">
      <c r="B577" s="107"/>
      <c r="C577" s="290"/>
      <c r="D577" s="107"/>
      <c r="E577" s="107"/>
    </row>
    <row r="578" spans="2:5" ht="12.75">
      <c r="B578" s="107"/>
      <c r="C578" s="290"/>
      <c r="D578" s="107"/>
      <c r="E578" s="107"/>
    </row>
    <row r="579" spans="2:5" ht="12.75">
      <c r="B579" s="107"/>
      <c r="C579" s="290"/>
      <c r="D579" s="107"/>
      <c r="E579" s="107"/>
    </row>
    <row r="580" spans="2:5" ht="12.75">
      <c r="B580" s="107"/>
      <c r="C580" s="290"/>
      <c r="D580" s="107"/>
      <c r="E580" s="107"/>
    </row>
    <row r="581" spans="2:5" ht="12.75">
      <c r="B581" s="107"/>
      <c r="C581" s="290"/>
      <c r="D581" s="107"/>
      <c r="E581" s="107"/>
    </row>
    <row r="582" spans="2:5" ht="12.75">
      <c r="B582" s="107"/>
      <c r="C582" s="290"/>
      <c r="D582" s="107"/>
      <c r="E582" s="107"/>
    </row>
    <row r="583" spans="2:5" ht="12.75">
      <c r="B583" s="107"/>
      <c r="C583" s="290"/>
      <c r="D583" s="107"/>
      <c r="E583" s="107"/>
    </row>
    <row r="584" spans="2:5" ht="12.75">
      <c r="B584" s="107"/>
      <c r="C584" s="290"/>
      <c r="D584" s="107"/>
      <c r="E584" s="107"/>
    </row>
    <row r="585" spans="2:5" ht="12.75">
      <c r="B585" s="107"/>
      <c r="C585" s="290"/>
      <c r="D585" s="107"/>
      <c r="E585" s="107"/>
    </row>
    <row r="586" spans="2:5" ht="12.75">
      <c r="B586" s="107"/>
      <c r="C586" s="290"/>
      <c r="D586" s="107"/>
      <c r="E586" s="107"/>
    </row>
    <row r="587" spans="2:5" ht="12.75">
      <c r="B587" s="107"/>
      <c r="C587" s="290"/>
      <c r="D587" s="107"/>
      <c r="E587" s="107"/>
    </row>
    <row r="588" spans="2:5" ht="12.75">
      <c r="B588" s="107"/>
      <c r="C588" s="290"/>
      <c r="D588" s="107"/>
      <c r="E588" s="107"/>
    </row>
    <row r="589" spans="2:5" ht="12.75">
      <c r="B589" s="107"/>
      <c r="C589" s="290"/>
      <c r="D589" s="107"/>
      <c r="E589" s="107"/>
    </row>
    <row r="590" spans="2:5" ht="12.75">
      <c r="B590" s="107"/>
      <c r="C590" s="290"/>
      <c r="D590" s="107"/>
      <c r="E590" s="107"/>
    </row>
    <row r="591" spans="2:5" ht="12.75">
      <c r="B591" s="107"/>
      <c r="C591" s="290"/>
      <c r="D591" s="107"/>
      <c r="E591" s="107"/>
    </row>
    <row r="592" spans="2:5" ht="12.75">
      <c r="B592" s="107"/>
      <c r="C592" s="290"/>
      <c r="D592" s="107"/>
      <c r="E592" s="107"/>
    </row>
    <row r="593" spans="2:5" ht="12.75">
      <c r="B593" s="107"/>
      <c r="C593" s="290"/>
      <c r="D593" s="107"/>
      <c r="E593" s="107"/>
    </row>
    <row r="594" spans="2:5" ht="12.75">
      <c r="B594" s="107"/>
      <c r="C594" s="290"/>
      <c r="D594" s="107"/>
      <c r="E594" s="107"/>
    </row>
    <row r="595" spans="2:5" ht="12.75">
      <c r="B595" s="107"/>
      <c r="C595" s="290"/>
      <c r="D595" s="107"/>
      <c r="E595" s="107"/>
    </row>
    <row r="596" spans="2:5" ht="12.75">
      <c r="B596" s="107"/>
      <c r="C596" s="290"/>
      <c r="D596" s="107"/>
      <c r="E596" s="107"/>
    </row>
    <row r="597" spans="2:5" ht="12.75">
      <c r="B597" s="107"/>
      <c r="C597" s="290"/>
      <c r="D597" s="107"/>
      <c r="E597" s="107"/>
    </row>
    <row r="598" spans="2:5" ht="12.75">
      <c r="B598" s="107"/>
      <c r="C598" s="290"/>
      <c r="D598" s="107"/>
      <c r="E598" s="107"/>
    </row>
    <row r="599" spans="2:5" ht="12.75">
      <c r="B599" s="107"/>
      <c r="C599" s="290"/>
      <c r="D599" s="107"/>
      <c r="E599" s="107"/>
    </row>
    <row r="600" spans="2:5" ht="12.75">
      <c r="B600" s="107"/>
      <c r="C600" s="290"/>
      <c r="D600" s="107"/>
      <c r="E600" s="107"/>
    </row>
    <row r="601" spans="2:5" ht="12.75">
      <c r="B601" s="107"/>
      <c r="C601" s="290"/>
      <c r="D601" s="107"/>
      <c r="E601" s="107"/>
    </row>
    <row r="602" spans="2:5" ht="12.75">
      <c r="B602" s="107"/>
      <c r="C602" s="290"/>
      <c r="D602" s="107"/>
      <c r="E602" s="107"/>
    </row>
    <row r="603" spans="2:5" ht="12.75">
      <c r="B603" s="107"/>
      <c r="C603" s="290"/>
      <c r="D603" s="107"/>
      <c r="E603" s="107"/>
    </row>
    <row r="604" spans="2:5" ht="12.75">
      <c r="B604" s="107"/>
      <c r="C604" s="290"/>
      <c r="D604" s="107"/>
      <c r="E604" s="107"/>
    </row>
    <row r="605" spans="2:5" ht="12.75">
      <c r="B605" s="107"/>
      <c r="C605" s="290"/>
      <c r="D605" s="107"/>
      <c r="E605" s="107"/>
    </row>
    <row r="606" spans="2:5" ht="12.75">
      <c r="B606" s="107"/>
      <c r="C606" s="290"/>
      <c r="D606" s="107"/>
      <c r="E606" s="107"/>
    </row>
    <row r="607" spans="2:5" ht="12.75">
      <c r="B607" s="107"/>
      <c r="C607" s="290"/>
      <c r="D607" s="107"/>
      <c r="E607" s="107"/>
    </row>
    <row r="608" spans="2:5" ht="12.75">
      <c r="B608" s="107"/>
      <c r="C608" s="290"/>
      <c r="D608" s="107"/>
      <c r="E608" s="107"/>
    </row>
    <row r="609" spans="2:5" ht="12.75">
      <c r="B609" s="107"/>
      <c r="C609" s="290"/>
      <c r="D609" s="107"/>
      <c r="E609" s="107"/>
    </row>
    <row r="610" spans="2:5" ht="12.75">
      <c r="B610" s="107"/>
      <c r="C610" s="290"/>
      <c r="D610" s="107"/>
      <c r="E610" s="107"/>
    </row>
    <row r="611" spans="2:5" ht="12.75">
      <c r="B611" s="107"/>
      <c r="C611" s="290"/>
      <c r="D611" s="107"/>
      <c r="E611" s="107"/>
    </row>
    <row r="612" spans="2:5" ht="12.75">
      <c r="B612" s="107"/>
      <c r="C612" s="290"/>
      <c r="D612" s="107"/>
      <c r="E612" s="107"/>
    </row>
    <row r="613" spans="2:5" ht="12.75">
      <c r="B613" s="107"/>
      <c r="C613" s="290"/>
      <c r="D613" s="107"/>
      <c r="E613" s="107"/>
    </row>
    <row r="614" spans="2:5" ht="12.75">
      <c r="B614" s="107"/>
      <c r="C614" s="290"/>
      <c r="D614" s="107"/>
      <c r="E614" s="107"/>
    </row>
    <row r="615" spans="2:5" ht="12.75">
      <c r="B615" s="107"/>
      <c r="C615" s="290"/>
      <c r="D615" s="107"/>
      <c r="E615" s="107"/>
    </row>
    <row r="616" spans="2:5" ht="12.75">
      <c r="B616" s="107"/>
      <c r="C616" s="290"/>
      <c r="D616" s="107"/>
      <c r="E616" s="107"/>
    </row>
    <row r="617" spans="2:5" ht="12.75">
      <c r="B617" s="107"/>
      <c r="C617" s="290"/>
      <c r="D617" s="107"/>
      <c r="E617" s="107"/>
    </row>
    <row r="618" spans="2:5" ht="12.75">
      <c r="B618" s="107"/>
      <c r="C618" s="290"/>
      <c r="D618" s="107"/>
      <c r="E618" s="107"/>
    </row>
    <row r="619" spans="2:5" ht="12.75">
      <c r="B619" s="107"/>
      <c r="C619" s="290"/>
      <c r="D619" s="107"/>
      <c r="E619" s="107"/>
    </row>
    <row r="620" spans="2:5" ht="12.75">
      <c r="B620" s="107"/>
      <c r="C620" s="290"/>
      <c r="D620" s="107"/>
      <c r="E620" s="107"/>
    </row>
    <row r="621" spans="2:5" ht="12.75">
      <c r="B621" s="107"/>
      <c r="C621" s="290"/>
      <c r="D621" s="107"/>
      <c r="E621" s="107"/>
    </row>
    <row r="622" spans="2:5" ht="12.75">
      <c r="B622" s="107"/>
      <c r="C622" s="290"/>
      <c r="D622" s="107"/>
      <c r="E622" s="107"/>
    </row>
    <row r="623" spans="2:5" ht="12.75">
      <c r="B623" s="107"/>
      <c r="C623" s="290"/>
      <c r="D623" s="107"/>
      <c r="E623" s="107"/>
    </row>
    <row r="624" spans="2:5" ht="12.75">
      <c r="B624" s="107"/>
      <c r="C624" s="290"/>
      <c r="D624" s="107"/>
      <c r="E624" s="107"/>
    </row>
    <row r="625" spans="2:5" ht="12.75">
      <c r="B625" s="107"/>
      <c r="C625" s="290"/>
      <c r="D625" s="107"/>
      <c r="E625" s="107"/>
    </row>
    <row r="626" spans="2:5" ht="12.75">
      <c r="B626" s="107"/>
      <c r="C626" s="290"/>
      <c r="D626" s="107"/>
      <c r="E626" s="107"/>
    </row>
    <row r="627" spans="2:5" ht="12.75">
      <c r="B627" s="107"/>
      <c r="C627" s="290"/>
      <c r="D627" s="107"/>
      <c r="E627" s="107"/>
    </row>
    <row r="628" spans="2:5" ht="12.75">
      <c r="B628" s="107"/>
      <c r="C628" s="290"/>
      <c r="D628" s="107"/>
      <c r="E628" s="107"/>
    </row>
    <row r="629" spans="2:5" ht="12.75">
      <c r="B629" s="107"/>
      <c r="C629" s="290"/>
      <c r="D629" s="107"/>
      <c r="E629" s="107"/>
    </row>
    <row r="630" spans="2:5" ht="12.75">
      <c r="B630" s="107"/>
      <c r="C630" s="290"/>
      <c r="D630" s="107"/>
      <c r="E630" s="107"/>
    </row>
    <row r="631" spans="2:5" ht="12.75">
      <c r="B631" s="107"/>
      <c r="C631" s="290"/>
      <c r="D631" s="107"/>
      <c r="E631" s="107"/>
    </row>
    <row r="632" spans="2:5" ht="12.75">
      <c r="B632" s="107"/>
      <c r="C632" s="290"/>
      <c r="D632" s="107"/>
      <c r="E632" s="107"/>
    </row>
    <row r="633" spans="2:5" ht="12.75">
      <c r="B633" s="107"/>
      <c r="C633" s="290"/>
      <c r="D633" s="107"/>
      <c r="E633" s="107"/>
    </row>
    <row r="634" spans="2:5" ht="12.75">
      <c r="B634" s="107"/>
      <c r="C634" s="290"/>
      <c r="D634" s="107"/>
      <c r="E634" s="107"/>
    </row>
    <row r="635" spans="2:5" ht="12.75">
      <c r="B635" s="107"/>
      <c r="C635" s="290"/>
      <c r="D635" s="107"/>
      <c r="E635" s="107"/>
    </row>
    <row r="636" spans="2:5" ht="12.75">
      <c r="B636" s="107"/>
      <c r="C636" s="290"/>
      <c r="D636" s="107"/>
      <c r="E636" s="107"/>
    </row>
    <row r="637" spans="2:5" ht="12.75">
      <c r="B637" s="107"/>
      <c r="C637" s="290"/>
      <c r="D637" s="107"/>
      <c r="E637" s="107"/>
    </row>
    <row r="638" spans="2:5" ht="12.75">
      <c r="B638" s="107"/>
      <c r="C638" s="290"/>
      <c r="D638" s="107"/>
      <c r="E638" s="107"/>
    </row>
    <row r="639" spans="2:5" ht="12.75">
      <c r="B639" s="107"/>
      <c r="C639" s="290"/>
      <c r="D639" s="107"/>
      <c r="E639" s="107"/>
    </row>
    <row r="640" spans="2:5" ht="12.75">
      <c r="B640" s="107"/>
      <c r="C640" s="290"/>
      <c r="D640" s="107"/>
      <c r="E640" s="107"/>
    </row>
    <row r="641" spans="2:5" ht="12.75">
      <c r="B641" s="107"/>
      <c r="C641" s="290"/>
      <c r="D641" s="107"/>
      <c r="E641" s="107"/>
    </row>
    <row r="642" spans="2:5" ht="12.75">
      <c r="B642" s="107"/>
      <c r="C642" s="290"/>
      <c r="D642" s="107"/>
      <c r="E642" s="107"/>
    </row>
    <row r="643" spans="2:5" ht="12.75">
      <c r="B643" s="107"/>
      <c r="C643" s="290"/>
      <c r="D643" s="107"/>
      <c r="E643" s="107"/>
    </row>
    <row r="644" spans="2:5" ht="12.75">
      <c r="B644" s="107"/>
      <c r="C644" s="290"/>
      <c r="D644" s="107"/>
      <c r="E644" s="107"/>
    </row>
    <row r="645" spans="2:5" ht="12.75">
      <c r="B645" s="107"/>
      <c r="C645" s="290"/>
      <c r="D645" s="107"/>
      <c r="E645" s="107"/>
    </row>
    <row r="646" spans="2:5" ht="12.75">
      <c r="B646" s="107"/>
      <c r="C646" s="290"/>
      <c r="D646" s="107"/>
      <c r="E646" s="107"/>
    </row>
    <row r="647" spans="2:5" ht="12.75">
      <c r="B647" s="107"/>
      <c r="C647" s="290"/>
      <c r="D647" s="107"/>
      <c r="E647" s="107"/>
    </row>
    <row r="648" spans="2:5" ht="12.75">
      <c r="B648" s="107"/>
      <c r="C648" s="290"/>
      <c r="D648" s="107"/>
      <c r="E648" s="107"/>
    </row>
    <row r="649" spans="2:5" ht="12.75">
      <c r="B649" s="107"/>
      <c r="C649" s="290"/>
      <c r="D649" s="107"/>
      <c r="E649" s="107"/>
    </row>
    <row r="650" spans="2:5" ht="12.75">
      <c r="B650" s="107"/>
      <c r="C650" s="290"/>
      <c r="D650" s="107"/>
      <c r="E650" s="107"/>
    </row>
    <row r="651" spans="2:5" ht="12.75">
      <c r="B651" s="107"/>
      <c r="C651" s="290"/>
      <c r="D651" s="107"/>
      <c r="E651" s="107"/>
    </row>
    <row r="652" spans="2:5" ht="12.75">
      <c r="B652" s="107"/>
      <c r="C652" s="290"/>
      <c r="D652" s="107"/>
      <c r="E652" s="107"/>
    </row>
    <row r="653" spans="2:5" ht="12.75">
      <c r="B653" s="107"/>
      <c r="C653" s="290"/>
      <c r="D653" s="107"/>
      <c r="E653" s="107"/>
    </row>
    <row r="654" spans="2:5" ht="12.75">
      <c r="B654" s="107"/>
      <c r="C654" s="290"/>
      <c r="D654" s="107"/>
      <c r="E654" s="107"/>
    </row>
    <row r="655" spans="2:5" ht="12.75">
      <c r="B655" s="107"/>
      <c r="C655" s="290"/>
      <c r="D655" s="107"/>
      <c r="E655" s="107"/>
    </row>
    <row r="656" spans="2:5" ht="12.75">
      <c r="B656" s="107"/>
      <c r="C656" s="290"/>
      <c r="D656" s="107"/>
      <c r="E656" s="107"/>
    </row>
    <row r="657" spans="2:5" ht="12.75">
      <c r="B657" s="107"/>
      <c r="C657" s="290"/>
      <c r="D657" s="107"/>
      <c r="E657" s="107"/>
    </row>
    <row r="658" spans="2:5" ht="12.75">
      <c r="B658" s="107"/>
      <c r="C658" s="290"/>
      <c r="D658" s="107"/>
      <c r="E658" s="107"/>
    </row>
    <row r="659" spans="2:5" ht="12.75">
      <c r="B659" s="107"/>
      <c r="C659" s="290"/>
      <c r="D659" s="107"/>
      <c r="E659" s="107"/>
    </row>
    <row r="660" spans="2:5" ht="12.75">
      <c r="B660" s="107"/>
      <c r="C660" s="290"/>
      <c r="D660" s="107"/>
      <c r="E660" s="107"/>
    </row>
    <row r="661" spans="2:5" ht="12.75">
      <c r="B661" s="107"/>
      <c r="C661" s="290"/>
      <c r="D661" s="107"/>
      <c r="E661" s="107"/>
    </row>
    <row r="662" spans="2:5" ht="12.75">
      <c r="B662" s="107"/>
      <c r="C662" s="290"/>
      <c r="D662" s="107"/>
      <c r="E662" s="107"/>
    </row>
    <row r="663" spans="2:5" ht="12.75">
      <c r="B663" s="107"/>
      <c r="C663" s="290"/>
      <c r="D663" s="107"/>
      <c r="E663" s="107"/>
    </row>
    <row r="664" spans="2:5" ht="12.75">
      <c r="B664" s="107"/>
      <c r="C664" s="290"/>
      <c r="D664" s="107"/>
      <c r="E664" s="107"/>
    </row>
    <row r="665" spans="2:5" ht="12.75">
      <c r="B665" s="107"/>
      <c r="C665" s="290"/>
      <c r="D665" s="107"/>
      <c r="E665" s="107"/>
    </row>
    <row r="666" spans="2:5" ht="12.75">
      <c r="B666" s="107"/>
      <c r="C666" s="290"/>
      <c r="D666" s="107"/>
      <c r="E666" s="107"/>
    </row>
    <row r="667" spans="2:5" ht="12.75">
      <c r="B667" s="107"/>
      <c r="C667" s="290"/>
      <c r="D667" s="107"/>
      <c r="E667" s="107"/>
    </row>
    <row r="668" spans="2:5" ht="12.75">
      <c r="B668" s="107"/>
      <c r="C668" s="290"/>
      <c r="D668" s="107"/>
      <c r="E668" s="107"/>
    </row>
    <row r="669" spans="2:5" ht="12.75">
      <c r="B669" s="107"/>
      <c r="C669" s="290"/>
      <c r="D669" s="107"/>
      <c r="E669" s="107"/>
    </row>
    <row r="670" spans="2:5" ht="12.75">
      <c r="B670" s="107"/>
      <c r="C670" s="290"/>
      <c r="D670" s="107"/>
      <c r="E670" s="107"/>
    </row>
    <row r="671" spans="2:5" ht="12.75">
      <c r="B671" s="107"/>
      <c r="C671" s="290"/>
      <c r="D671" s="107"/>
      <c r="E671" s="107"/>
    </row>
    <row r="672" spans="2:5" ht="12.75">
      <c r="B672" s="107"/>
      <c r="C672" s="290"/>
      <c r="D672" s="107"/>
      <c r="E672" s="107"/>
    </row>
    <row r="673" spans="2:5" ht="12.75">
      <c r="B673" s="107"/>
      <c r="C673" s="290"/>
      <c r="D673" s="107"/>
      <c r="E673" s="107"/>
    </row>
    <row r="674" spans="2:5" ht="12.75">
      <c r="B674" s="107"/>
      <c r="C674" s="290"/>
      <c r="D674" s="107"/>
      <c r="E674" s="107"/>
    </row>
    <row r="675" spans="2:5" ht="12.75">
      <c r="B675" s="107"/>
      <c r="C675" s="290"/>
      <c r="D675" s="107"/>
      <c r="E675" s="107"/>
    </row>
    <row r="676" spans="2:5" ht="12.75">
      <c r="B676" s="107"/>
      <c r="C676" s="290"/>
      <c r="D676" s="107"/>
      <c r="E676" s="107"/>
    </row>
    <row r="677" spans="2:5" ht="12.75">
      <c r="B677" s="107"/>
      <c r="C677" s="290"/>
      <c r="D677" s="107"/>
      <c r="E677" s="107"/>
    </row>
    <row r="678" spans="2:5" ht="12.75">
      <c r="B678" s="107"/>
      <c r="C678" s="290"/>
      <c r="D678" s="107"/>
      <c r="E678" s="107"/>
    </row>
    <row r="679" spans="2:5" ht="12.75">
      <c r="B679" s="107"/>
      <c r="C679" s="290"/>
      <c r="D679" s="107"/>
      <c r="E679" s="107"/>
    </row>
    <row r="680" spans="2:5" ht="12.75">
      <c r="B680" s="107"/>
      <c r="C680" s="290"/>
      <c r="D680" s="107"/>
      <c r="E680" s="107"/>
    </row>
    <row r="681" spans="2:5" ht="12.75">
      <c r="B681" s="107"/>
      <c r="C681" s="290"/>
      <c r="D681" s="107"/>
      <c r="E681" s="107"/>
    </row>
    <row r="682" spans="2:5" ht="12.75">
      <c r="B682" s="107"/>
      <c r="C682" s="290"/>
      <c r="D682" s="107"/>
      <c r="E682" s="107"/>
    </row>
    <row r="683" spans="2:5" ht="12.75">
      <c r="B683" s="107"/>
      <c r="C683" s="290"/>
      <c r="D683" s="107"/>
      <c r="E683" s="107"/>
    </row>
    <row r="684" spans="2:5" ht="12.75">
      <c r="B684" s="107"/>
      <c r="C684" s="290"/>
      <c r="D684" s="107"/>
      <c r="E684" s="107"/>
    </row>
    <row r="685" spans="2:5" ht="12.75">
      <c r="B685" s="107"/>
      <c r="C685" s="290"/>
      <c r="D685" s="107"/>
      <c r="E685" s="107"/>
    </row>
    <row r="686" spans="2:5" ht="12.75">
      <c r="B686" s="107"/>
      <c r="C686" s="290"/>
      <c r="D686" s="107"/>
      <c r="E686" s="107"/>
    </row>
    <row r="687" spans="2:5" ht="12.75">
      <c r="B687" s="107"/>
      <c r="C687" s="290"/>
      <c r="D687" s="107"/>
      <c r="E687" s="107"/>
    </row>
    <row r="688" spans="2:5" ht="12.75">
      <c r="B688" s="107"/>
      <c r="C688" s="290"/>
      <c r="D688" s="107"/>
      <c r="E688" s="107"/>
    </row>
    <row r="689" spans="2:5" ht="12.75">
      <c r="B689" s="107"/>
      <c r="C689" s="290"/>
      <c r="D689" s="107"/>
      <c r="E689" s="107"/>
    </row>
    <row r="690" spans="2:5" ht="12.75">
      <c r="B690" s="107"/>
      <c r="C690" s="290"/>
      <c r="D690" s="107"/>
      <c r="E690" s="107"/>
    </row>
    <row r="691" spans="2:5" ht="12.75">
      <c r="B691" s="107"/>
      <c r="C691" s="290"/>
      <c r="D691" s="107"/>
      <c r="E691" s="107"/>
    </row>
    <row r="692" spans="2:5" ht="12.75">
      <c r="B692" s="107"/>
      <c r="C692" s="290"/>
      <c r="D692" s="107"/>
      <c r="E692" s="107"/>
    </row>
    <row r="693" spans="2:5" ht="12.75">
      <c r="B693" s="107"/>
      <c r="C693" s="290"/>
      <c r="D693" s="107"/>
      <c r="E693" s="107"/>
    </row>
    <row r="694" spans="2:5" ht="12.75">
      <c r="B694" s="107"/>
      <c r="C694" s="290"/>
      <c r="D694" s="107"/>
      <c r="E694" s="107"/>
    </row>
    <row r="695" spans="2:5" ht="12.75">
      <c r="B695" s="107"/>
      <c r="C695" s="290"/>
      <c r="D695" s="107"/>
      <c r="E695" s="107"/>
    </row>
    <row r="696" spans="2:5" ht="12.75">
      <c r="B696" s="107"/>
      <c r="C696" s="290"/>
      <c r="D696" s="107"/>
      <c r="E696" s="107"/>
    </row>
    <row r="697" spans="2:5" ht="12.75">
      <c r="B697" s="107"/>
      <c r="C697" s="290"/>
      <c r="D697" s="107"/>
      <c r="E697" s="107"/>
    </row>
    <row r="698" spans="2:5" ht="12.75">
      <c r="B698" s="107"/>
      <c r="C698" s="290"/>
      <c r="D698" s="107"/>
      <c r="E698" s="107"/>
    </row>
    <row r="699" spans="2:5" ht="12.75">
      <c r="B699" s="107"/>
      <c r="C699" s="290"/>
      <c r="D699" s="107"/>
      <c r="E699" s="107"/>
    </row>
    <row r="700" spans="2:5" ht="12.75">
      <c r="B700" s="107"/>
      <c r="C700" s="290"/>
      <c r="D700" s="107"/>
      <c r="E700" s="107"/>
    </row>
    <row r="701" spans="2:5" ht="12.75">
      <c r="B701" s="107"/>
      <c r="C701" s="290"/>
      <c r="D701" s="107"/>
      <c r="E701" s="107"/>
    </row>
    <row r="702" spans="2:5" ht="12.75">
      <c r="B702" s="107"/>
      <c r="C702" s="290"/>
      <c r="D702" s="107"/>
      <c r="E702" s="107"/>
    </row>
    <row r="703" spans="2:5" ht="12.75">
      <c r="B703" s="107"/>
      <c r="C703" s="290"/>
      <c r="D703" s="107"/>
      <c r="E703" s="107"/>
    </row>
    <row r="704" spans="2:5" ht="12.75">
      <c r="B704" s="107"/>
      <c r="C704" s="290"/>
      <c r="D704" s="107"/>
      <c r="E704" s="107"/>
    </row>
    <row r="705" spans="2:5" ht="12.75">
      <c r="B705" s="107"/>
      <c r="C705" s="290"/>
      <c r="D705" s="107"/>
      <c r="E705" s="107"/>
    </row>
    <row r="706" spans="2:5" ht="12.75">
      <c r="B706" s="107"/>
      <c r="C706" s="290"/>
      <c r="D706" s="107"/>
      <c r="E706" s="107"/>
    </row>
    <row r="707" spans="2:5" ht="12.75">
      <c r="B707" s="107"/>
      <c r="C707" s="290"/>
      <c r="D707" s="107"/>
      <c r="E707" s="107"/>
    </row>
    <row r="708" spans="2:5" ht="12.75">
      <c r="B708" s="107"/>
      <c r="C708" s="290"/>
      <c r="D708" s="107"/>
      <c r="E708" s="107"/>
    </row>
    <row r="709" spans="2:5" ht="12.75">
      <c r="B709" s="107"/>
      <c r="C709" s="290"/>
      <c r="D709" s="107"/>
      <c r="E709" s="107"/>
    </row>
    <row r="710" spans="2:5" ht="12.75">
      <c r="B710" s="107"/>
      <c r="C710" s="290"/>
      <c r="D710" s="107"/>
      <c r="E710" s="107"/>
    </row>
    <row r="711" spans="2:5" ht="12.75">
      <c r="B711" s="107"/>
      <c r="C711" s="290"/>
      <c r="D711" s="107"/>
      <c r="E711" s="107"/>
    </row>
    <row r="712" spans="2:5" ht="12.75">
      <c r="B712" s="107"/>
      <c r="C712" s="290"/>
      <c r="D712" s="107"/>
      <c r="E712" s="107"/>
    </row>
    <row r="713" spans="2:5" ht="12.75">
      <c r="B713" s="107"/>
      <c r="C713" s="290"/>
      <c r="D713" s="107"/>
      <c r="E713" s="107"/>
    </row>
    <row r="714" spans="2:5" ht="12.75">
      <c r="B714" s="107"/>
      <c r="C714" s="290"/>
      <c r="D714" s="107"/>
      <c r="E714" s="107"/>
    </row>
    <row r="715" spans="2:5" ht="12.75">
      <c r="B715" s="107"/>
      <c r="C715" s="290"/>
      <c r="D715" s="107"/>
      <c r="E715" s="107"/>
    </row>
    <row r="716" spans="2:5" ht="12.75">
      <c r="B716" s="107"/>
      <c r="C716" s="290"/>
      <c r="D716" s="107"/>
      <c r="E716" s="107"/>
    </row>
    <row r="717" spans="2:5" ht="12.75">
      <c r="B717" s="107"/>
      <c r="C717" s="290"/>
      <c r="D717" s="107"/>
      <c r="E717" s="107"/>
    </row>
    <row r="718" spans="2:5" ht="12.75">
      <c r="B718" s="107"/>
      <c r="C718" s="290"/>
      <c r="D718" s="107"/>
      <c r="E718" s="107"/>
    </row>
    <row r="719" spans="2:5" ht="12.75">
      <c r="B719" s="107"/>
      <c r="C719" s="290"/>
      <c r="D719" s="107"/>
      <c r="E719" s="107"/>
    </row>
    <row r="720" spans="2:5" ht="12.75">
      <c r="B720" s="107"/>
      <c r="C720" s="290"/>
      <c r="D720" s="107"/>
      <c r="E720" s="107"/>
    </row>
    <row r="721" spans="2:5" ht="12.75">
      <c r="B721" s="107"/>
      <c r="C721" s="290"/>
      <c r="D721" s="107"/>
      <c r="E721" s="107"/>
    </row>
    <row r="722" spans="2:5" ht="12.75">
      <c r="B722" s="107"/>
      <c r="C722" s="290"/>
      <c r="D722" s="107"/>
      <c r="E722" s="107"/>
    </row>
    <row r="723" spans="2:5" ht="12.75">
      <c r="B723" s="107"/>
      <c r="C723" s="290"/>
      <c r="D723" s="107"/>
      <c r="E723" s="107"/>
    </row>
    <row r="724" spans="2:5" ht="12.75">
      <c r="B724" s="107"/>
      <c r="C724" s="290"/>
      <c r="D724" s="107"/>
      <c r="E724" s="107"/>
    </row>
    <row r="725" spans="2:5" ht="12.75">
      <c r="B725" s="107"/>
      <c r="C725" s="290"/>
      <c r="D725" s="107"/>
      <c r="E725" s="107"/>
    </row>
    <row r="726" spans="2:5" ht="12.75">
      <c r="B726" s="107"/>
      <c r="C726" s="290"/>
      <c r="D726" s="107"/>
      <c r="E726" s="107"/>
    </row>
    <row r="727" spans="2:5" ht="12.75">
      <c r="B727" s="107"/>
      <c r="C727" s="290"/>
      <c r="D727" s="107"/>
      <c r="E727" s="107"/>
    </row>
    <row r="728" spans="2:5" ht="12.75">
      <c r="B728" s="107"/>
      <c r="C728" s="290"/>
      <c r="D728" s="107"/>
      <c r="E728" s="107"/>
    </row>
    <row r="729" spans="2:5" ht="12.75">
      <c r="B729" s="107"/>
      <c r="C729" s="290"/>
      <c r="D729" s="107"/>
      <c r="E729" s="107"/>
    </row>
    <row r="730" spans="2:5" ht="12.75">
      <c r="B730" s="107"/>
      <c r="C730" s="290"/>
      <c r="D730" s="107"/>
      <c r="E730" s="107"/>
    </row>
    <row r="731" spans="2:5" ht="12.75">
      <c r="B731" s="107"/>
      <c r="C731" s="290"/>
      <c r="D731" s="107"/>
      <c r="E731" s="107"/>
    </row>
    <row r="732" spans="2:5" ht="12.75">
      <c r="B732" s="107"/>
      <c r="C732" s="290"/>
      <c r="D732" s="107"/>
      <c r="E732" s="107"/>
    </row>
    <row r="733" spans="2:5" ht="12.75">
      <c r="B733" s="107"/>
      <c r="C733" s="290"/>
      <c r="D733" s="107"/>
      <c r="E733" s="107"/>
    </row>
    <row r="734" spans="2:5" ht="12.75">
      <c r="B734" s="107"/>
      <c r="C734" s="290"/>
      <c r="D734" s="107"/>
      <c r="E734" s="107"/>
    </row>
    <row r="735" spans="2:5" ht="12.75">
      <c r="B735" s="107"/>
      <c r="C735" s="290"/>
      <c r="D735" s="107"/>
      <c r="E735" s="107"/>
    </row>
    <row r="736" spans="2:5" ht="12.75">
      <c r="B736" s="107"/>
      <c r="C736" s="290"/>
      <c r="D736" s="107"/>
      <c r="E736" s="107"/>
    </row>
    <row r="737" spans="2:5" ht="12.75">
      <c r="B737" s="107"/>
      <c r="C737" s="290"/>
      <c r="D737" s="107"/>
      <c r="E737" s="107"/>
    </row>
    <row r="738" spans="2:5" ht="12.75">
      <c r="B738" s="107"/>
      <c r="C738" s="290"/>
      <c r="D738" s="107"/>
      <c r="E738" s="107"/>
    </row>
    <row r="739" spans="2:5" ht="12.75">
      <c r="B739" s="107"/>
      <c r="C739" s="290"/>
      <c r="D739" s="107"/>
      <c r="E739" s="107"/>
    </row>
    <row r="740" spans="2:5" ht="12.75">
      <c r="B740" s="107"/>
      <c r="C740" s="290"/>
      <c r="D740" s="107"/>
      <c r="E740" s="107"/>
    </row>
    <row r="741" spans="2:5" ht="12.75">
      <c r="B741" s="107"/>
      <c r="C741" s="290"/>
      <c r="D741" s="107"/>
      <c r="E741" s="107"/>
    </row>
    <row r="742" spans="2:5" ht="12.75">
      <c r="B742" s="107"/>
      <c r="C742" s="290"/>
      <c r="D742" s="107"/>
      <c r="E742" s="107"/>
    </row>
    <row r="743" spans="2:5" ht="12.75">
      <c r="B743" s="107"/>
      <c r="C743" s="290"/>
      <c r="D743" s="107"/>
      <c r="E743" s="107"/>
    </row>
    <row r="744" spans="2:5" ht="12.75">
      <c r="B744" s="107"/>
      <c r="C744" s="290"/>
      <c r="D744" s="107"/>
      <c r="E744" s="107"/>
    </row>
    <row r="745" spans="2:5" ht="12.75">
      <c r="B745" s="107"/>
      <c r="C745" s="290"/>
      <c r="D745" s="107"/>
      <c r="E745" s="107"/>
    </row>
    <row r="746" spans="2:5" ht="12.75">
      <c r="B746" s="107"/>
      <c r="C746" s="290"/>
      <c r="D746" s="107"/>
      <c r="E746" s="107"/>
    </row>
    <row r="747" spans="2:5" ht="12.75">
      <c r="B747" s="107"/>
      <c r="C747" s="290"/>
      <c r="D747" s="107"/>
      <c r="E747" s="107"/>
    </row>
    <row r="748" spans="2:5" ht="12.75">
      <c r="B748" s="107"/>
      <c r="C748" s="290"/>
      <c r="D748" s="107"/>
      <c r="E748" s="107"/>
    </row>
    <row r="749" spans="2:5" ht="12.75">
      <c r="B749" s="107"/>
      <c r="C749" s="290"/>
      <c r="D749" s="107"/>
      <c r="E749" s="107"/>
    </row>
    <row r="750" spans="2:5" ht="12.75">
      <c r="B750" s="107"/>
      <c r="C750" s="290"/>
      <c r="D750" s="107"/>
      <c r="E750" s="107"/>
    </row>
    <row r="751" spans="2:5" ht="12.75">
      <c r="B751" s="107"/>
      <c r="C751" s="290"/>
      <c r="D751" s="107"/>
      <c r="E751" s="107"/>
    </row>
    <row r="752" spans="2:5" ht="12.75">
      <c r="B752" s="107"/>
      <c r="C752" s="290"/>
      <c r="D752" s="107"/>
      <c r="E752" s="107"/>
    </row>
    <row r="753" spans="2:5" ht="12.75">
      <c r="B753" s="107"/>
      <c r="C753" s="290"/>
      <c r="D753" s="107"/>
      <c r="E753" s="107"/>
    </row>
    <row r="754" spans="2:5" ht="12.75">
      <c r="B754" s="107"/>
      <c r="C754" s="290"/>
      <c r="D754" s="107"/>
      <c r="E754" s="107"/>
    </row>
    <row r="755" spans="2:5" ht="12.75">
      <c r="B755" s="107"/>
      <c r="C755" s="290"/>
      <c r="D755" s="107"/>
      <c r="E755" s="107"/>
    </row>
    <row r="756" spans="2:5" ht="12.75">
      <c r="B756" s="107"/>
      <c r="C756" s="290"/>
      <c r="D756" s="107"/>
      <c r="E756" s="107"/>
    </row>
    <row r="757" spans="2:5" ht="12.75">
      <c r="B757" s="107"/>
      <c r="C757" s="290"/>
      <c r="D757" s="107"/>
      <c r="E757" s="107"/>
    </row>
    <row r="758" spans="2:5" ht="12.75">
      <c r="B758" s="107"/>
      <c r="C758" s="290"/>
      <c r="D758" s="107"/>
      <c r="E758" s="107"/>
    </row>
    <row r="759" spans="2:5" ht="12.75">
      <c r="B759" s="107"/>
      <c r="C759" s="290"/>
      <c r="D759" s="107"/>
      <c r="E759" s="107"/>
    </row>
    <row r="760" spans="2:5" ht="12.75">
      <c r="B760" s="107"/>
      <c r="C760" s="290"/>
      <c r="D760" s="107"/>
      <c r="E760" s="107"/>
    </row>
    <row r="761" spans="2:5" ht="12.75">
      <c r="B761" s="107"/>
      <c r="C761" s="290"/>
      <c r="D761" s="107"/>
      <c r="E761" s="107"/>
    </row>
    <row r="762" spans="2:5" ht="12.75">
      <c r="B762" s="107"/>
      <c r="C762" s="290"/>
      <c r="D762" s="107"/>
      <c r="E762" s="107"/>
    </row>
    <row r="763" spans="2:5" ht="12.75">
      <c r="B763" s="107"/>
      <c r="C763" s="290"/>
      <c r="D763" s="107"/>
      <c r="E763" s="107"/>
    </row>
    <row r="764" spans="2:5" ht="12.75">
      <c r="B764" s="107"/>
      <c r="C764" s="290"/>
      <c r="D764" s="107"/>
      <c r="E764" s="107"/>
    </row>
    <row r="765" spans="2:5" ht="12.75">
      <c r="B765" s="107"/>
      <c r="C765" s="290"/>
      <c r="D765" s="107"/>
      <c r="E765" s="107"/>
    </row>
    <row r="766" spans="2:5" ht="12.75">
      <c r="B766" s="107"/>
      <c r="C766" s="290"/>
      <c r="D766" s="107"/>
      <c r="E766" s="107"/>
    </row>
    <row r="767" spans="2:5" ht="12.75">
      <c r="B767" s="107"/>
      <c r="C767" s="290"/>
      <c r="D767" s="107"/>
      <c r="E767" s="107"/>
    </row>
    <row r="768" spans="2:5" ht="12.75">
      <c r="B768" s="107"/>
      <c r="C768" s="290"/>
      <c r="D768" s="107"/>
      <c r="E768" s="107"/>
    </row>
    <row r="769" spans="2:5" ht="12.75">
      <c r="B769" s="107"/>
      <c r="C769" s="290"/>
      <c r="D769" s="107"/>
      <c r="E769" s="107"/>
    </row>
    <row r="770" spans="2:5" ht="12.75">
      <c r="B770" s="107"/>
      <c r="C770" s="290"/>
      <c r="D770" s="107"/>
      <c r="E770" s="107"/>
    </row>
    <row r="771" spans="2:5" ht="12.75">
      <c r="B771" s="107"/>
      <c r="C771" s="290"/>
      <c r="D771" s="107"/>
      <c r="E771" s="107"/>
    </row>
    <row r="772" spans="2:5" ht="12.75">
      <c r="B772" s="107"/>
      <c r="C772" s="290"/>
      <c r="D772" s="107"/>
      <c r="E772" s="107"/>
    </row>
    <row r="773" spans="2:5" ht="12.75">
      <c r="B773" s="107"/>
      <c r="C773" s="290"/>
      <c r="D773" s="107"/>
      <c r="E773" s="107"/>
    </row>
    <row r="774" spans="2:5" ht="12.75">
      <c r="B774" s="107"/>
      <c r="C774" s="290"/>
      <c r="D774" s="107"/>
      <c r="E774" s="107"/>
    </row>
    <row r="775" spans="2:5" ht="12.75">
      <c r="B775" s="107"/>
      <c r="C775" s="290"/>
      <c r="D775" s="107"/>
      <c r="E775" s="107"/>
    </row>
    <row r="776" spans="2:5" ht="12.75">
      <c r="B776" s="107"/>
      <c r="C776" s="290"/>
      <c r="D776" s="107"/>
      <c r="E776" s="107"/>
    </row>
    <row r="777" spans="2:5" ht="12.75">
      <c r="B777" s="107"/>
      <c r="C777" s="290"/>
      <c r="D777" s="107"/>
      <c r="E777" s="107"/>
    </row>
    <row r="778" spans="2:5" ht="12.75">
      <c r="B778" s="107"/>
      <c r="C778" s="290"/>
      <c r="D778" s="107"/>
      <c r="E778" s="107"/>
    </row>
    <row r="779" spans="2:5" ht="12.75">
      <c r="B779" s="107"/>
      <c r="C779" s="290"/>
      <c r="D779" s="107"/>
      <c r="E779" s="107"/>
    </row>
    <row r="780" spans="2:5" ht="12.75">
      <c r="B780" s="107"/>
      <c r="C780" s="290"/>
      <c r="D780" s="107"/>
      <c r="E780" s="107"/>
    </row>
    <row r="781" spans="2:5" ht="12.75">
      <c r="B781" s="107"/>
      <c r="C781" s="290"/>
      <c r="D781" s="107"/>
      <c r="E781" s="107"/>
    </row>
    <row r="782" spans="2:5" ht="12.75">
      <c r="B782" s="107"/>
      <c r="C782" s="290"/>
      <c r="D782" s="107"/>
      <c r="E782" s="107"/>
    </row>
    <row r="783" spans="2:5" ht="12.75">
      <c r="B783" s="107"/>
      <c r="C783" s="290"/>
      <c r="D783" s="107"/>
      <c r="E783" s="107"/>
    </row>
    <row r="784" spans="2:5" ht="12.75">
      <c r="B784" s="107"/>
      <c r="C784" s="290"/>
      <c r="D784" s="107"/>
      <c r="E784" s="107"/>
    </row>
    <row r="785" spans="2:5" ht="12.75">
      <c r="B785" s="107"/>
      <c r="C785" s="290"/>
      <c r="D785" s="107"/>
      <c r="E785" s="107"/>
    </row>
    <row r="786" spans="2:5" ht="12.75">
      <c r="B786" s="107"/>
      <c r="C786" s="290"/>
      <c r="D786" s="107"/>
      <c r="E786" s="107"/>
    </row>
    <row r="787" spans="2:5" ht="12.75">
      <c r="B787" s="107"/>
      <c r="C787" s="290"/>
      <c r="D787" s="107"/>
      <c r="E787" s="107"/>
    </row>
    <row r="788" spans="2:5" ht="12.75">
      <c r="B788" s="107"/>
      <c r="C788" s="290"/>
      <c r="D788" s="107"/>
      <c r="E788" s="107"/>
    </row>
    <row r="789" spans="2:5" ht="12.75">
      <c r="B789" s="107"/>
      <c r="C789" s="290"/>
      <c r="D789" s="107"/>
      <c r="E789" s="107"/>
    </row>
    <row r="790" spans="2:5" ht="12.75">
      <c r="B790" s="107"/>
      <c r="C790" s="290"/>
      <c r="D790" s="107"/>
      <c r="E790" s="107"/>
    </row>
    <row r="791" spans="2:5" ht="12.75">
      <c r="B791" s="107"/>
      <c r="C791" s="290"/>
      <c r="D791" s="107"/>
      <c r="E791" s="107"/>
    </row>
    <row r="792" spans="2:5" ht="12.75">
      <c r="B792" s="107"/>
      <c r="C792" s="290"/>
      <c r="D792" s="107"/>
      <c r="E792" s="107"/>
    </row>
    <row r="793" spans="2:5" ht="12.75">
      <c r="B793" s="107"/>
      <c r="C793" s="290"/>
      <c r="D793" s="107"/>
      <c r="E793" s="107"/>
    </row>
    <row r="794" spans="2:5" ht="12.75">
      <c r="B794" s="107"/>
      <c r="C794" s="290"/>
      <c r="D794" s="107"/>
      <c r="E794" s="107"/>
    </row>
    <row r="795" spans="2:5" ht="12.75">
      <c r="B795" s="107"/>
      <c r="C795" s="290"/>
      <c r="D795" s="107"/>
      <c r="E795" s="107"/>
    </row>
    <row r="796" spans="2:5" ht="12.75">
      <c r="B796" s="107"/>
      <c r="C796" s="290"/>
      <c r="D796" s="107"/>
      <c r="E796" s="107"/>
    </row>
    <row r="797" spans="2:5" ht="12.75">
      <c r="B797" s="107"/>
      <c r="C797" s="290"/>
      <c r="D797" s="107"/>
      <c r="E797" s="107"/>
    </row>
    <row r="798" spans="2:5" ht="12.75">
      <c r="B798" s="107"/>
      <c r="C798" s="290"/>
      <c r="D798" s="107"/>
      <c r="E798" s="107"/>
    </row>
    <row r="799" spans="2:5" ht="12.75">
      <c r="B799" s="107"/>
      <c r="C799" s="290"/>
      <c r="D799" s="107"/>
      <c r="E799" s="107"/>
    </row>
    <row r="800" spans="2:5" ht="12.75">
      <c r="B800" s="107"/>
      <c r="C800" s="290"/>
      <c r="D800" s="107"/>
      <c r="E800" s="107"/>
    </row>
    <row r="801" spans="2:5" ht="12.75">
      <c r="B801" s="107"/>
      <c r="C801" s="290"/>
      <c r="D801" s="107"/>
      <c r="E801" s="107"/>
    </row>
    <row r="802" spans="2:5" ht="12.75">
      <c r="B802" s="107"/>
      <c r="C802" s="290"/>
      <c r="D802" s="107"/>
      <c r="E802" s="107"/>
    </row>
    <row r="803" spans="2:5" ht="12.75">
      <c r="B803" s="107"/>
      <c r="C803" s="290"/>
      <c r="D803" s="107"/>
      <c r="E803" s="107"/>
    </row>
    <row r="804" spans="2:5" ht="12.75">
      <c r="B804" s="107"/>
      <c r="C804" s="290"/>
      <c r="D804" s="107"/>
      <c r="E804" s="107"/>
    </row>
    <row r="805" spans="2:5" ht="12.75">
      <c r="B805" s="107"/>
      <c r="C805" s="290"/>
      <c r="D805" s="107"/>
      <c r="E805" s="107"/>
    </row>
    <row r="806" spans="2:5" ht="12.75">
      <c r="B806" s="107"/>
      <c r="C806" s="290"/>
      <c r="D806" s="107"/>
      <c r="E806" s="107"/>
    </row>
    <row r="807" spans="2:5" ht="12.75">
      <c r="B807" s="107"/>
      <c r="C807" s="290"/>
      <c r="D807" s="107"/>
      <c r="E807" s="107"/>
    </row>
    <row r="808" spans="2:5" ht="12.75">
      <c r="B808" s="107"/>
      <c r="C808" s="290"/>
      <c r="D808" s="107"/>
      <c r="E808" s="107"/>
    </row>
    <row r="809" spans="2:5" ht="12.75">
      <c r="B809" s="107"/>
      <c r="C809" s="290"/>
      <c r="D809" s="107"/>
      <c r="E809" s="107"/>
    </row>
    <row r="810" spans="2:5" ht="12.75">
      <c r="B810" s="107"/>
      <c r="C810" s="290"/>
      <c r="D810" s="107"/>
      <c r="E810" s="107"/>
    </row>
    <row r="811" spans="2:5" ht="12.75">
      <c r="B811" s="107"/>
      <c r="C811" s="290"/>
      <c r="D811" s="107"/>
      <c r="E811" s="107"/>
    </row>
    <row r="812" spans="2:5" ht="12.75">
      <c r="B812" s="107"/>
      <c r="C812" s="290"/>
      <c r="D812" s="107"/>
      <c r="E812" s="107"/>
    </row>
    <row r="813" spans="2:5" ht="12.75">
      <c r="B813" s="107"/>
      <c r="C813" s="290"/>
      <c r="D813" s="107"/>
      <c r="E813" s="107"/>
    </row>
    <row r="814" spans="2:5" ht="12.75">
      <c r="B814" s="107"/>
      <c r="C814" s="290"/>
      <c r="D814" s="107"/>
      <c r="E814" s="107"/>
    </row>
    <row r="815" spans="2:5" ht="12.75">
      <c r="B815" s="107"/>
      <c r="C815" s="290"/>
      <c r="D815" s="107"/>
      <c r="E815" s="107"/>
    </row>
    <row r="816" spans="2:5" ht="12.75">
      <c r="B816" s="107"/>
      <c r="C816" s="290"/>
      <c r="D816" s="107"/>
      <c r="E816" s="107"/>
    </row>
    <row r="817" spans="2:5" ht="12.75">
      <c r="B817" s="107"/>
      <c r="C817" s="290"/>
      <c r="D817" s="107"/>
      <c r="E817" s="107"/>
    </row>
    <row r="818" spans="2:5" ht="12.75">
      <c r="B818" s="107"/>
      <c r="C818" s="290"/>
      <c r="D818" s="107"/>
      <c r="E818" s="107"/>
    </row>
    <row r="819" spans="2:5" ht="12.75">
      <c r="B819" s="107"/>
      <c r="C819" s="290"/>
      <c r="D819" s="107"/>
      <c r="E819" s="107"/>
    </row>
    <row r="820" spans="2:5" ht="12.75">
      <c r="B820" s="107"/>
      <c r="C820" s="290"/>
      <c r="D820" s="107"/>
      <c r="E820" s="107"/>
    </row>
    <row r="821" spans="2:5" ht="12.75">
      <c r="B821" s="107"/>
      <c r="C821" s="290"/>
      <c r="D821" s="107"/>
      <c r="E821" s="107"/>
    </row>
    <row r="822" spans="2:5" ht="12.75">
      <c r="B822" s="107"/>
      <c r="C822" s="290"/>
      <c r="D822" s="107"/>
      <c r="E822" s="107"/>
    </row>
    <row r="823" spans="2:5" ht="12.75">
      <c r="B823" s="107"/>
      <c r="C823" s="290"/>
      <c r="D823" s="107"/>
      <c r="E823" s="107"/>
    </row>
    <row r="824" spans="2:5" ht="12.75">
      <c r="B824" s="107"/>
      <c r="C824" s="290"/>
      <c r="D824" s="107"/>
      <c r="E824" s="107"/>
    </row>
    <row r="825" spans="2:5" ht="12.75">
      <c r="B825" s="107"/>
      <c r="C825" s="290"/>
      <c r="D825" s="107"/>
      <c r="E825" s="107"/>
    </row>
    <row r="826" spans="2:5" ht="12.75">
      <c r="B826" s="107"/>
      <c r="C826" s="290"/>
      <c r="D826" s="107"/>
      <c r="E826" s="107"/>
    </row>
    <row r="827" spans="2:5" ht="12.75">
      <c r="B827" s="107"/>
      <c r="C827" s="290"/>
      <c r="D827" s="107"/>
      <c r="E827" s="107"/>
    </row>
    <row r="828" spans="2:5" ht="12.75">
      <c r="B828" s="107"/>
      <c r="C828" s="290"/>
      <c r="D828" s="107"/>
      <c r="E828" s="107"/>
    </row>
    <row r="829" spans="2:5" ht="12.75">
      <c r="B829" s="107"/>
      <c r="C829" s="290"/>
      <c r="D829" s="107"/>
      <c r="E829" s="107"/>
    </row>
    <row r="830" spans="2:5" ht="12.75">
      <c r="B830" s="107"/>
      <c r="C830" s="290"/>
      <c r="D830" s="107"/>
      <c r="E830" s="107"/>
    </row>
    <row r="831" spans="2:5" ht="12.75">
      <c r="B831" s="107"/>
      <c r="C831" s="290"/>
      <c r="D831" s="107"/>
      <c r="E831" s="107"/>
    </row>
    <row r="832" spans="2:5" ht="12.75">
      <c r="B832" s="107"/>
      <c r="C832" s="290"/>
      <c r="D832" s="107"/>
      <c r="E832" s="107"/>
    </row>
    <row r="833" spans="2:5" ht="12.75">
      <c r="B833" s="107"/>
      <c r="C833" s="290"/>
      <c r="D833" s="107"/>
      <c r="E833" s="107"/>
    </row>
    <row r="834" spans="2:5" ht="12.75">
      <c r="B834" s="107"/>
      <c r="C834" s="290"/>
      <c r="D834" s="107"/>
      <c r="E834" s="107"/>
    </row>
    <row r="835" spans="2:5" ht="12.75">
      <c r="B835" s="107"/>
      <c r="C835" s="290"/>
      <c r="D835" s="107"/>
      <c r="E835" s="107"/>
    </row>
    <row r="836" spans="2:5" ht="12.75">
      <c r="B836" s="107"/>
      <c r="C836" s="290"/>
      <c r="D836" s="107"/>
      <c r="E836" s="107"/>
    </row>
    <row r="837" spans="2:5" ht="12.75">
      <c r="B837" s="107"/>
      <c r="C837" s="290"/>
      <c r="D837" s="107"/>
      <c r="E837" s="107"/>
    </row>
    <row r="838" spans="2:5" ht="12.75">
      <c r="B838" s="107"/>
      <c r="C838" s="290"/>
      <c r="D838" s="107"/>
      <c r="E838" s="107"/>
    </row>
    <row r="839" spans="2:5" ht="12.75">
      <c r="B839" s="107"/>
      <c r="C839" s="290"/>
      <c r="D839" s="107"/>
      <c r="E839" s="107"/>
    </row>
    <row r="840" spans="2:5" ht="12.75">
      <c r="B840" s="107"/>
      <c r="C840" s="290"/>
      <c r="D840" s="107"/>
      <c r="E840" s="107"/>
    </row>
    <row r="841" spans="2:5" ht="12.75">
      <c r="B841" s="107"/>
      <c r="C841" s="290"/>
      <c r="D841" s="107"/>
      <c r="E841" s="107"/>
    </row>
    <row r="842" spans="2:5" ht="12.75">
      <c r="B842" s="107"/>
      <c r="C842" s="290"/>
      <c r="D842" s="107"/>
      <c r="E842" s="107"/>
    </row>
    <row r="843" spans="2:5" ht="12.75">
      <c r="B843" s="107"/>
      <c r="C843" s="290"/>
      <c r="D843" s="107"/>
      <c r="E843" s="107"/>
    </row>
    <row r="844" spans="2:5" ht="12.75">
      <c r="B844" s="107"/>
      <c r="C844" s="290"/>
      <c r="D844" s="107"/>
      <c r="E844" s="107"/>
    </row>
    <row r="845" spans="2:5" ht="12.75">
      <c r="B845" s="107"/>
      <c r="C845" s="290"/>
      <c r="D845" s="107"/>
      <c r="E845" s="107"/>
    </row>
    <row r="846" spans="2:5" ht="12.75">
      <c r="B846" s="107"/>
      <c r="C846" s="290"/>
      <c r="D846" s="107"/>
      <c r="E846" s="107"/>
    </row>
    <row r="847" spans="2:5" ht="12.75">
      <c r="B847" s="107"/>
      <c r="C847" s="290"/>
      <c r="D847" s="107"/>
      <c r="E847" s="107"/>
    </row>
    <row r="848" spans="2:5" ht="12.75">
      <c r="B848" s="107"/>
      <c r="C848" s="290"/>
      <c r="D848" s="107"/>
      <c r="E848" s="107"/>
    </row>
    <row r="849" spans="2:5" ht="12.75">
      <c r="B849" s="107"/>
      <c r="C849" s="290"/>
      <c r="D849" s="107"/>
      <c r="E849" s="107"/>
    </row>
    <row r="850" spans="2:5" ht="12.75">
      <c r="B850" s="107"/>
      <c r="C850" s="290"/>
      <c r="D850" s="107"/>
      <c r="E850" s="107"/>
    </row>
    <row r="851" spans="2:5" ht="12.75">
      <c r="B851" s="107"/>
      <c r="C851" s="290"/>
      <c r="D851" s="107"/>
      <c r="E851" s="107"/>
    </row>
    <row r="852" spans="2:5" ht="12.75">
      <c r="B852" s="107"/>
      <c r="C852" s="290"/>
      <c r="D852" s="107"/>
      <c r="E852" s="107"/>
    </row>
    <row r="853" spans="2:5" ht="12.75">
      <c r="B853" s="107"/>
      <c r="C853" s="290"/>
      <c r="D853" s="107"/>
      <c r="E853" s="107"/>
    </row>
    <row r="854" spans="2:5" ht="12.75">
      <c r="B854" s="107"/>
      <c r="C854" s="290"/>
      <c r="D854" s="107"/>
      <c r="E854" s="107"/>
    </row>
    <row r="855" spans="2:5" ht="12.75">
      <c r="B855" s="107"/>
      <c r="C855" s="290"/>
      <c r="D855" s="107"/>
      <c r="E855" s="107"/>
    </row>
    <row r="856" spans="2:5" ht="12.75">
      <c r="B856" s="107"/>
      <c r="C856" s="290"/>
      <c r="D856" s="107"/>
      <c r="E856" s="107"/>
    </row>
    <row r="857" spans="2:5" ht="12.75">
      <c r="B857" s="107"/>
      <c r="C857" s="290"/>
      <c r="D857" s="107"/>
      <c r="E857" s="107"/>
    </row>
    <row r="858" spans="2:5" ht="12.75">
      <c r="B858" s="107"/>
      <c r="C858" s="290"/>
      <c r="D858" s="107"/>
      <c r="E858" s="107"/>
    </row>
    <row r="859" spans="2:5" ht="12.75">
      <c r="B859" s="107"/>
      <c r="C859" s="290"/>
      <c r="D859" s="107"/>
      <c r="E859" s="107"/>
    </row>
    <row r="860" spans="2:5" ht="12.75">
      <c r="B860" s="107"/>
      <c r="C860" s="290"/>
      <c r="D860" s="107"/>
      <c r="E860" s="107"/>
    </row>
    <row r="861" spans="2:5" ht="12.75">
      <c r="B861" s="107"/>
      <c r="C861" s="290"/>
      <c r="D861" s="107"/>
      <c r="E861" s="107"/>
    </row>
    <row r="862" spans="2:5" ht="12.75">
      <c r="B862" s="107"/>
      <c r="C862" s="290"/>
      <c r="D862" s="107"/>
      <c r="E862" s="107"/>
    </row>
    <row r="863" spans="2:5" ht="12.75">
      <c r="B863" s="107"/>
      <c r="C863" s="290"/>
      <c r="D863" s="107"/>
      <c r="E863" s="107"/>
    </row>
    <row r="864" spans="2:5" ht="12.75">
      <c r="B864" s="107"/>
      <c r="C864" s="290"/>
      <c r="D864" s="107"/>
      <c r="E864" s="107"/>
    </row>
    <row r="865" spans="2:5" ht="12.75">
      <c r="B865" s="107"/>
      <c r="C865" s="290"/>
      <c r="D865" s="107"/>
      <c r="E865" s="107"/>
    </row>
    <row r="866" spans="2:5" ht="12.75">
      <c r="B866" s="107"/>
      <c r="C866" s="290"/>
      <c r="D866" s="107"/>
      <c r="E866" s="107"/>
    </row>
    <row r="867" spans="2:5" ht="12.75">
      <c r="B867" s="107"/>
      <c r="C867" s="290"/>
      <c r="D867" s="107"/>
      <c r="E867" s="107"/>
    </row>
    <row r="868" spans="2:5" ht="12.75">
      <c r="B868" s="107"/>
      <c r="C868" s="290"/>
      <c r="D868" s="107"/>
      <c r="E868" s="107"/>
    </row>
    <row r="869" spans="2:5" ht="12.75">
      <c r="B869" s="107"/>
      <c r="C869" s="290"/>
      <c r="D869" s="107"/>
      <c r="E869" s="107"/>
    </row>
    <row r="870" spans="2:5" ht="12.75">
      <c r="B870" s="107"/>
      <c r="C870" s="290"/>
      <c r="D870" s="107"/>
      <c r="E870" s="107"/>
    </row>
    <row r="871" spans="2:5" ht="12.75">
      <c r="B871" s="107"/>
      <c r="C871" s="290"/>
      <c r="D871" s="107"/>
      <c r="E871" s="107"/>
    </row>
    <row r="872" spans="2:5" ht="12.75">
      <c r="B872" s="107"/>
      <c r="C872" s="290"/>
      <c r="D872" s="107"/>
      <c r="E872" s="107"/>
    </row>
    <row r="873" spans="2:5" ht="12.75">
      <c r="B873" s="107"/>
      <c r="C873" s="290"/>
      <c r="D873" s="107"/>
      <c r="E873" s="107"/>
    </row>
    <row r="874" spans="2:5" ht="12.75">
      <c r="B874" s="107"/>
      <c r="C874" s="290"/>
      <c r="D874" s="107"/>
      <c r="E874" s="107"/>
    </row>
    <row r="875" spans="2:5" ht="12.75">
      <c r="B875" s="107"/>
      <c r="C875" s="290"/>
      <c r="D875" s="107"/>
      <c r="E875" s="107"/>
    </row>
    <row r="876" spans="2:5" ht="12.75">
      <c r="B876" s="107"/>
      <c r="C876" s="290"/>
      <c r="D876" s="107"/>
      <c r="E876" s="107"/>
    </row>
    <row r="877" spans="2:5" ht="12.75">
      <c r="B877" s="107"/>
      <c r="C877" s="290"/>
      <c r="D877" s="107"/>
      <c r="E877" s="107"/>
    </row>
    <row r="878" spans="2:5" ht="12.75">
      <c r="B878" s="107"/>
      <c r="C878" s="290"/>
      <c r="D878" s="107"/>
      <c r="E878" s="107"/>
    </row>
    <row r="879" spans="2:5" ht="12.75">
      <c r="B879" s="107"/>
      <c r="C879" s="290"/>
      <c r="D879" s="107"/>
      <c r="E879" s="107"/>
    </row>
    <row r="880" spans="2:5" ht="12.75">
      <c r="B880" s="107"/>
      <c r="C880" s="290"/>
      <c r="D880" s="107"/>
      <c r="E880" s="107"/>
    </row>
    <row r="881" spans="2:5" ht="12.75">
      <c r="B881" s="107"/>
      <c r="C881" s="290"/>
      <c r="D881" s="107"/>
      <c r="E881" s="107"/>
    </row>
    <row r="882" spans="2:5" ht="12.75">
      <c r="B882" s="107"/>
      <c r="C882" s="290"/>
      <c r="D882" s="107"/>
      <c r="E882" s="107"/>
    </row>
    <row r="883" spans="2:5" ht="12.75">
      <c r="B883" s="107"/>
      <c r="C883" s="290"/>
      <c r="D883" s="107"/>
      <c r="E883" s="107"/>
    </row>
    <row r="884" spans="2:5" ht="12.75">
      <c r="B884" s="107"/>
      <c r="C884" s="290"/>
      <c r="D884" s="107"/>
      <c r="E884" s="107"/>
    </row>
    <row r="885" spans="2:5" ht="12.75">
      <c r="B885" s="107"/>
      <c r="C885" s="290"/>
      <c r="D885" s="107"/>
      <c r="E885" s="107"/>
    </row>
    <row r="886" spans="2:5" ht="12.75">
      <c r="B886" s="107"/>
      <c r="C886" s="290"/>
      <c r="D886" s="107"/>
      <c r="E886" s="107"/>
    </row>
    <row r="887" spans="2:5" ht="12.75">
      <c r="B887" s="107"/>
      <c r="C887" s="290"/>
      <c r="D887" s="107"/>
      <c r="E887" s="107"/>
    </row>
    <row r="888" spans="2:5" ht="12.75">
      <c r="B888" s="107"/>
      <c r="C888" s="290"/>
      <c r="D888" s="107"/>
      <c r="E888" s="107"/>
    </row>
    <row r="889" spans="2:5" ht="12.75">
      <c r="B889" s="107"/>
      <c r="C889" s="290"/>
      <c r="D889" s="107"/>
      <c r="E889" s="107"/>
    </row>
    <row r="890" spans="2:5" ht="12.75">
      <c r="B890" s="107"/>
      <c r="C890" s="290"/>
      <c r="D890" s="107"/>
      <c r="E890" s="107"/>
    </row>
    <row r="891" spans="2:5" ht="12.75">
      <c r="B891" s="107"/>
      <c r="C891" s="290"/>
      <c r="D891" s="107"/>
      <c r="E891" s="107"/>
    </row>
    <row r="892" spans="2:5" ht="12.75">
      <c r="B892" s="107"/>
      <c r="C892" s="290"/>
      <c r="D892" s="107"/>
      <c r="E892" s="107"/>
    </row>
    <row r="893" spans="2:5" ht="12.75">
      <c r="B893" s="107"/>
      <c r="C893" s="290"/>
      <c r="D893" s="107"/>
      <c r="E893" s="107"/>
    </row>
    <row r="894" spans="2:5" ht="12.75">
      <c r="B894" s="107"/>
      <c r="C894" s="290"/>
      <c r="D894" s="107"/>
      <c r="E894" s="107"/>
    </row>
    <row r="895" spans="2:5" ht="12.75">
      <c r="B895" s="107"/>
      <c r="C895" s="290"/>
      <c r="D895" s="107"/>
      <c r="E895" s="107"/>
    </row>
    <row r="896" spans="2:5" ht="12.75">
      <c r="B896" s="107"/>
      <c r="C896" s="290"/>
      <c r="D896" s="107"/>
      <c r="E896" s="107"/>
    </row>
    <row r="897" spans="2:5" ht="12.75">
      <c r="B897" s="107"/>
      <c r="C897" s="290"/>
      <c r="D897" s="107"/>
      <c r="E897" s="107"/>
    </row>
    <row r="898" spans="2:5" ht="12.75">
      <c r="B898" s="107"/>
      <c r="C898" s="290"/>
      <c r="D898" s="107"/>
      <c r="E898" s="107"/>
    </row>
    <row r="899" spans="2:5" ht="12.75">
      <c r="B899" s="107"/>
      <c r="C899" s="290"/>
      <c r="D899" s="107"/>
      <c r="E899" s="107"/>
    </row>
    <row r="900" spans="2:5" ht="12.75">
      <c r="B900" s="107"/>
      <c r="C900" s="290"/>
      <c r="D900" s="107"/>
      <c r="E900" s="107"/>
    </row>
    <row r="901" spans="2:5" ht="12.75">
      <c r="B901" s="107"/>
      <c r="C901" s="290"/>
      <c r="D901" s="107"/>
      <c r="E901" s="107"/>
    </row>
    <row r="902" spans="2:5" ht="12.75">
      <c r="B902" s="107"/>
      <c r="C902" s="290"/>
      <c r="D902" s="107"/>
      <c r="E902" s="107"/>
    </row>
    <row r="903" spans="2:5" ht="12.75">
      <c r="B903" s="107"/>
      <c r="C903" s="290"/>
      <c r="D903" s="107"/>
      <c r="E903" s="107"/>
    </row>
    <row r="904" spans="2:5" ht="12.75">
      <c r="B904" s="107"/>
      <c r="C904" s="290"/>
      <c r="D904" s="107"/>
      <c r="E904" s="107"/>
    </row>
    <row r="905" spans="2:5" ht="12.75">
      <c r="B905" s="107"/>
      <c r="C905" s="290"/>
      <c r="D905" s="107"/>
      <c r="E905" s="107"/>
    </row>
    <row r="906" spans="2:5" ht="12.75">
      <c r="B906" s="107"/>
      <c r="C906" s="290"/>
      <c r="D906" s="107"/>
      <c r="E906" s="107"/>
    </row>
    <row r="907" spans="2:5" ht="12.75">
      <c r="B907" s="107"/>
      <c r="C907" s="290"/>
      <c r="D907" s="107"/>
      <c r="E907" s="107"/>
    </row>
    <row r="908" spans="2:5" ht="12.75">
      <c r="B908" s="107"/>
      <c r="C908" s="290"/>
      <c r="D908" s="107"/>
      <c r="E908" s="107"/>
    </row>
    <row r="909" spans="2:5" ht="12.75">
      <c r="B909" s="107"/>
      <c r="C909" s="290"/>
      <c r="D909" s="107"/>
      <c r="E909" s="107"/>
    </row>
    <row r="910" spans="2:5" ht="12.75">
      <c r="B910" s="107"/>
      <c r="C910" s="290"/>
      <c r="D910" s="107"/>
      <c r="E910" s="107"/>
    </row>
    <row r="911" spans="2:5" ht="12.75">
      <c r="B911" s="107"/>
      <c r="C911" s="290"/>
      <c r="D911" s="107"/>
      <c r="E911" s="107"/>
    </row>
    <row r="912" spans="2:5" ht="12.75">
      <c r="B912" s="107"/>
      <c r="C912" s="290"/>
      <c r="D912" s="107"/>
      <c r="E912" s="107"/>
    </row>
    <row r="913" spans="2:5" ht="12.75">
      <c r="B913" s="107"/>
      <c r="C913" s="290"/>
      <c r="D913" s="107"/>
      <c r="E913" s="107"/>
    </row>
    <row r="914" spans="2:5" ht="12.75">
      <c r="B914" s="107"/>
      <c r="C914" s="290"/>
      <c r="D914" s="107"/>
      <c r="E914" s="107"/>
    </row>
    <row r="915" spans="2:5" ht="12.75">
      <c r="B915" s="107"/>
      <c r="C915" s="290"/>
      <c r="D915" s="107"/>
      <c r="E915" s="107"/>
    </row>
    <row r="916" spans="2:5" ht="12.75">
      <c r="B916" s="107"/>
      <c r="C916" s="290"/>
      <c r="D916" s="107"/>
      <c r="E916" s="107"/>
    </row>
    <row r="917" spans="2:5" ht="12.75">
      <c r="B917" s="107"/>
      <c r="C917" s="290"/>
      <c r="D917" s="107"/>
      <c r="E917" s="107"/>
    </row>
    <row r="918" spans="2:5" ht="12.75">
      <c r="B918" s="107"/>
      <c r="C918" s="290"/>
      <c r="D918" s="107"/>
      <c r="E918" s="107"/>
    </row>
    <row r="919" spans="2:5" ht="12.75">
      <c r="B919" s="107"/>
      <c r="C919" s="290"/>
      <c r="D919" s="107"/>
      <c r="E919" s="107"/>
    </row>
    <row r="920" spans="2:5" ht="12.75">
      <c r="B920" s="107"/>
      <c r="C920" s="290"/>
      <c r="D920" s="107"/>
      <c r="E920" s="107"/>
    </row>
    <row r="921" spans="2:5" ht="12.75">
      <c r="B921" s="107"/>
      <c r="C921" s="290"/>
      <c r="D921" s="107"/>
      <c r="E921" s="107"/>
    </row>
    <row r="922" spans="2:5" ht="12.75">
      <c r="B922" s="107"/>
      <c r="C922" s="290"/>
      <c r="D922" s="107"/>
      <c r="E922" s="107"/>
    </row>
    <row r="923" spans="2:5" ht="12.75">
      <c r="B923" s="107"/>
      <c r="C923" s="290"/>
      <c r="D923" s="107"/>
      <c r="E923" s="107"/>
    </row>
    <row r="924" spans="2:5" ht="12.75">
      <c r="B924" s="107"/>
      <c r="C924" s="290"/>
      <c r="D924" s="107"/>
      <c r="E924" s="107"/>
    </row>
    <row r="925" spans="2:5" ht="12.75">
      <c r="B925" s="107"/>
      <c r="C925" s="290"/>
      <c r="D925" s="107"/>
      <c r="E925" s="107"/>
    </row>
    <row r="926" spans="2:5" ht="12.75">
      <c r="B926" s="107"/>
      <c r="C926" s="290"/>
      <c r="D926" s="107"/>
      <c r="E926" s="107"/>
    </row>
    <row r="927" spans="2:5" ht="12.75">
      <c r="B927" s="107"/>
      <c r="C927" s="290"/>
      <c r="D927" s="107"/>
      <c r="E927" s="107"/>
    </row>
    <row r="928" spans="2:5" ht="12.75">
      <c r="B928" s="107"/>
      <c r="C928" s="290"/>
      <c r="D928" s="107"/>
      <c r="E928" s="107"/>
    </row>
    <row r="929" spans="2:5" ht="12.75">
      <c r="B929" s="107"/>
      <c r="C929" s="290"/>
      <c r="D929" s="107"/>
      <c r="E929" s="107"/>
    </row>
    <row r="930" spans="2:5" ht="12.75">
      <c r="B930" s="107"/>
      <c r="C930" s="290"/>
      <c r="D930" s="107"/>
      <c r="E930" s="107"/>
    </row>
    <row r="931" spans="2:5" ht="12.75">
      <c r="B931" s="107"/>
      <c r="C931" s="290"/>
      <c r="D931" s="107"/>
      <c r="E931" s="107"/>
    </row>
    <row r="932" spans="2:5" ht="12.75">
      <c r="B932" s="107"/>
      <c r="C932" s="290"/>
      <c r="D932" s="107"/>
      <c r="E932" s="107"/>
    </row>
    <row r="933" spans="2:5" ht="12.75">
      <c r="B933" s="107"/>
      <c r="C933" s="290"/>
      <c r="D933" s="107"/>
      <c r="E933" s="107"/>
    </row>
    <row r="934" spans="2:5" ht="12.75">
      <c r="B934" s="107"/>
      <c r="C934" s="290"/>
      <c r="D934" s="107"/>
      <c r="E934" s="107"/>
    </row>
    <row r="935" spans="2:5" ht="12.75">
      <c r="B935" s="107"/>
      <c r="C935" s="290"/>
      <c r="D935" s="107"/>
      <c r="E935" s="107"/>
    </row>
    <row r="936" spans="2:5" ht="12.75">
      <c r="B936" s="107"/>
      <c r="C936" s="290"/>
      <c r="D936" s="107"/>
      <c r="E936" s="107"/>
    </row>
    <row r="937" spans="2:5" ht="12.75">
      <c r="B937" s="107"/>
      <c r="C937" s="290"/>
      <c r="D937" s="107"/>
      <c r="E937" s="107"/>
    </row>
    <row r="938" spans="2:5" ht="12.75">
      <c r="B938" s="107"/>
      <c r="C938" s="290"/>
      <c r="D938" s="107"/>
      <c r="E938" s="107"/>
    </row>
    <row r="939" spans="2:5" ht="12.75">
      <c r="B939" s="107"/>
      <c r="C939" s="290"/>
      <c r="D939" s="107"/>
      <c r="E939" s="107"/>
    </row>
    <row r="940" spans="2:5" ht="12.75">
      <c r="B940" s="107"/>
      <c r="C940" s="290"/>
      <c r="D940" s="107"/>
      <c r="E940" s="107"/>
    </row>
    <row r="941" spans="2:5" ht="12.75">
      <c r="B941" s="107"/>
      <c r="C941" s="290"/>
      <c r="D941" s="107"/>
      <c r="E941" s="107"/>
    </row>
    <row r="942" spans="2:5" ht="12.75">
      <c r="B942" s="107"/>
      <c r="C942" s="290"/>
      <c r="D942" s="107"/>
      <c r="E942" s="107"/>
    </row>
    <row r="943" spans="2:5" ht="12.75">
      <c r="B943" s="107"/>
      <c r="C943" s="290"/>
      <c r="D943" s="107"/>
      <c r="E943" s="107"/>
    </row>
    <row r="944" spans="2:5" ht="12.75">
      <c r="B944" s="107"/>
      <c r="C944" s="290"/>
      <c r="D944" s="107"/>
      <c r="E944" s="107"/>
    </row>
    <row r="945" spans="2:5" ht="12.75">
      <c r="B945" s="107"/>
      <c r="C945" s="290"/>
      <c r="D945" s="107"/>
      <c r="E945" s="107"/>
    </row>
    <row r="946" spans="2:5" ht="12.75">
      <c r="B946" s="107"/>
      <c r="C946" s="290"/>
      <c r="D946" s="107"/>
      <c r="E946" s="107"/>
    </row>
    <row r="947" spans="2:5" ht="12.75">
      <c r="B947" s="107"/>
      <c r="C947" s="290"/>
      <c r="D947" s="107"/>
      <c r="E947" s="107"/>
    </row>
    <row r="948" spans="2:5" ht="12.75">
      <c r="B948" s="107"/>
      <c r="C948" s="290"/>
      <c r="D948" s="107"/>
      <c r="E948" s="107"/>
    </row>
    <row r="949" spans="2:5" ht="12.75">
      <c r="B949" s="107"/>
      <c r="C949" s="290"/>
      <c r="D949" s="107"/>
      <c r="E949" s="107"/>
    </row>
    <row r="950" spans="2:5" ht="12.75">
      <c r="B950" s="107"/>
      <c r="C950" s="290"/>
      <c r="D950" s="107"/>
      <c r="E950" s="107"/>
    </row>
    <row r="951" spans="2:5" ht="12.75">
      <c r="B951" s="107"/>
      <c r="C951" s="290"/>
      <c r="D951" s="107"/>
      <c r="E951" s="107"/>
    </row>
    <row r="952" spans="2:5" ht="12.75">
      <c r="B952" s="107"/>
      <c r="C952" s="290"/>
      <c r="D952" s="107"/>
      <c r="E952" s="107"/>
    </row>
    <row r="953" spans="2:5" ht="12.75">
      <c r="B953" s="107"/>
      <c r="C953" s="290"/>
      <c r="D953" s="107"/>
      <c r="E953" s="107"/>
    </row>
    <row r="954" spans="2:5" ht="12.75">
      <c r="B954" s="107"/>
      <c r="C954" s="290"/>
      <c r="D954" s="107"/>
      <c r="E954" s="107"/>
    </row>
    <row r="955" spans="2:5" ht="12.75">
      <c r="B955" s="107"/>
      <c r="C955" s="290"/>
      <c r="D955" s="107"/>
      <c r="E955" s="107"/>
    </row>
    <row r="956" spans="2:5" ht="12.75">
      <c r="B956" s="107"/>
      <c r="C956" s="290"/>
      <c r="D956" s="107"/>
      <c r="E956" s="107"/>
    </row>
    <row r="957" spans="2:5" ht="12.75">
      <c r="B957" s="107"/>
      <c r="C957" s="290"/>
      <c r="D957" s="107"/>
      <c r="E957" s="107"/>
    </row>
    <row r="958" spans="2:5" ht="12.75">
      <c r="B958" s="107"/>
      <c r="C958" s="290"/>
      <c r="D958" s="107"/>
      <c r="E958" s="107"/>
    </row>
    <row r="959" spans="2:5" ht="12.75">
      <c r="B959" s="107"/>
      <c r="C959" s="290"/>
      <c r="D959" s="107"/>
      <c r="E959" s="107"/>
    </row>
    <row r="960" spans="2:5" ht="12.75">
      <c r="B960" s="107"/>
      <c r="C960" s="290"/>
      <c r="D960" s="107"/>
      <c r="E960" s="107"/>
    </row>
    <row r="961" spans="2:5" ht="12.75">
      <c r="B961" s="107"/>
      <c r="C961" s="290"/>
      <c r="D961" s="107"/>
      <c r="E961" s="107"/>
    </row>
    <row r="962" spans="2:5" ht="12.75">
      <c r="B962" s="107"/>
      <c r="C962" s="290"/>
      <c r="D962" s="107"/>
      <c r="E962" s="107"/>
    </row>
    <row r="963" spans="2:5" ht="12.75">
      <c r="B963" s="107"/>
      <c r="C963" s="290"/>
      <c r="D963" s="107"/>
      <c r="E963" s="107"/>
    </row>
    <row r="964" spans="2:5" ht="12.75">
      <c r="B964" s="107"/>
      <c r="C964" s="290"/>
      <c r="D964" s="107"/>
      <c r="E964" s="107"/>
    </row>
    <row r="965" spans="2:5" ht="12.75">
      <c r="B965" s="107"/>
      <c r="C965" s="290"/>
      <c r="D965" s="107"/>
      <c r="E965" s="107"/>
    </row>
    <row r="966" spans="2:5" ht="12.75">
      <c r="B966" s="107"/>
      <c r="C966" s="290"/>
      <c r="D966" s="107"/>
      <c r="E966" s="107"/>
    </row>
    <row r="967" spans="2:5" ht="12.75">
      <c r="B967" s="107"/>
      <c r="C967" s="290"/>
      <c r="D967" s="107"/>
      <c r="E967" s="107"/>
    </row>
    <row r="968" spans="2:5" ht="12.75">
      <c r="B968" s="107"/>
      <c r="C968" s="290"/>
      <c r="D968" s="107"/>
      <c r="E968" s="107"/>
    </row>
    <row r="969" spans="2:5" ht="12.75">
      <c r="B969" s="107"/>
      <c r="C969" s="290"/>
      <c r="D969" s="107"/>
      <c r="E969" s="107"/>
    </row>
    <row r="970" spans="2:5" ht="12.75">
      <c r="B970" s="107"/>
      <c r="C970" s="290"/>
      <c r="D970" s="107"/>
      <c r="E970" s="107"/>
    </row>
    <row r="971" spans="2:5" ht="12.75">
      <c r="B971" s="107"/>
      <c r="C971" s="290"/>
      <c r="D971" s="107"/>
      <c r="E971" s="107"/>
    </row>
    <row r="972" spans="2:5" ht="12.75">
      <c r="B972" s="107"/>
      <c r="C972" s="290"/>
      <c r="D972" s="107"/>
      <c r="E972" s="107"/>
    </row>
    <row r="973" spans="2:5" ht="12.75">
      <c r="B973" s="107"/>
      <c r="C973" s="290"/>
      <c r="D973" s="107"/>
      <c r="E973" s="107"/>
    </row>
    <row r="974" spans="2:5" ht="12.75">
      <c r="B974" s="107"/>
      <c r="C974" s="290"/>
      <c r="D974" s="107"/>
      <c r="E974" s="107"/>
    </row>
    <row r="975" spans="2:5" ht="12.75">
      <c r="B975" s="107"/>
      <c r="C975" s="290"/>
      <c r="D975" s="107"/>
      <c r="E975" s="107"/>
    </row>
    <row r="976" spans="2:5" ht="12.75">
      <c r="B976" s="107"/>
      <c r="C976" s="290"/>
      <c r="D976" s="107"/>
      <c r="E976" s="107"/>
    </row>
    <row r="977" spans="2:5" ht="12.75">
      <c r="B977" s="107"/>
      <c r="C977" s="290"/>
      <c r="D977" s="107"/>
      <c r="E977" s="107"/>
    </row>
    <row r="978" spans="2:5" ht="12.75">
      <c r="B978" s="107"/>
      <c r="C978" s="290"/>
      <c r="D978" s="107"/>
      <c r="E978" s="107"/>
    </row>
    <row r="979" spans="2:5" ht="12.75">
      <c r="B979" s="107"/>
      <c r="C979" s="290"/>
      <c r="D979" s="107"/>
      <c r="E979" s="107"/>
    </row>
    <row r="980" spans="2:5" ht="12.75">
      <c r="B980" s="107"/>
      <c r="C980" s="290"/>
      <c r="D980" s="107"/>
      <c r="E980" s="107"/>
    </row>
    <row r="981" spans="2:5" ht="12.75">
      <c r="B981" s="107"/>
      <c r="C981" s="290"/>
      <c r="D981" s="107"/>
      <c r="E981" s="107"/>
    </row>
    <row r="982" spans="2:5" ht="12.75">
      <c r="B982" s="107"/>
      <c r="C982" s="290"/>
      <c r="D982" s="107"/>
      <c r="E982" s="107"/>
    </row>
    <row r="983" spans="2:5" ht="12.75">
      <c r="B983" s="107"/>
      <c r="C983" s="290"/>
      <c r="D983" s="107"/>
      <c r="E983" s="107"/>
    </row>
    <row r="984" spans="2:5" ht="12.75">
      <c r="B984" s="107"/>
      <c r="C984" s="290"/>
      <c r="D984" s="107"/>
      <c r="E984" s="107"/>
    </row>
    <row r="985" spans="2:5" ht="12.75">
      <c r="B985" s="107"/>
      <c r="C985" s="290"/>
      <c r="D985" s="107"/>
      <c r="E985" s="107"/>
    </row>
    <row r="986" spans="2:5" ht="12.75">
      <c r="B986" s="107"/>
      <c r="C986" s="290"/>
      <c r="D986" s="107"/>
      <c r="E986" s="107"/>
    </row>
    <row r="987" spans="2:5" ht="12.75">
      <c r="B987" s="107"/>
      <c r="C987" s="290"/>
      <c r="D987" s="107"/>
      <c r="E987" s="107"/>
    </row>
    <row r="988" spans="2:5" ht="12.75">
      <c r="B988" s="107"/>
      <c r="C988" s="290"/>
      <c r="D988" s="107"/>
      <c r="E988" s="107"/>
    </row>
    <row r="989" spans="2:5" ht="12.75">
      <c r="B989" s="107"/>
      <c r="C989" s="290"/>
      <c r="D989" s="107"/>
      <c r="E989" s="107"/>
    </row>
    <row r="990" spans="2:5" ht="12.75">
      <c r="B990" s="107"/>
      <c r="C990" s="290"/>
      <c r="D990" s="107"/>
      <c r="E990" s="107"/>
    </row>
    <row r="991" spans="2:5" ht="12.75">
      <c r="B991" s="107"/>
      <c r="C991" s="290"/>
      <c r="D991" s="107"/>
      <c r="E991" s="107"/>
    </row>
    <row r="992" spans="2:5" ht="12.75">
      <c r="B992" s="107"/>
      <c r="C992" s="290"/>
      <c r="D992" s="107"/>
      <c r="E992" s="107"/>
    </row>
    <row r="993" spans="2:5" ht="12.75">
      <c r="B993" s="107"/>
      <c r="C993" s="290"/>
      <c r="D993" s="107"/>
      <c r="E993" s="107"/>
    </row>
    <row r="994" spans="2:5" ht="12.75">
      <c r="B994" s="107"/>
      <c r="C994" s="290"/>
      <c r="D994" s="107"/>
      <c r="E994" s="107"/>
    </row>
    <row r="995" spans="2:5" ht="12.75">
      <c r="B995" s="107"/>
      <c r="C995" s="290"/>
      <c r="D995" s="107"/>
      <c r="E995" s="107"/>
    </row>
    <row r="996" spans="2:5" ht="12.75">
      <c r="B996" s="107"/>
      <c r="C996" s="290"/>
      <c r="D996" s="107"/>
      <c r="E996" s="107"/>
    </row>
    <row r="997" spans="2:5" ht="12.75">
      <c r="B997" s="107"/>
      <c r="C997" s="290"/>
      <c r="D997" s="107"/>
      <c r="E997" s="107"/>
    </row>
    <row r="998" spans="2:5" ht="12.75">
      <c r="B998" s="107"/>
      <c r="C998" s="290"/>
      <c r="D998" s="107"/>
      <c r="E998" s="107"/>
    </row>
    <row r="999" spans="2:5" ht="12.75">
      <c r="B999" s="107"/>
      <c r="C999" s="290"/>
      <c r="D999" s="107"/>
      <c r="E999" s="107"/>
    </row>
    <row r="1000" spans="2:5" ht="12.75">
      <c r="B1000" s="107"/>
      <c r="C1000" s="290"/>
      <c r="D1000" s="107"/>
      <c r="E1000" s="107"/>
    </row>
    <row r="1001" spans="2:5" ht="12.75">
      <c r="B1001" s="107"/>
      <c r="C1001" s="290"/>
      <c r="D1001" s="107"/>
      <c r="E1001" s="107"/>
    </row>
    <row r="1002" spans="2:5" ht="12.75">
      <c r="B1002" s="107"/>
      <c r="C1002" s="290"/>
      <c r="D1002" s="107"/>
      <c r="E1002" s="107"/>
    </row>
    <row r="1003" spans="2:5" ht="12.75">
      <c r="B1003" s="107"/>
      <c r="C1003" s="290"/>
      <c r="D1003" s="107"/>
      <c r="E1003" s="107"/>
    </row>
    <row r="1004" spans="2:5" ht="12.75">
      <c r="B1004" s="107"/>
      <c r="C1004" s="290"/>
      <c r="D1004" s="107"/>
      <c r="E1004" s="107"/>
    </row>
    <row r="1005" spans="2:5" ht="12.75">
      <c r="B1005" s="107"/>
      <c r="C1005" s="290"/>
      <c r="D1005" s="107"/>
      <c r="E1005" s="107"/>
    </row>
    <row r="1006" spans="2:5" ht="12.75">
      <c r="B1006" s="107"/>
      <c r="C1006" s="290"/>
      <c r="D1006" s="107"/>
      <c r="E1006" s="107"/>
    </row>
    <row r="1007" spans="2:5" ht="12.75">
      <c r="B1007" s="107"/>
      <c r="C1007" s="290"/>
      <c r="D1007" s="107"/>
      <c r="E1007" s="107"/>
    </row>
    <row r="1008" spans="2:5" ht="12.75">
      <c r="B1008" s="107"/>
      <c r="C1008" s="290"/>
      <c r="D1008" s="107"/>
      <c r="E1008" s="107"/>
    </row>
    <row r="1009" spans="2:5" ht="12.75">
      <c r="B1009" s="107"/>
      <c r="C1009" s="290"/>
      <c r="D1009" s="107"/>
      <c r="E1009" s="107"/>
    </row>
    <row r="1010" spans="2:5" ht="12.75">
      <c r="B1010" s="107"/>
      <c r="C1010" s="290"/>
      <c r="D1010" s="107"/>
      <c r="E1010" s="107"/>
    </row>
    <row r="1011" spans="2:5" ht="12.75">
      <c r="B1011" s="107"/>
      <c r="C1011" s="290"/>
      <c r="D1011" s="107"/>
      <c r="E1011" s="107"/>
    </row>
    <row r="1012" spans="2:5" ht="12.75">
      <c r="B1012" s="107"/>
      <c r="C1012" s="290"/>
      <c r="D1012" s="107"/>
      <c r="E1012" s="107"/>
    </row>
    <row r="1013" spans="2:5" ht="12.75">
      <c r="B1013" s="107"/>
      <c r="C1013" s="290"/>
      <c r="D1013" s="107"/>
      <c r="E1013" s="107"/>
    </row>
    <row r="1014" spans="2:5" ht="12.75">
      <c r="B1014" s="107"/>
      <c r="C1014" s="290"/>
      <c r="D1014" s="107"/>
      <c r="E1014" s="107"/>
    </row>
    <row r="1015" spans="2:5" ht="12.75">
      <c r="B1015" s="107"/>
      <c r="C1015" s="290"/>
      <c r="D1015" s="107"/>
      <c r="E1015" s="107"/>
    </row>
    <row r="1016" spans="2:5" ht="12.75">
      <c r="B1016" s="107"/>
      <c r="C1016" s="290"/>
      <c r="D1016" s="107"/>
      <c r="E1016" s="107"/>
    </row>
    <row r="1017" spans="2:5" ht="12.75">
      <c r="B1017" s="107"/>
      <c r="C1017" s="290"/>
      <c r="D1017" s="107"/>
      <c r="E1017" s="107"/>
    </row>
    <row r="1018" spans="2:5" ht="12.75">
      <c r="B1018" s="107"/>
      <c r="C1018" s="290"/>
      <c r="D1018" s="107"/>
      <c r="E1018" s="107"/>
    </row>
    <row r="1019" spans="2:5" ht="12.75">
      <c r="B1019" s="107"/>
      <c r="C1019" s="290"/>
      <c r="D1019" s="107"/>
      <c r="E1019" s="107"/>
    </row>
    <row r="1020" spans="2:5" ht="12.75">
      <c r="B1020" s="107"/>
      <c r="C1020" s="290"/>
      <c r="D1020" s="107"/>
      <c r="E1020" s="107"/>
    </row>
    <row r="1021" spans="2:5" ht="12.75">
      <c r="B1021" s="107"/>
      <c r="C1021" s="290"/>
      <c r="D1021" s="107"/>
      <c r="E1021" s="107"/>
    </row>
    <row r="1022" spans="2:5" ht="12.75">
      <c r="B1022" s="107"/>
      <c r="C1022" s="290"/>
      <c r="D1022" s="107"/>
      <c r="E1022" s="107"/>
    </row>
    <row r="1023" spans="2:5" ht="12.75">
      <c r="B1023" s="107"/>
      <c r="C1023" s="290"/>
      <c r="D1023" s="107"/>
      <c r="E1023" s="107"/>
    </row>
    <row r="1024" spans="2:5" ht="12.75">
      <c r="B1024" s="107"/>
      <c r="C1024" s="290"/>
      <c r="D1024" s="107"/>
      <c r="E1024" s="107"/>
    </row>
    <row r="1025" spans="2:5" ht="12.75">
      <c r="B1025" s="107"/>
      <c r="C1025" s="290"/>
      <c r="D1025" s="107"/>
      <c r="E1025" s="107"/>
    </row>
    <row r="1026" spans="2:5" ht="12.75">
      <c r="B1026" s="107"/>
      <c r="C1026" s="290"/>
      <c r="D1026" s="107"/>
      <c r="E1026" s="107"/>
    </row>
    <row r="1027" spans="2:5" ht="12.75">
      <c r="B1027" s="107"/>
      <c r="C1027" s="290"/>
      <c r="D1027" s="107"/>
      <c r="E1027" s="107"/>
    </row>
    <row r="1028" spans="2:5" ht="12.75">
      <c r="B1028" s="107"/>
      <c r="C1028" s="290"/>
      <c r="D1028" s="107"/>
      <c r="E1028" s="107"/>
    </row>
    <row r="1029" spans="2:5" ht="12.75">
      <c r="B1029" s="107"/>
      <c r="C1029" s="290"/>
      <c r="D1029" s="107"/>
      <c r="E1029" s="107"/>
    </row>
    <row r="1030" spans="2:5" ht="12.75">
      <c r="B1030" s="107"/>
      <c r="C1030" s="290"/>
      <c r="D1030" s="107"/>
      <c r="E1030" s="107"/>
    </row>
    <row r="1031" spans="2:5" ht="12.75">
      <c r="B1031" s="107"/>
      <c r="C1031" s="290"/>
      <c r="D1031" s="107"/>
      <c r="E1031" s="107"/>
    </row>
    <row r="1032" spans="2:5" ht="12.75">
      <c r="B1032" s="107"/>
      <c r="C1032" s="290"/>
      <c r="D1032" s="107"/>
      <c r="E1032" s="107"/>
    </row>
    <row r="1033" spans="2:5" ht="12.75">
      <c r="B1033" s="107"/>
      <c r="C1033" s="290"/>
      <c r="D1033" s="107"/>
      <c r="E1033" s="107"/>
    </row>
    <row r="1034" spans="2:5" ht="12.75">
      <c r="B1034" s="107"/>
      <c r="C1034" s="290"/>
      <c r="D1034" s="107"/>
      <c r="E1034" s="107"/>
    </row>
    <row r="1035" spans="2:5" ht="12.75">
      <c r="B1035" s="107"/>
      <c r="C1035" s="290"/>
      <c r="D1035" s="107"/>
      <c r="E1035" s="107"/>
    </row>
    <row r="1036" spans="2:5" ht="12.75">
      <c r="B1036" s="107"/>
      <c r="C1036" s="290"/>
      <c r="D1036" s="107"/>
      <c r="E1036" s="107"/>
    </row>
    <row r="1037" spans="2:5" ht="12.75">
      <c r="B1037" s="107"/>
      <c r="C1037" s="290"/>
      <c r="D1037" s="107"/>
      <c r="E1037" s="107"/>
    </row>
    <row r="1038" spans="2:5" ht="12.75">
      <c r="B1038" s="107"/>
      <c r="C1038" s="290"/>
      <c r="D1038" s="107"/>
      <c r="E1038" s="107"/>
    </row>
    <row r="1039" spans="2:5" ht="12.75">
      <c r="B1039" s="107"/>
      <c r="C1039" s="290"/>
      <c r="D1039" s="107"/>
      <c r="E1039" s="107"/>
    </row>
    <row r="1040" spans="2:5" ht="12.75">
      <c r="B1040" s="107"/>
      <c r="C1040" s="290"/>
      <c r="D1040" s="107"/>
      <c r="E1040" s="107"/>
    </row>
    <row r="1041" spans="2:5" ht="12.75">
      <c r="B1041" s="107"/>
      <c r="C1041" s="290"/>
      <c r="D1041" s="107"/>
      <c r="E1041" s="107"/>
    </row>
    <row r="1042" spans="2:5" ht="12.75">
      <c r="B1042" s="107"/>
      <c r="C1042" s="290"/>
      <c r="D1042" s="107"/>
      <c r="E1042" s="107"/>
    </row>
    <row r="1043" spans="2:5" ht="12.75">
      <c r="B1043" s="107"/>
      <c r="C1043" s="290"/>
      <c r="D1043" s="107"/>
      <c r="E1043" s="107"/>
    </row>
    <row r="1044" spans="2:5" ht="12.75">
      <c r="B1044" s="107"/>
      <c r="C1044" s="290"/>
      <c r="D1044" s="107"/>
      <c r="E1044" s="107"/>
    </row>
    <row r="1045" spans="2:5" ht="12.75">
      <c r="B1045" s="107"/>
      <c r="C1045" s="290"/>
      <c r="D1045" s="107"/>
      <c r="E1045" s="107"/>
    </row>
    <row r="1046" spans="2:5" ht="12.75">
      <c r="B1046" s="107"/>
      <c r="C1046" s="290"/>
      <c r="D1046" s="107"/>
      <c r="E1046" s="107"/>
    </row>
    <row r="1047" spans="2:5" ht="12.75">
      <c r="B1047" s="107"/>
      <c r="C1047" s="290"/>
      <c r="D1047" s="107"/>
      <c r="E1047" s="107"/>
    </row>
    <row r="1048" spans="2:5" ht="12.75">
      <c r="B1048" s="107"/>
      <c r="C1048" s="290"/>
      <c r="D1048" s="107"/>
      <c r="E1048" s="107"/>
    </row>
    <row r="1049" spans="2:5" ht="12.75">
      <c r="B1049" s="107"/>
      <c r="C1049" s="290"/>
      <c r="D1049" s="107"/>
      <c r="E1049" s="107"/>
    </row>
    <row r="1050" spans="2:5" ht="12.75">
      <c r="B1050" s="107"/>
      <c r="C1050" s="290"/>
      <c r="D1050" s="107"/>
      <c r="E1050" s="107"/>
    </row>
    <row r="1051" spans="2:5" ht="12.75">
      <c r="B1051" s="107"/>
      <c r="C1051" s="290"/>
      <c r="D1051" s="107"/>
      <c r="E1051" s="107"/>
    </row>
    <row r="1052" spans="2:5" ht="12.75">
      <c r="B1052" s="107"/>
      <c r="C1052" s="290"/>
      <c r="D1052" s="107"/>
      <c r="E1052" s="107"/>
    </row>
    <row r="1053" spans="2:5" ht="12.75">
      <c r="B1053" s="107"/>
      <c r="C1053" s="290"/>
      <c r="D1053" s="107"/>
      <c r="E1053" s="107"/>
    </row>
    <row r="1054" spans="2:5" ht="12.75">
      <c r="B1054" s="107"/>
      <c r="C1054" s="290"/>
      <c r="D1054" s="107"/>
      <c r="E1054" s="107"/>
    </row>
    <row r="1055" spans="2:5" ht="12.75">
      <c r="B1055" s="107"/>
      <c r="C1055" s="290"/>
      <c r="D1055" s="107"/>
      <c r="E1055" s="107"/>
    </row>
    <row r="1056" spans="2:5" ht="12.75">
      <c r="B1056" s="107"/>
      <c r="C1056" s="290"/>
      <c r="D1056" s="107"/>
      <c r="E1056" s="107"/>
    </row>
    <row r="1057" spans="2:5" ht="12.75">
      <c r="B1057" s="107"/>
      <c r="C1057" s="290"/>
      <c r="D1057" s="107"/>
      <c r="E1057" s="107"/>
    </row>
    <row r="1058" spans="2:5" ht="12.75">
      <c r="B1058" s="107"/>
      <c r="C1058" s="290"/>
      <c r="D1058" s="107"/>
      <c r="E1058" s="107"/>
    </row>
    <row r="1059" spans="2:5" ht="12.75">
      <c r="B1059" s="107"/>
      <c r="C1059" s="290"/>
      <c r="D1059" s="107"/>
      <c r="E1059" s="107"/>
    </row>
    <row r="1060" spans="2:5" ht="12.75">
      <c r="B1060" s="107"/>
      <c r="C1060" s="290"/>
      <c r="D1060" s="107"/>
      <c r="E1060" s="107"/>
    </row>
    <row r="1061" spans="2:5" ht="12.75">
      <c r="B1061" s="107"/>
      <c r="C1061" s="290"/>
      <c r="D1061" s="107"/>
      <c r="E1061" s="107"/>
    </row>
    <row r="1062" spans="2:5" ht="12.75">
      <c r="B1062" s="107"/>
      <c r="C1062" s="290"/>
      <c r="D1062" s="107"/>
      <c r="E1062" s="107"/>
    </row>
    <row r="1063" spans="2:5" ht="12.75">
      <c r="B1063" s="107"/>
      <c r="C1063" s="290"/>
      <c r="D1063" s="107"/>
      <c r="E1063" s="107"/>
    </row>
    <row r="1064" spans="2:5" ht="12.75">
      <c r="B1064" s="107"/>
      <c r="C1064" s="290"/>
      <c r="D1064" s="107"/>
      <c r="E1064" s="107"/>
    </row>
    <row r="1065" spans="2:5" ht="12.75">
      <c r="B1065" s="107"/>
      <c r="C1065" s="290"/>
      <c r="D1065" s="107"/>
      <c r="E1065" s="107"/>
    </row>
    <row r="1066" spans="2:5" ht="12.75">
      <c r="B1066" s="107"/>
      <c r="C1066" s="290"/>
      <c r="D1066" s="107"/>
      <c r="E1066" s="107"/>
    </row>
    <row r="1067" spans="2:5" ht="12.75">
      <c r="B1067" s="107"/>
      <c r="C1067" s="290"/>
      <c r="D1067" s="107"/>
      <c r="E1067" s="107"/>
    </row>
    <row r="1068" spans="2:5" ht="12.75">
      <c r="B1068" s="107"/>
      <c r="C1068" s="290"/>
      <c r="D1068" s="107"/>
      <c r="E1068" s="107"/>
    </row>
    <row r="1069" spans="2:5" ht="12.75">
      <c r="B1069" s="107"/>
      <c r="C1069" s="290"/>
      <c r="D1069" s="107"/>
      <c r="E1069" s="107"/>
    </row>
    <row r="1070" spans="2:5" ht="12.75">
      <c r="B1070" s="107"/>
      <c r="C1070" s="290"/>
      <c r="D1070" s="107"/>
      <c r="E1070" s="107"/>
    </row>
    <row r="1071" spans="2:5" ht="12.75">
      <c r="B1071" s="107"/>
      <c r="C1071" s="290"/>
      <c r="D1071" s="107"/>
      <c r="E1071" s="107"/>
    </row>
    <row r="1072" spans="2:5" ht="12.75">
      <c r="B1072" s="107"/>
      <c r="C1072" s="290"/>
      <c r="D1072" s="107"/>
      <c r="E1072" s="107"/>
    </row>
    <row r="1073" spans="2:5" ht="12.75">
      <c r="B1073" s="107"/>
      <c r="C1073" s="290"/>
      <c r="D1073" s="107"/>
      <c r="E1073" s="107"/>
    </row>
    <row r="1074" spans="2:5" ht="12.75">
      <c r="B1074" s="107"/>
      <c r="C1074" s="290"/>
      <c r="D1074" s="107"/>
      <c r="E1074" s="107"/>
    </row>
    <row r="1075" spans="2:5" ht="12.75">
      <c r="B1075" s="107"/>
      <c r="C1075" s="290"/>
      <c r="D1075" s="107"/>
      <c r="E1075" s="107"/>
    </row>
    <row r="1076" spans="2:5" ht="12.75">
      <c r="B1076" s="107"/>
      <c r="C1076" s="290"/>
      <c r="D1076" s="107"/>
      <c r="E1076" s="107"/>
    </row>
    <row r="1077" spans="2:5" ht="12.75">
      <c r="B1077" s="107"/>
      <c r="C1077" s="290"/>
      <c r="D1077" s="107"/>
      <c r="E1077" s="107"/>
    </row>
    <row r="1078" spans="2:5" ht="12.75">
      <c r="B1078" s="107"/>
      <c r="C1078" s="290"/>
      <c r="D1078" s="107"/>
      <c r="E1078" s="107"/>
    </row>
    <row r="1079" spans="2:5" ht="12.75">
      <c r="B1079" s="107"/>
      <c r="C1079" s="290"/>
      <c r="D1079" s="107"/>
      <c r="E1079" s="107"/>
    </row>
    <row r="1080" spans="2:5" ht="12.75">
      <c r="B1080" s="107"/>
      <c r="C1080" s="290"/>
      <c r="D1080" s="107"/>
      <c r="E1080" s="107"/>
    </row>
    <row r="1081" spans="2:5" ht="12.75">
      <c r="B1081" s="107"/>
      <c r="C1081" s="290"/>
      <c r="D1081" s="107"/>
      <c r="E1081" s="107"/>
    </row>
    <row r="1082" spans="2:5" ht="12.75">
      <c r="B1082" s="107"/>
      <c r="C1082" s="290"/>
      <c r="D1082" s="107"/>
      <c r="E1082" s="107"/>
    </row>
    <row r="1083" spans="2:5" ht="12.75">
      <c r="B1083" s="107"/>
      <c r="C1083" s="290"/>
      <c r="D1083" s="107"/>
      <c r="E1083" s="107"/>
    </row>
    <row r="1084" spans="2:5" ht="12.75">
      <c r="B1084" s="107"/>
      <c r="C1084" s="290"/>
      <c r="D1084" s="107"/>
      <c r="E1084" s="107"/>
    </row>
    <row r="1085" spans="2:5" ht="12.75">
      <c r="B1085" s="107"/>
      <c r="C1085" s="290"/>
      <c r="D1085" s="107"/>
      <c r="E1085" s="107"/>
    </row>
    <row r="1086" spans="2:5" ht="12.75">
      <c r="B1086" s="107"/>
      <c r="C1086" s="290"/>
      <c r="D1086" s="107"/>
      <c r="E1086" s="107"/>
    </row>
    <row r="1087" spans="2:5" ht="12.75">
      <c r="B1087" s="107"/>
      <c r="C1087" s="290"/>
      <c r="D1087" s="107"/>
      <c r="E1087" s="107"/>
    </row>
    <row r="1088" spans="2:5" ht="12.75">
      <c r="B1088" s="107"/>
      <c r="C1088" s="290"/>
      <c r="D1088" s="107"/>
      <c r="E1088" s="107"/>
    </row>
    <row r="1089" spans="2:5" ht="12.75">
      <c r="B1089" s="107"/>
      <c r="C1089" s="290"/>
      <c r="D1089" s="107"/>
      <c r="E1089" s="107"/>
    </row>
    <row r="1090" spans="2:5" ht="12.75">
      <c r="B1090" s="107"/>
      <c r="C1090" s="290"/>
      <c r="D1090" s="107"/>
      <c r="E1090" s="107"/>
    </row>
    <row r="1091" spans="2:5" ht="12.75">
      <c r="B1091" s="107"/>
      <c r="C1091" s="290"/>
      <c r="D1091" s="107"/>
      <c r="E1091" s="107"/>
    </row>
    <row r="1092" spans="2:5" ht="12.75">
      <c r="B1092" s="107"/>
      <c r="C1092" s="290"/>
      <c r="D1092" s="107"/>
      <c r="E1092" s="107"/>
    </row>
    <row r="1093" spans="2:5" ht="12.75">
      <c r="B1093" s="107"/>
      <c r="C1093" s="290"/>
      <c r="D1093" s="107"/>
      <c r="E1093" s="107"/>
    </row>
    <row r="1094" spans="2:5" ht="12.75">
      <c r="B1094" s="107"/>
      <c r="C1094" s="290"/>
      <c r="D1094" s="107"/>
      <c r="E1094" s="107"/>
    </row>
    <row r="1095" spans="2:5" ht="12.75">
      <c r="B1095" s="107"/>
      <c r="C1095" s="290"/>
      <c r="D1095" s="107"/>
      <c r="E1095" s="107"/>
    </row>
    <row r="1096" spans="2:5" ht="12.75">
      <c r="B1096" s="107"/>
      <c r="C1096" s="290"/>
      <c r="D1096" s="107"/>
      <c r="E1096" s="107"/>
    </row>
    <row r="1097" spans="2:5" ht="12.75">
      <c r="B1097" s="107"/>
      <c r="C1097" s="290"/>
      <c r="D1097" s="107"/>
      <c r="E1097" s="107"/>
    </row>
    <row r="1098" spans="2:5" ht="12.75">
      <c r="B1098" s="107"/>
      <c r="C1098" s="290"/>
      <c r="D1098" s="107"/>
      <c r="E1098" s="107"/>
    </row>
    <row r="1099" spans="2:5" ht="12.75">
      <c r="B1099" s="107"/>
      <c r="C1099" s="290"/>
      <c r="D1099" s="107"/>
      <c r="E1099" s="107"/>
    </row>
    <row r="1100" spans="2:5" ht="12.75">
      <c r="B1100" s="107"/>
      <c r="C1100" s="290"/>
      <c r="D1100" s="107"/>
      <c r="E1100" s="107"/>
    </row>
    <row r="1101" spans="2:5" ht="12.75">
      <c r="B1101" s="107"/>
      <c r="C1101" s="290"/>
      <c r="D1101" s="107"/>
      <c r="E1101" s="107"/>
    </row>
    <row r="1102" spans="2:5" ht="12.75">
      <c r="B1102" s="107"/>
      <c r="C1102" s="290"/>
      <c r="D1102" s="107"/>
      <c r="E1102" s="107"/>
    </row>
    <row r="1103" spans="2:5" ht="12.75">
      <c r="B1103" s="107"/>
      <c r="C1103" s="290"/>
      <c r="D1103" s="107"/>
      <c r="E1103" s="107"/>
    </row>
    <row r="1104" spans="2:5" ht="12.75">
      <c r="B1104" s="107"/>
      <c r="C1104" s="290"/>
      <c r="D1104" s="107"/>
      <c r="E1104" s="107"/>
    </row>
    <row r="1105" spans="2:5" ht="12.75">
      <c r="B1105" s="107"/>
      <c r="C1105" s="290"/>
      <c r="D1105" s="107"/>
      <c r="E1105" s="107"/>
    </row>
    <row r="1106" spans="2:5" ht="12.75">
      <c r="B1106" s="107"/>
      <c r="C1106" s="290"/>
      <c r="D1106" s="107"/>
      <c r="E1106" s="107"/>
    </row>
    <row r="1107" spans="2:5" ht="12.75">
      <c r="B1107" s="107"/>
      <c r="C1107" s="290"/>
      <c r="D1107" s="107"/>
      <c r="E1107" s="107"/>
    </row>
    <row r="1108" spans="2:5" ht="12.75">
      <c r="B1108" s="107"/>
      <c r="C1108" s="290"/>
      <c r="D1108" s="107"/>
      <c r="E1108" s="107"/>
    </row>
    <row r="1109" spans="2:5" ht="12.75">
      <c r="B1109" s="107"/>
      <c r="C1109" s="290"/>
      <c r="D1109" s="107"/>
      <c r="E1109" s="107"/>
    </row>
    <row r="1110" spans="2:5" ht="12.75">
      <c r="B1110" s="107"/>
      <c r="C1110" s="290"/>
      <c r="D1110" s="107"/>
      <c r="E1110" s="107"/>
    </row>
    <row r="1111" spans="2:5" ht="12.75">
      <c r="B1111" s="107"/>
      <c r="C1111" s="290"/>
      <c r="D1111" s="107"/>
      <c r="E1111" s="107"/>
    </row>
    <row r="1112" spans="2:5" ht="12.75">
      <c r="B1112" s="107"/>
      <c r="C1112" s="290"/>
      <c r="D1112" s="107"/>
      <c r="E1112" s="107"/>
    </row>
    <row r="1113" spans="2:5" ht="12.75">
      <c r="B1113" s="107"/>
      <c r="C1113" s="290"/>
      <c r="D1113" s="107"/>
      <c r="E1113" s="107"/>
    </row>
    <row r="1114" spans="2:5" ht="12.75">
      <c r="B1114" s="107"/>
      <c r="C1114" s="290"/>
      <c r="D1114" s="107"/>
      <c r="E1114" s="107"/>
    </row>
    <row r="1115" spans="2:5" ht="12.75">
      <c r="B1115" s="107"/>
      <c r="C1115" s="290"/>
      <c r="D1115" s="107"/>
      <c r="E1115" s="107"/>
    </row>
    <row r="1116" spans="2:5" ht="12.75">
      <c r="B1116" s="107"/>
      <c r="C1116" s="290"/>
      <c r="D1116" s="107"/>
      <c r="E1116" s="107"/>
    </row>
    <row r="1117" spans="2:5" ht="12.75">
      <c r="B1117" s="107"/>
      <c r="C1117" s="290"/>
      <c r="D1117" s="107"/>
      <c r="E1117" s="107"/>
    </row>
    <row r="1118" spans="2:5" ht="12.75">
      <c r="B1118" s="107"/>
      <c r="C1118" s="290"/>
      <c r="D1118" s="107"/>
      <c r="E1118" s="107"/>
    </row>
    <row r="1119" spans="2:5" ht="12.75">
      <c r="B1119" s="107"/>
      <c r="C1119" s="290"/>
      <c r="D1119" s="107"/>
      <c r="E1119" s="107"/>
    </row>
    <row r="1120" spans="2:5" ht="12.75">
      <c r="B1120" s="107"/>
      <c r="C1120" s="290"/>
      <c r="D1120" s="107"/>
      <c r="E1120" s="107"/>
    </row>
    <row r="1121" spans="2:5" ht="12.75">
      <c r="B1121" s="107"/>
      <c r="C1121" s="290"/>
      <c r="D1121" s="107"/>
      <c r="E1121" s="107"/>
    </row>
    <row r="1122" spans="2:5" ht="12.75">
      <c r="B1122" s="107"/>
      <c r="C1122" s="290"/>
      <c r="D1122" s="107"/>
      <c r="E1122" s="107"/>
    </row>
    <row r="1123" spans="2:5" ht="12.75">
      <c r="B1123" s="107"/>
      <c r="C1123" s="290"/>
      <c r="D1123" s="107"/>
      <c r="E1123" s="107"/>
    </row>
    <row r="1124" spans="2:5" ht="12.75">
      <c r="B1124" s="107"/>
      <c r="C1124" s="290"/>
      <c r="D1124" s="107"/>
      <c r="E1124" s="107"/>
    </row>
    <row r="1125" spans="2:5" ht="12.75">
      <c r="B1125" s="107"/>
      <c r="C1125" s="290"/>
      <c r="D1125" s="107"/>
      <c r="E1125" s="107"/>
    </row>
    <row r="1126" spans="2:5" ht="12.75">
      <c r="B1126" s="107"/>
      <c r="C1126" s="290"/>
      <c r="D1126" s="107"/>
      <c r="E1126" s="107"/>
    </row>
    <row r="1127" spans="2:5" ht="12.75">
      <c r="B1127" s="107"/>
      <c r="C1127" s="290"/>
      <c r="D1127" s="107"/>
      <c r="E1127" s="107"/>
    </row>
    <row r="1128" spans="2:5" ht="12.75">
      <c r="B1128" s="107"/>
      <c r="C1128" s="290"/>
      <c r="D1128" s="107"/>
      <c r="E1128" s="107"/>
    </row>
    <row r="1129" spans="2:5" ht="12.75">
      <c r="B1129" s="107"/>
      <c r="C1129" s="290"/>
      <c r="D1129" s="107"/>
      <c r="E1129" s="107"/>
    </row>
    <row r="1130" spans="2:5" ht="12.75">
      <c r="B1130" s="107"/>
      <c r="C1130" s="290"/>
      <c r="D1130" s="107"/>
      <c r="E1130" s="107"/>
    </row>
    <row r="1131" spans="2:5" ht="12.75">
      <c r="B1131" s="107"/>
      <c r="C1131" s="290"/>
      <c r="D1131" s="107"/>
      <c r="E1131" s="107"/>
    </row>
    <row r="1132" spans="2:5" ht="12.75">
      <c r="B1132" s="107"/>
      <c r="C1132" s="290"/>
      <c r="D1132" s="107"/>
      <c r="E1132" s="107"/>
    </row>
    <row r="1133" spans="2:5" ht="12.75">
      <c r="B1133" s="107"/>
      <c r="C1133" s="290"/>
      <c r="D1133" s="107"/>
      <c r="E1133" s="107"/>
    </row>
    <row r="1134" spans="2:5" ht="12.75">
      <c r="B1134" s="107"/>
      <c r="C1134" s="290"/>
      <c r="D1134" s="107"/>
      <c r="E1134" s="107"/>
    </row>
    <row r="1135" spans="2:5" ht="12.75">
      <c r="B1135" s="107"/>
      <c r="C1135" s="290"/>
      <c r="D1135" s="107"/>
      <c r="E1135" s="107"/>
    </row>
    <row r="1136" spans="2:5" ht="12.75">
      <c r="B1136" s="107"/>
      <c r="C1136" s="290"/>
      <c r="D1136" s="107"/>
      <c r="E1136" s="107"/>
    </row>
    <row r="1137" spans="2:5" ht="12.75">
      <c r="B1137" s="107"/>
      <c r="C1137" s="290"/>
      <c r="D1137" s="107"/>
      <c r="E1137" s="107"/>
    </row>
    <row r="1138" spans="2:5" ht="12.75">
      <c r="B1138" s="107"/>
      <c r="C1138" s="290"/>
      <c r="D1138" s="107"/>
      <c r="E1138" s="107"/>
    </row>
    <row r="1139" spans="2:5" ht="12.75">
      <c r="B1139" s="107"/>
      <c r="C1139" s="290"/>
      <c r="D1139" s="107"/>
      <c r="E1139" s="107"/>
    </row>
    <row r="1140" spans="2:5" ht="12.75">
      <c r="B1140" s="107"/>
      <c r="C1140" s="290"/>
      <c r="D1140" s="107"/>
      <c r="E1140" s="107"/>
    </row>
    <row r="1141" spans="2:5" ht="12.75">
      <c r="B1141" s="107"/>
      <c r="C1141" s="290"/>
      <c r="D1141" s="107"/>
      <c r="E1141" s="107"/>
    </row>
    <row r="1142" spans="2:5" ht="12.75">
      <c r="B1142" s="107"/>
      <c r="C1142" s="290"/>
      <c r="D1142" s="107"/>
      <c r="E1142" s="107"/>
    </row>
    <row r="1143" spans="2:5" ht="12.75">
      <c r="B1143" s="107"/>
      <c r="C1143" s="290"/>
      <c r="D1143" s="107"/>
      <c r="E1143" s="107"/>
    </row>
    <row r="1144" spans="2:5" ht="12.75">
      <c r="B1144" s="107"/>
      <c r="C1144" s="290"/>
      <c r="D1144" s="107"/>
      <c r="E1144" s="107"/>
    </row>
    <row r="1145" spans="2:5" ht="12.75">
      <c r="B1145" s="107"/>
      <c r="C1145" s="290"/>
      <c r="D1145" s="107"/>
      <c r="E1145" s="107"/>
    </row>
    <row r="1146" spans="2:5" ht="12.75">
      <c r="B1146" s="107"/>
      <c r="C1146" s="290"/>
      <c r="D1146" s="107"/>
      <c r="E1146" s="107"/>
    </row>
    <row r="1147" spans="2:5" ht="12.75">
      <c r="B1147" s="107"/>
      <c r="C1147" s="290"/>
      <c r="D1147" s="107"/>
      <c r="E1147" s="107"/>
    </row>
    <row r="1148" spans="2:5" ht="12.75">
      <c r="B1148" s="107"/>
      <c r="C1148" s="290"/>
      <c r="D1148" s="107"/>
      <c r="E1148" s="107"/>
    </row>
    <row r="1149" spans="2:5" ht="12.75">
      <c r="B1149" s="107"/>
      <c r="C1149" s="290"/>
      <c r="D1149" s="107"/>
      <c r="E1149" s="107"/>
    </row>
    <row r="1150" spans="2:5" ht="12.75">
      <c r="B1150" s="107"/>
      <c r="C1150" s="290"/>
      <c r="D1150" s="107"/>
      <c r="E1150" s="107"/>
    </row>
    <row r="1151" spans="2:5" ht="12.75">
      <c r="B1151" s="107"/>
      <c r="C1151" s="290"/>
      <c r="D1151" s="107"/>
      <c r="E1151" s="107"/>
    </row>
    <row r="1152" spans="2:5" ht="12.75">
      <c r="B1152" s="107"/>
      <c r="C1152" s="290"/>
      <c r="D1152" s="107"/>
      <c r="E1152" s="107"/>
    </row>
    <row r="1153" spans="2:5" ht="12.75">
      <c r="B1153" s="107"/>
      <c r="C1153" s="290"/>
      <c r="D1153" s="107"/>
      <c r="E1153" s="107"/>
    </row>
    <row r="1154" spans="2:5" ht="12.75">
      <c r="B1154" s="107"/>
      <c r="C1154" s="290"/>
      <c r="D1154" s="107"/>
      <c r="E1154" s="107"/>
    </row>
    <row r="1155" spans="2:5" ht="12.75">
      <c r="B1155" s="107"/>
      <c r="C1155" s="290"/>
      <c r="D1155" s="107"/>
      <c r="E1155" s="107"/>
    </row>
    <row r="1156" spans="2:5" ht="12.75">
      <c r="B1156" s="107"/>
      <c r="C1156" s="290"/>
      <c r="D1156" s="107"/>
      <c r="E1156" s="107"/>
    </row>
    <row r="1157" spans="2:5" ht="12.75">
      <c r="B1157" s="107"/>
      <c r="C1157" s="290"/>
      <c r="D1157" s="107"/>
      <c r="E1157" s="107"/>
    </row>
    <row r="1158" spans="2:5" ht="12.75">
      <c r="B1158" s="107"/>
      <c r="C1158" s="290"/>
      <c r="D1158" s="107"/>
      <c r="E1158" s="107"/>
    </row>
    <row r="1159" spans="2:5" ht="12.75">
      <c r="B1159" s="107"/>
      <c r="C1159" s="290"/>
      <c r="D1159" s="107"/>
      <c r="E1159" s="107"/>
    </row>
    <row r="1160" spans="2:5" ht="12.75">
      <c r="B1160" s="107"/>
      <c r="C1160" s="290"/>
      <c r="D1160" s="107"/>
      <c r="E1160" s="107"/>
    </row>
    <row r="1161" spans="2:5" ht="12.75">
      <c r="B1161" s="107"/>
      <c r="C1161" s="290"/>
      <c r="D1161" s="107"/>
      <c r="E1161" s="107"/>
    </row>
    <row r="1162" spans="2:5" ht="12.75">
      <c r="B1162" s="107"/>
      <c r="C1162" s="290"/>
      <c r="D1162" s="107"/>
      <c r="E1162" s="107"/>
    </row>
    <row r="1163" spans="2:5" ht="12.75">
      <c r="B1163" s="107"/>
      <c r="C1163" s="290"/>
      <c r="D1163" s="107"/>
      <c r="E1163" s="107"/>
    </row>
    <row r="1164" spans="2:5" ht="12.75">
      <c r="B1164" s="107"/>
      <c r="C1164" s="290"/>
      <c r="D1164" s="107"/>
      <c r="E1164" s="107"/>
    </row>
    <row r="1165" spans="2:5" ht="12.75">
      <c r="B1165" s="107"/>
      <c r="C1165" s="290"/>
      <c r="D1165" s="107"/>
      <c r="E1165" s="107"/>
    </row>
    <row r="1166" spans="2:5" ht="12.75">
      <c r="B1166" s="107"/>
      <c r="C1166" s="290"/>
      <c r="D1166" s="107"/>
      <c r="E1166" s="107"/>
    </row>
    <row r="1167" spans="2:5" ht="12.75">
      <c r="B1167" s="107"/>
      <c r="C1167" s="290"/>
      <c r="D1167" s="107"/>
      <c r="E1167" s="107"/>
    </row>
    <row r="1168" spans="2:5" ht="12.75">
      <c r="B1168" s="107"/>
      <c r="C1168" s="290"/>
      <c r="D1168" s="107"/>
      <c r="E1168" s="107"/>
    </row>
    <row r="1169" spans="2:5" ht="12.75">
      <c r="B1169" s="107"/>
      <c r="C1169" s="290"/>
      <c r="D1169" s="107"/>
      <c r="E1169" s="107"/>
    </row>
    <row r="1170" spans="2:5" ht="12.75">
      <c r="B1170" s="107"/>
      <c r="C1170" s="290"/>
      <c r="D1170" s="107"/>
      <c r="E1170" s="107"/>
    </row>
    <row r="1171" spans="2:5" ht="12.75">
      <c r="B1171" s="107"/>
      <c r="C1171" s="290"/>
      <c r="D1171" s="107"/>
      <c r="E1171" s="107"/>
    </row>
    <row r="1172" spans="2:5" ht="12.75">
      <c r="B1172" s="107"/>
      <c r="C1172" s="290"/>
      <c r="D1172" s="107"/>
      <c r="E1172" s="107"/>
    </row>
    <row r="1173" spans="2:5" ht="12.75">
      <c r="B1173" s="107"/>
      <c r="C1173" s="290"/>
      <c r="D1173" s="107"/>
      <c r="E1173" s="107"/>
    </row>
    <row r="1174" spans="2:5" ht="12.75">
      <c r="B1174" s="107"/>
      <c r="C1174" s="290"/>
      <c r="D1174" s="107"/>
      <c r="E1174" s="107"/>
    </row>
    <row r="1175" spans="2:5" ht="12.75">
      <c r="B1175" s="107"/>
      <c r="C1175" s="290"/>
      <c r="D1175" s="107"/>
      <c r="E1175" s="107"/>
    </row>
    <row r="1176" spans="2:5" ht="12.75">
      <c r="B1176" s="107"/>
      <c r="C1176" s="290"/>
      <c r="D1176" s="107"/>
      <c r="E1176" s="107"/>
    </row>
    <row r="1177" spans="2:5" ht="12.75">
      <c r="B1177" s="107"/>
      <c r="C1177" s="290"/>
      <c r="D1177" s="107"/>
      <c r="E1177" s="107"/>
    </row>
    <row r="1178" spans="2:5" ht="12.75">
      <c r="B1178" s="107"/>
      <c r="C1178" s="290"/>
      <c r="D1178" s="107"/>
      <c r="E1178" s="107"/>
    </row>
    <row r="1179" spans="2:5" ht="12.75">
      <c r="B1179" s="107"/>
      <c r="C1179" s="290"/>
      <c r="D1179" s="107"/>
      <c r="E1179" s="107"/>
    </row>
    <row r="1180" spans="2:5" ht="12.75">
      <c r="B1180" s="107"/>
      <c r="C1180" s="290"/>
      <c r="D1180" s="107"/>
      <c r="E1180" s="107"/>
    </row>
    <row r="1181" spans="2:5" ht="12.75">
      <c r="B1181" s="107"/>
      <c r="C1181" s="290"/>
      <c r="D1181" s="107"/>
      <c r="E1181" s="107"/>
    </row>
    <row r="1182" spans="2:5" ht="12.75">
      <c r="B1182" s="107"/>
      <c r="C1182" s="290"/>
      <c r="D1182" s="107"/>
      <c r="E1182" s="107"/>
    </row>
    <row r="1183" spans="2:5" ht="12.75">
      <c r="B1183" s="107"/>
      <c r="C1183" s="290"/>
      <c r="D1183" s="107"/>
      <c r="E1183" s="107"/>
    </row>
    <row r="1184" spans="2:5" ht="12.75">
      <c r="B1184" s="107"/>
      <c r="C1184" s="290"/>
      <c r="D1184" s="107"/>
      <c r="E1184" s="107"/>
    </row>
    <row r="1185" spans="2:5" ht="12.75">
      <c r="B1185" s="107"/>
      <c r="C1185" s="290"/>
      <c r="D1185" s="107"/>
      <c r="E1185" s="107"/>
    </row>
    <row r="1186" spans="2:5" ht="12.75">
      <c r="B1186" s="107"/>
      <c r="C1186" s="290"/>
      <c r="D1186" s="107"/>
      <c r="E1186" s="107"/>
    </row>
    <row r="1187" spans="2:5" ht="12.75">
      <c r="B1187" s="107"/>
      <c r="C1187" s="290"/>
      <c r="D1187" s="107"/>
      <c r="E1187" s="107"/>
    </row>
    <row r="1188" spans="2:5" ht="12.75">
      <c r="B1188" s="107"/>
      <c r="C1188" s="290"/>
      <c r="D1188" s="107"/>
      <c r="E1188" s="107"/>
    </row>
    <row r="1189" spans="2:5" ht="12.75">
      <c r="B1189" s="107"/>
      <c r="C1189" s="290"/>
      <c r="D1189" s="107"/>
      <c r="E1189" s="107"/>
    </row>
    <row r="1190" spans="2:5" ht="12.75">
      <c r="B1190" s="107"/>
      <c r="C1190" s="290"/>
      <c r="D1190" s="107"/>
      <c r="E1190" s="107"/>
    </row>
    <row r="1191" spans="2:5" ht="12.75">
      <c r="B1191" s="107"/>
      <c r="C1191" s="290"/>
      <c r="D1191" s="107"/>
      <c r="E1191" s="107"/>
    </row>
    <row r="1192" spans="2:5" ht="12.75">
      <c r="B1192" s="107"/>
      <c r="C1192" s="290"/>
      <c r="D1192" s="107"/>
      <c r="E1192" s="107"/>
    </row>
    <row r="1193" spans="2:5" ht="12.75">
      <c r="B1193" s="107"/>
      <c r="C1193" s="290"/>
      <c r="D1193" s="107"/>
      <c r="E1193" s="107"/>
    </row>
    <row r="1194" spans="2:5" ht="12.75">
      <c r="B1194" s="107"/>
      <c r="C1194" s="290"/>
      <c r="D1194" s="107"/>
      <c r="E1194" s="107"/>
    </row>
    <row r="1195" spans="2:5" ht="12.75">
      <c r="B1195" s="107"/>
      <c r="C1195" s="290"/>
      <c r="D1195" s="107"/>
      <c r="E1195" s="107"/>
    </row>
    <row r="1196" spans="2:5" ht="12.75">
      <c r="B1196" s="107"/>
      <c r="C1196" s="290"/>
      <c r="D1196" s="107"/>
      <c r="E1196" s="107"/>
    </row>
    <row r="1197" spans="2:5" ht="12.75">
      <c r="B1197" s="107"/>
      <c r="C1197" s="290"/>
      <c r="D1197" s="107"/>
      <c r="E1197" s="107"/>
    </row>
    <row r="1198" spans="2:5" ht="12.75">
      <c r="B1198" s="107"/>
      <c r="C1198" s="290"/>
      <c r="D1198" s="107"/>
      <c r="E1198" s="107"/>
    </row>
    <row r="1199" spans="2:5" ht="12.75">
      <c r="B1199" s="107"/>
      <c r="C1199" s="290"/>
      <c r="D1199" s="107"/>
      <c r="E1199" s="107"/>
    </row>
    <row r="1200" spans="2:5" ht="12.75">
      <c r="B1200" s="107"/>
      <c r="C1200" s="290"/>
      <c r="D1200" s="107"/>
      <c r="E1200" s="107"/>
    </row>
    <row r="1201" spans="2:5" ht="12.75">
      <c r="B1201" s="107"/>
      <c r="C1201" s="290"/>
      <c r="D1201" s="107"/>
      <c r="E1201" s="107"/>
    </row>
    <row r="1202" spans="2:5" ht="12.75">
      <c r="B1202" s="107"/>
      <c r="C1202" s="290"/>
      <c r="D1202" s="107"/>
      <c r="E1202" s="107"/>
    </row>
    <row r="1203" spans="2:5" ht="12.75">
      <c r="B1203" s="107"/>
      <c r="C1203" s="290"/>
      <c r="D1203" s="107"/>
      <c r="E1203" s="107"/>
    </row>
    <row r="1204" spans="2:5" ht="12.75">
      <c r="B1204" s="107"/>
      <c r="C1204" s="290"/>
      <c r="D1204" s="107"/>
      <c r="E1204" s="107"/>
    </row>
    <row r="1205" spans="2:5" ht="12.75">
      <c r="B1205" s="107"/>
      <c r="C1205" s="290"/>
      <c r="D1205" s="107"/>
      <c r="E1205" s="107"/>
    </row>
    <row r="1206" spans="2:5" ht="12.75">
      <c r="B1206" s="107"/>
      <c r="C1206" s="290"/>
      <c r="D1206" s="107"/>
      <c r="E1206" s="107"/>
    </row>
    <row r="1207" spans="2:5" ht="12.75">
      <c r="B1207" s="107"/>
      <c r="C1207" s="290"/>
      <c r="D1207" s="107"/>
      <c r="E1207" s="107"/>
    </row>
    <row r="1208" spans="2:5" ht="12.75">
      <c r="B1208" s="107"/>
      <c r="C1208" s="290"/>
      <c r="D1208" s="107"/>
      <c r="E1208" s="107"/>
    </row>
    <row r="1209" spans="2:5" ht="12.75">
      <c r="B1209" s="107"/>
      <c r="C1209" s="290"/>
      <c r="D1209" s="107"/>
      <c r="E1209" s="107"/>
    </row>
    <row r="1210" spans="2:5" ht="12.75">
      <c r="B1210" s="107"/>
      <c r="C1210" s="290"/>
      <c r="D1210" s="107"/>
      <c r="E1210" s="107"/>
    </row>
    <row r="1211" spans="2:5" ht="12.75">
      <c r="B1211" s="107"/>
      <c r="C1211" s="290"/>
      <c r="D1211" s="107"/>
      <c r="E1211" s="107"/>
    </row>
    <row r="1212" spans="2:5" ht="12.75">
      <c r="B1212" s="107"/>
      <c r="C1212" s="290"/>
      <c r="D1212" s="107"/>
      <c r="E1212" s="107"/>
    </row>
    <row r="1213" spans="2:5" ht="12.75">
      <c r="B1213" s="107"/>
      <c r="C1213" s="290"/>
      <c r="D1213" s="107"/>
      <c r="E1213" s="107"/>
    </row>
    <row r="1214" spans="2:5" ht="12.75">
      <c r="B1214" s="107"/>
      <c r="C1214" s="290"/>
      <c r="D1214" s="107"/>
      <c r="E1214" s="107"/>
    </row>
    <row r="1215" spans="2:5" ht="12.75">
      <c r="B1215" s="107"/>
      <c r="C1215" s="290"/>
      <c r="D1215" s="107"/>
      <c r="E1215" s="107"/>
    </row>
    <row r="1216" spans="2:5" ht="12.75">
      <c r="B1216" s="107"/>
      <c r="C1216" s="290"/>
      <c r="D1216" s="107"/>
      <c r="E1216" s="107"/>
    </row>
    <row r="1217" spans="2:5" ht="12.75">
      <c r="B1217" s="107"/>
      <c r="C1217" s="290"/>
      <c r="D1217" s="107"/>
      <c r="E1217" s="107"/>
    </row>
    <row r="1218" spans="2:5" ht="12.75">
      <c r="B1218" s="107"/>
      <c r="C1218" s="290"/>
      <c r="D1218" s="107"/>
      <c r="E1218" s="107"/>
    </row>
    <row r="1219" spans="2:5" ht="12.75">
      <c r="B1219" s="107"/>
      <c r="C1219" s="290"/>
      <c r="D1219" s="107"/>
      <c r="E1219" s="107"/>
    </row>
    <row r="1220" spans="2:5" ht="12.75">
      <c r="B1220" s="107"/>
      <c r="C1220" s="290"/>
      <c r="D1220" s="107"/>
      <c r="E1220" s="107"/>
    </row>
    <row r="1221" spans="2:5" ht="12.75">
      <c r="B1221" s="107"/>
      <c r="C1221" s="290"/>
      <c r="D1221" s="107"/>
      <c r="E1221" s="107"/>
    </row>
    <row r="1222" spans="2:5" ht="12.75">
      <c r="B1222" s="107"/>
      <c r="C1222" s="290"/>
      <c r="D1222" s="107"/>
      <c r="E1222" s="107"/>
    </row>
    <row r="1223" spans="2:5" ht="12.75">
      <c r="B1223" s="107"/>
      <c r="C1223" s="290"/>
      <c r="D1223" s="107"/>
      <c r="E1223" s="107"/>
    </row>
    <row r="1224" spans="2:5" ht="12.75">
      <c r="B1224" s="107"/>
      <c r="C1224" s="290"/>
      <c r="D1224" s="107"/>
      <c r="E1224" s="107"/>
    </row>
    <row r="1225" spans="2:5" ht="12.75">
      <c r="B1225" s="107"/>
      <c r="C1225" s="290"/>
      <c r="D1225" s="107"/>
      <c r="E1225" s="107"/>
    </row>
    <row r="1226" spans="2:5" ht="12.75">
      <c r="B1226" s="107"/>
      <c r="C1226" s="290"/>
      <c r="D1226" s="107"/>
      <c r="E1226" s="107"/>
    </row>
    <row r="1227" spans="2:5" ht="12.75">
      <c r="B1227" s="107"/>
      <c r="C1227" s="290"/>
      <c r="D1227" s="107"/>
      <c r="E1227" s="107"/>
    </row>
    <row r="1228" spans="2:5" ht="12.75">
      <c r="B1228" s="107"/>
      <c r="C1228" s="290"/>
      <c r="D1228" s="107"/>
      <c r="E1228" s="107"/>
    </row>
    <row r="1229" spans="2:5" ht="12.75">
      <c r="B1229" s="107"/>
      <c r="C1229" s="290"/>
      <c r="D1229" s="107"/>
      <c r="E1229" s="107"/>
    </row>
    <row r="1230" spans="2:5" ht="12.75">
      <c r="B1230" s="107"/>
      <c r="C1230" s="290"/>
      <c r="D1230" s="107"/>
      <c r="E1230" s="107"/>
    </row>
    <row r="1231" spans="2:5" ht="12.75">
      <c r="B1231" s="107"/>
      <c r="C1231" s="290"/>
      <c r="D1231" s="107"/>
      <c r="E1231" s="107"/>
    </row>
    <row r="1232" spans="2:5" ht="12.75">
      <c r="B1232" s="107"/>
      <c r="C1232" s="290"/>
      <c r="D1232" s="107"/>
      <c r="E1232" s="107"/>
    </row>
    <row r="1233" spans="2:5" ht="12.75">
      <c r="B1233" s="107"/>
      <c r="C1233" s="290"/>
      <c r="D1233" s="107"/>
      <c r="E1233" s="107"/>
    </row>
    <row r="1234" spans="2:5" ht="12.75">
      <c r="B1234" s="107"/>
      <c r="C1234" s="290"/>
      <c r="D1234" s="107"/>
      <c r="E1234" s="107"/>
    </row>
    <row r="1235" spans="2:5" ht="12.75">
      <c r="B1235" s="107"/>
      <c r="C1235" s="290"/>
      <c r="D1235" s="107"/>
      <c r="E1235" s="107"/>
    </row>
    <row r="1236" spans="2:5" ht="12.75">
      <c r="B1236" s="107"/>
      <c r="C1236" s="290"/>
      <c r="D1236" s="107"/>
      <c r="E1236" s="107"/>
    </row>
    <row r="1237" spans="2:5" ht="12.75">
      <c r="B1237" s="107"/>
      <c r="C1237" s="290"/>
      <c r="D1237" s="107"/>
      <c r="E1237" s="107"/>
    </row>
    <row r="1238" spans="2:5" ht="12.75">
      <c r="B1238" s="107"/>
      <c r="C1238" s="290"/>
      <c r="D1238" s="107"/>
      <c r="E1238" s="107"/>
    </row>
    <row r="1239" spans="2:5" ht="12.75">
      <c r="B1239" s="107"/>
      <c r="C1239" s="290"/>
      <c r="D1239" s="107"/>
      <c r="E1239" s="107"/>
    </row>
    <row r="1240" spans="2:5" ht="12.75">
      <c r="B1240" s="107"/>
      <c r="C1240" s="290"/>
      <c r="D1240" s="107"/>
      <c r="E1240" s="107"/>
    </row>
    <row r="1241" spans="2:5" ht="12.75">
      <c r="B1241" s="107"/>
      <c r="C1241" s="290"/>
      <c r="D1241" s="107"/>
      <c r="E1241" s="107"/>
    </row>
    <row r="1242" spans="2:5" ht="12.75">
      <c r="B1242" s="107"/>
      <c r="C1242" s="290"/>
      <c r="D1242" s="107"/>
      <c r="E1242" s="107"/>
    </row>
    <row r="1243" spans="2:5" ht="12.75">
      <c r="B1243" s="107"/>
      <c r="C1243" s="290"/>
      <c r="D1243" s="107"/>
      <c r="E1243" s="107"/>
    </row>
    <row r="1244" spans="2:5" ht="12.75">
      <c r="B1244" s="107"/>
      <c r="C1244" s="290"/>
      <c r="D1244" s="107"/>
      <c r="E1244" s="107"/>
    </row>
    <row r="1245" spans="2:5" ht="12.75">
      <c r="B1245" s="107"/>
      <c r="C1245" s="290"/>
      <c r="D1245" s="107"/>
      <c r="E1245" s="107"/>
    </row>
    <row r="1246" spans="2:5" ht="12.75">
      <c r="B1246" s="107"/>
      <c r="C1246" s="290"/>
      <c r="D1246" s="107"/>
      <c r="E1246" s="107"/>
    </row>
    <row r="1247" spans="2:5" ht="12.75">
      <c r="B1247" s="107"/>
      <c r="C1247" s="290"/>
      <c r="D1247" s="107"/>
      <c r="E1247" s="107"/>
    </row>
    <row r="1248" spans="2:5" ht="12.75">
      <c r="B1248" s="107"/>
      <c r="C1248" s="290"/>
      <c r="D1248" s="107"/>
      <c r="E1248" s="107"/>
    </row>
    <row r="1249" spans="2:5" ht="12.75">
      <c r="B1249" s="107"/>
      <c r="C1249" s="290"/>
      <c r="D1249" s="107"/>
      <c r="E1249" s="107"/>
    </row>
    <row r="1250" spans="2:5" ht="12.75">
      <c r="B1250" s="107"/>
      <c r="C1250" s="290"/>
      <c r="D1250" s="107"/>
      <c r="E1250" s="107"/>
    </row>
    <row r="1251" spans="2:5" ht="12.75">
      <c r="B1251" s="107"/>
      <c r="C1251" s="290"/>
      <c r="D1251" s="107"/>
      <c r="E1251" s="107"/>
    </row>
    <row r="1252" spans="2:5" ht="12.75">
      <c r="B1252" s="107"/>
      <c r="C1252" s="290"/>
      <c r="D1252" s="107"/>
      <c r="E1252" s="107"/>
    </row>
    <row r="1253" spans="2:5" ht="12.75">
      <c r="B1253" s="107"/>
      <c r="C1253" s="290"/>
      <c r="D1253" s="107"/>
      <c r="E1253" s="107"/>
    </row>
    <row r="1254" spans="2:5" ht="12.75">
      <c r="B1254" s="107"/>
      <c r="C1254" s="290"/>
      <c r="D1254" s="107"/>
      <c r="E1254" s="107"/>
    </row>
    <row r="1255" spans="2:5" ht="12.75">
      <c r="B1255" s="107"/>
      <c r="C1255" s="290"/>
      <c r="D1255" s="107"/>
      <c r="E1255" s="107"/>
    </row>
    <row r="1256" spans="2:5" ht="12.75">
      <c r="B1256" s="107"/>
      <c r="C1256" s="290"/>
      <c r="D1256" s="107"/>
      <c r="E1256" s="107"/>
    </row>
    <row r="1257" spans="2:5" ht="12.75">
      <c r="B1257" s="107"/>
      <c r="C1257" s="290"/>
      <c r="D1257" s="107"/>
      <c r="E1257" s="107"/>
    </row>
    <row r="1258" spans="2:5" ht="12.75">
      <c r="B1258" s="107"/>
      <c r="C1258" s="290"/>
      <c r="D1258" s="107"/>
      <c r="E1258" s="107"/>
    </row>
    <row r="1259" spans="2:5" ht="12.75">
      <c r="B1259" s="107"/>
      <c r="C1259" s="290"/>
      <c r="D1259" s="107"/>
      <c r="E1259" s="107"/>
    </row>
    <row r="1260" spans="2:5" ht="12.75">
      <c r="B1260" s="107"/>
      <c r="C1260" s="290"/>
      <c r="D1260" s="107"/>
      <c r="E1260" s="107"/>
    </row>
    <row r="1261" spans="2:5" ht="12.75">
      <c r="B1261" s="107"/>
      <c r="C1261" s="290"/>
      <c r="D1261" s="107"/>
      <c r="E1261" s="107"/>
    </row>
    <row r="1262" spans="2:5" ht="12.75">
      <c r="B1262" s="107"/>
      <c r="C1262" s="290"/>
      <c r="D1262" s="107"/>
      <c r="E1262" s="107"/>
    </row>
    <row r="1263" spans="2:5" ht="12.75">
      <c r="B1263" s="107"/>
      <c r="C1263" s="290"/>
      <c r="D1263" s="107"/>
      <c r="E1263" s="107"/>
    </row>
    <row r="1264" spans="2:5" ht="12.75">
      <c r="B1264" s="107"/>
      <c r="C1264" s="290"/>
      <c r="D1264" s="107"/>
      <c r="E1264" s="107"/>
    </row>
    <row r="1265" spans="2:5" ht="12.75">
      <c r="B1265" s="107"/>
      <c r="C1265" s="290"/>
      <c r="D1265" s="107"/>
      <c r="E1265" s="107"/>
    </row>
    <row r="1266" spans="2:5" ht="12.75">
      <c r="B1266" s="107"/>
      <c r="C1266" s="290"/>
      <c r="D1266" s="107"/>
      <c r="E1266" s="107"/>
    </row>
    <row r="1267" spans="2:5" ht="12.75">
      <c r="B1267" s="107"/>
      <c r="C1267" s="290"/>
      <c r="D1267" s="107"/>
      <c r="E1267" s="107"/>
    </row>
    <row r="1268" spans="2:5" ht="12.75">
      <c r="B1268" s="107"/>
      <c r="C1268" s="290"/>
      <c r="D1268" s="107"/>
      <c r="E1268" s="107"/>
    </row>
    <row r="1269" spans="2:5" ht="12.75">
      <c r="B1269" s="107"/>
      <c r="C1269" s="290"/>
      <c r="D1269" s="107"/>
      <c r="E1269" s="107"/>
    </row>
    <row r="1270" spans="2:5" ht="12.75">
      <c r="B1270" s="107"/>
      <c r="C1270" s="290"/>
      <c r="D1270" s="107"/>
      <c r="E1270" s="107"/>
    </row>
    <row r="1271" spans="2:5" ht="12.75">
      <c r="B1271" s="107"/>
      <c r="C1271" s="290"/>
      <c r="D1271" s="107"/>
      <c r="E1271" s="107"/>
    </row>
    <row r="1272" spans="2:5" ht="12.75">
      <c r="B1272" s="107"/>
      <c r="C1272" s="290"/>
      <c r="D1272" s="107"/>
      <c r="E1272" s="107"/>
    </row>
    <row r="1273" spans="2:5" ht="12.75">
      <c r="B1273" s="107"/>
      <c r="C1273" s="290"/>
      <c r="D1273" s="107"/>
      <c r="E1273" s="107"/>
    </row>
    <row r="1274" spans="2:5" ht="12.75">
      <c r="B1274" s="107"/>
      <c r="C1274" s="290"/>
      <c r="D1274" s="107"/>
      <c r="E1274" s="107"/>
    </row>
    <row r="1275" spans="2:5" ht="12.75">
      <c r="B1275" s="107"/>
      <c r="C1275" s="290"/>
      <c r="D1275" s="107"/>
      <c r="E1275" s="107"/>
    </row>
    <row r="1276" spans="2:5" ht="12.75">
      <c r="B1276" s="107"/>
      <c r="C1276" s="290"/>
      <c r="D1276" s="107"/>
      <c r="E1276" s="107"/>
    </row>
    <row r="1277" spans="2:5" ht="12.75">
      <c r="B1277" s="107"/>
      <c r="C1277" s="290"/>
      <c r="D1277" s="107"/>
      <c r="E1277" s="107"/>
    </row>
    <row r="1278" spans="2:5" ht="12.75">
      <c r="B1278" s="107"/>
      <c r="C1278" s="290"/>
      <c r="D1278" s="107"/>
      <c r="E1278" s="107"/>
    </row>
    <row r="1279" spans="2:5" ht="12.75">
      <c r="B1279" s="107"/>
      <c r="C1279" s="290"/>
      <c r="D1279" s="107"/>
      <c r="E1279" s="107"/>
    </row>
    <row r="1280" spans="2:5" ht="12.75">
      <c r="B1280" s="107"/>
      <c r="C1280" s="290"/>
      <c r="D1280" s="107"/>
      <c r="E1280" s="107"/>
    </row>
    <row r="1281" spans="2:5" ht="12.75">
      <c r="B1281" s="107"/>
      <c r="C1281" s="290"/>
      <c r="D1281" s="107"/>
      <c r="E1281" s="107"/>
    </row>
    <row r="1282" spans="2:5" ht="12.75">
      <c r="B1282" s="107"/>
      <c r="C1282" s="290"/>
      <c r="D1282" s="107"/>
      <c r="E1282" s="107"/>
    </row>
    <row r="1283" spans="2:5" ht="12.75">
      <c r="B1283" s="107"/>
      <c r="C1283" s="290"/>
      <c r="D1283" s="107"/>
      <c r="E1283" s="107"/>
    </row>
    <row r="1284" spans="2:5" ht="12.75">
      <c r="B1284" s="107"/>
      <c r="C1284" s="290"/>
      <c r="D1284" s="107"/>
      <c r="E1284" s="107"/>
    </row>
    <row r="1285" spans="2:5" ht="12.75">
      <c r="B1285" s="107"/>
      <c r="C1285" s="290"/>
      <c r="D1285" s="107"/>
      <c r="E1285" s="107"/>
    </row>
    <row r="1286" spans="2:5" ht="12.75">
      <c r="B1286" s="107"/>
      <c r="C1286" s="290"/>
      <c r="D1286" s="107"/>
      <c r="E1286" s="107"/>
    </row>
    <row r="1287" spans="2:5" ht="12.75">
      <c r="B1287" s="107"/>
      <c r="C1287" s="290"/>
      <c r="D1287" s="107"/>
      <c r="E1287" s="107"/>
    </row>
    <row r="1288" spans="2:5" ht="12.75">
      <c r="B1288" s="107"/>
      <c r="C1288" s="290"/>
      <c r="D1288" s="107"/>
      <c r="E1288" s="107"/>
    </row>
    <row r="1289" spans="2:5" ht="12.75">
      <c r="B1289" s="107"/>
      <c r="C1289" s="290"/>
      <c r="D1289" s="107"/>
      <c r="E1289" s="107"/>
    </row>
    <row r="1290" spans="2:5" ht="12.75">
      <c r="B1290" s="107"/>
      <c r="C1290" s="290"/>
      <c r="D1290" s="107"/>
      <c r="E1290" s="107"/>
    </row>
    <row r="1291" spans="2:5" ht="12.75">
      <c r="B1291" s="107"/>
      <c r="C1291" s="290"/>
      <c r="D1291" s="107"/>
      <c r="E1291" s="107"/>
    </row>
    <row r="1292" spans="2:5" ht="12.75">
      <c r="B1292" s="107"/>
      <c r="C1292" s="290"/>
      <c r="D1292" s="107"/>
      <c r="E1292" s="107"/>
    </row>
    <row r="1293" spans="2:5" ht="12.75">
      <c r="B1293" s="107"/>
      <c r="C1293" s="290"/>
      <c r="D1293" s="107"/>
      <c r="E1293" s="107"/>
    </row>
    <row r="1294" spans="2:5" ht="12.75">
      <c r="B1294" s="107"/>
      <c r="C1294" s="290"/>
      <c r="D1294" s="107"/>
      <c r="E1294" s="107"/>
    </row>
    <row r="1295" spans="2:5" ht="12.75">
      <c r="B1295" s="107"/>
      <c r="C1295" s="290"/>
      <c r="D1295" s="107"/>
      <c r="E1295" s="107"/>
    </row>
    <row r="1296" spans="2:5" ht="12.75">
      <c r="B1296" s="107"/>
      <c r="C1296" s="290"/>
      <c r="D1296" s="107"/>
      <c r="E1296" s="107"/>
    </row>
    <row r="1297" spans="2:5" ht="12.75">
      <c r="B1297" s="107"/>
      <c r="C1297" s="290"/>
      <c r="D1297" s="107"/>
      <c r="E1297" s="107"/>
    </row>
    <row r="1298" spans="2:5" ht="12.75">
      <c r="B1298" s="107"/>
      <c r="C1298" s="290"/>
      <c r="D1298" s="107"/>
      <c r="E1298" s="107"/>
    </row>
    <row r="1299" spans="2:5" ht="12.75">
      <c r="B1299" s="107"/>
      <c r="C1299" s="290"/>
      <c r="D1299" s="107"/>
      <c r="E1299" s="107"/>
    </row>
    <row r="1300" spans="2:5" ht="12.75">
      <c r="B1300" s="107"/>
      <c r="C1300" s="290"/>
      <c r="D1300" s="107"/>
      <c r="E1300" s="107"/>
    </row>
    <row r="1301" spans="2:5" ht="12.75">
      <c r="B1301" s="107"/>
      <c r="C1301" s="290"/>
      <c r="D1301" s="107"/>
      <c r="E1301" s="107"/>
    </row>
    <row r="1302" spans="2:5" ht="12.75">
      <c r="B1302" s="107"/>
      <c r="C1302" s="290"/>
      <c r="D1302" s="107"/>
      <c r="E1302" s="107"/>
    </row>
    <row r="1303" spans="2:5" ht="12.75">
      <c r="B1303" s="107"/>
      <c r="C1303" s="290"/>
      <c r="D1303" s="107"/>
      <c r="E1303" s="107"/>
    </row>
    <row r="1304" spans="2:5" ht="12.75">
      <c r="B1304" s="107"/>
      <c r="C1304" s="290"/>
      <c r="D1304" s="107"/>
      <c r="E1304" s="107"/>
    </row>
    <row r="1305" spans="2:5" ht="12.75">
      <c r="B1305" s="107"/>
      <c r="C1305" s="290"/>
      <c r="D1305" s="107"/>
      <c r="E1305" s="107"/>
    </row>
    <row r="1306" spans="2:5" ht="12.75">
      <c r="B1306" s="107"/>
      <c r="C1306" s="290"/>
      <c r="D1306" s="107"/>
      <c r="E1306" s="107"/>
    </row>
    <row r="1307" spans="2:5" ht="12.75">
      <c r="B1307" s="107"/>
      <c r="C1307" s="290"/>
      <c r="D1307" s="107"/>
      <c r="E1307" s="107"/>
    </row>
    <row r="1308" spans="2:5" ht="12.75">
      <c r="B1308" s="107"/>
      <c r="C1308" s="290"/>
      <c r="D1308" s="107"/>
      <c r="E1308" s="107"/>
    </row>
    <row r="1309" spans="2:5" ht="12.75">
      <c r="B1309" s="107"/>
      <c r="C1309" s="290"/>
      <c r="D1309" s="107"/>
      <c r="E1309" s="107"/>
    </row>
    <row r="1310" spans="2:5" ht="12.75">
      <c r="B1310" s="107"/>
      <c r="C1310" s="290"/>
      <c r="D1310" s="107"/>
      <c r="E1310" s="107"/>
    </row>
    <row r="1311" spans="2:5" ht="12.75">
      <c r="B1311" s="107"/>
      <c r="C1311" s="290"/>
      <c r="D1311" s="107"/>
      <c r="E1311" s="107"/>
    </row>
    <row r="1312" spans="2:5" ht="12.75">
      <c r="B1312" s="107"/>
      <c r="C1312" s="290"/>
      <c r="D1312" s="107"/>
      <c r="E1312" s="107"/>
    </row>
    <row r="1313" spans="2:5" ht="12.75">
      <c r="B1313" s="107"/>
      <c r="C1313" s="290"/>
      <c r="D1313" s="107"/>
      <c r="E1313" s="107"/>
    </row>
    <row r="1314" spans="2:5" ht="12.75">
      <c r="B1314" s="107"/>
      <c r="C1314" s="290"/>
      <c r="D1314" s="107"/>
      <c r="E1314" s="107"/>
    </row>
    <row r="1315" spans="2:5" ht="12.75">
      <c r="B1315" s="107"/>
      <c r="C1315" s="290"/>
      <c r="D1315" s="107"/>
      <c r="E1315" s="107"/>
    </row>
    <row r="1316" spans="2:5" ht="12.75">
      <c r="B1316" s="107"/>
      <c r="C1316" s="290"/>
      <c r="D1316" s="107"/>
      <c r="E1316" s="107"/>
    </row>
    <row r="1317" spans="2:5" ht="12.75">
      <c r="B1317" s="107"/>
      <c r="C1317" s="290"/>
      <c r="D1317" s="107"/>
      <c r="E1317" s="107"/>
    </row>
    <row r="1318" spans="2:5" ht="12.75">
      <c r="B1318" s="107"/>
      <c r="C1318" s="290"/>
      <c r="D1318" s="107"/>
      <c r="E1318" s="107"/>
    </row>
    <row r="1319" spans="2:5" ht="12.75">
      <c r="B1319" s="107"/>
      <c r="C1319" s="290"/>
      <c r="D1319" s="107"/>
      <c r="E1319" s="107"/>
    </row>
    <row r="1320" spans="2:5" ht="12.75">
      <c r="B1320" s="107"/>
      <c r="C1320" s="290"/>
      <c r="D1320" s="107"/>
      <c r="E1320" s="107"/>
    </row>
    <row r="1321" spans="2:5" ht="12.75">
      <c r="B1321" s="107"/>
      <c r="C1321" s="290"/>
      <c r="D1321" s="107"/>
      <c r="E1321" s="107"/>
    </row>
    <row r="1322" spans="2:5" ht="12.75">
      <c r="B1322" s="107"/>
      <c r="C1322" s="290"/>
      <c r="D1322" s="107"/>
      <c r="E1322" s="107"/>
    </row>
    <row r="1323" spans="2:5" ht="12.75">
      <c r="B1323" s="107"/>
      <c r="C1323" s="290"/>
      <c r="D1323" s="107"/>
      <c r="E1323" s="107"/>
    </row>
    <row r="1324" spans="2:5" ht="12.75">
      <c r="B1324" s="107"/>
      <c r="C1324" s="290"/>
      <c r="D1324" s="107"/>
      <c r="E1324" s="107"/>
    </row>
    <row r="1325" spans="2:5" ht="12.75">
      <c r="B1325" s="107"/>
      <c r="C1325" s="290"/>
      <c r="D1325" s="107"/>
      <c r="E1325" s="107"/>
    </row>
    <row r="1326" spans="2:5" ht="12.75">
      <c r="B1326" s="107"/>
      <c r="C1326" s="290"/>
      <c r="D1326" s="107"/>
      <c r="E1326" s="107"/>
    </row>
    <row r="1327" spans="2:5" ht="12.75">
      <c r="B1327" s="107"/>
      <c r="C1327" s="290"/>
      <c r="D1327" s="107"/>
      <c r="E1327" s="107"/>
    </row>
    <row r="1328" spans="2:5" ht="12.75">
      <c r="B1328" s="107"/>
      <c r="C1328" s="290"/>
      <c r="D1328" s="107"/>
      <c r="E1328" s="107"/>
    </row>
    <row r="1329" spans="2:5" ht="12.75">
      <c r="B1329" s="107"/>
      <c r="C1329" s="290"/>
      <c r="D1329" s="107"/>
      <c r="E1329" s="107"/>
    </row>
    <row r="1330" spans="2:5" ht="12.75">
      <c r="B1330" s="107"/>
      <c r="C1330" s="290"/>
      <c r="D1330" s="107"/>
      <c r="E1330" s="107"/>
    </row>
    <row r="1331" spans="2:5" ht="12.75">
      <c r="B1331" s="107"/>
      <c r="C1331" s="290"/>
      <c r="D1331" s="107"/>
      <c r="E1331" s="107"/>
    </row>
    <row r="1332" spans="2:5" ht="12.75">
      <c r="B1332" s="107"/>
      <c r="C1332" s="290"/>
      <c r="D1332" s="107"/>
      <c r="E1332" s="107"/>
    </row>
    <row r="1333" spans="2:5" ht="12.75">
      <c r="B1333" s="107"/>
      <c r="C1333" s="290"/>
      <c r="D1333" s="107"/>
      <c r="E1333" s="107"/>
    </row>
    <row r="1334" spans="2:5" ht="12.75">
      <c r="B1334" s="107"/>
      <c r="C1334" s="290"/>
      <c r="D1334" s="107"/>
      <c r="E1334" s="107"/>
    </row>
    <row r="1335" spans="2:5" ht="12.75">
      <c r="B1335" s="107"/>
      <c r="C1335" s="290"/>
      <c r="D1335" s="107"/>
      <c r="E1335" s="107"/>
    </row>
    <row r="1336" spans="2:5" ht="12.75">
      <c r="B1336" s="107"/>
      <c r="C1336" s="290"/>
      <c r="D1336" s="107"/>
      <c r="E1336" s="107"/>
    </row>
    <row r="1337" spans="2:5" ht="12.75">
      <c r="B1337" s="107"/>
      <c r="C1337" s="290"/>
      <c r="D1337" s="107"/>
      <c r="E1337" s="107"/>
    </row>
    <row r="1338" spans="2:5" ht="12.75">
      <c r="B1338" s="107"/>
      <c r="C1338" s="290"/>
      <c r="D1338" s="107"/>
      <c r="E1338" s="107"/>
    </row>
    <row r="1339" spans="2:5" ht="12.75">
      <c r="B1339" s="107"/>
      <c r="C1339" s="290"/>
      <c r="D1339" s="107"/>
      <c r="E1339" s="107"/>
    </row>
    <row r="1340" spans="2:5" ht="12.75">
      <c r="B1340" s="107"/>
      <c r="C1340" s="290"/>
      <c r="D1340" s="107"/>
      <c r="E1340" s="107"/>
    </row>
    <row r="1341" spans="2:5" ht="12.75">
      <c r="B1341" s="107"/>
      <c r="C1341" s="290"/>
      <c r="D1341" s="107"/>
      <c r="E1341" s="107"/>
    </row>
    <row r="1342" spans="2:5" ht="12.75">
      <c r="B1342" s="107"/>
      <c r="C1342" s="290"/>
      <c r="D1342" s="107"/>
      <c r="E1342" s="107"/>
    </row>
    <row r="1343" spans="2:5" ht="12.75">
      <c r="B1343" s="107"/>
      <c r="C1343" s="290"/>
      <c r="D1343" s="107"/>
      <c r="E1343" s="107"/>
    </row>
    <row r="1344" spans="2:5" ht="12.75">
      <c r="B1344" s="107"/>
      <c r="C1344" s="290"/>
      <c r="D1344" s="107"/>
      <c r="E1344" s="107"/>
    </row>
    <row r="1345" spans="2:5" ht="12.75">
      <c r="B1345" s="107"/>
      <c r="C1345" s="290"/>
      <c r="D1345" s="107"/>
      <c r="E1345" s="107"/>
    </row>
    <row r="1346" spans="2:5" ht="12.75">
      <c r="B1346" s="107"/>
      <c r="C1346" s="290"/>
      <c r="D1346" s="107"/>
      <c r="E1346" s="107"/>
    </row>
    <row r="1347" spans="2:5" ht="12.75">
      <c r="B1347" s="107"/>
      <c r="C1347" s="290"/>
      <c r="D1347" s="107"/>
      <c r="E1347" s="107"/>
    </row>
    <row r="1348" spans="2:5" ht="12.75">
      <c r="B1348" s="107"/>
      <c r="C1348" s="290"/>
      <c r="D1348" s="107"/>
      <c r="E1348" s="107"/>
    </row>
    <row r="1349" spans="2:5" ht="12.75">
      <c r="B1349" s="107"/>
      <c r="C1349" s="290"/>
      <c r="D1349" s="107"/>
      <c r="E1349" s="107"/>
    </row>
    <row r="1350" spans="2:5" ht="12.75">
      <c r="B1350" s="107"/>
      <c r="C1350" s="290"/>
      <c r="D1350" s="107"/>
      <c r="E1350" s="107"/>
    </row>
    <row r="1351" spans="2:5" ht="12.75">
      <c r="B1351" s="107"/>
      <c r="C1351" s="290"/>
      <c r="D1351" s="107"/>
      <c r="E1351" s="107"/>
    </row>
    <row r="1352" spans="2:5" ht="12.75">
      <c r="B1352" s="107"/>
      <c r="C1352" s="290"/>
      <c r="D1352" s="107"/>
      <c r="E1352" s="107"/>
    </row>
    <row r="1353" spans="2:5" ht="12.75">
      <c r="B1353" s="107"/>
      <c r="C1353" s="290"/>
      <c r="D1353" s="107"/>
      <c r="E1353" s="107"/>
    </row>
    <row r="1354" spans="2:5" ht="12.75">
      <c r="B1354" s="107"/>
      <c r="C1354" s="290"/>
      <c r="D1354" s="107"/>
      <c r="E1354" s="107"/>
    </row>
    <row r="1355" spans="2:5" ht="12.75">
      <c r="B1355" s="107"/>
      <c r="C1355" s="290"/>
      <c r="D1355" s="107"/>
      <c r="E1355" s="107"/>
    </row>
    <row r="1356" spans="2:5" ht="12.75">
      <c r="B1356" s="107"/>
      <c r="C1356" s="290"/>
      <c r="D1356" s="107"/>
      <c r="E1356" s="107"/>
    </row>
    <row r="1357" spans="2:5" ht="12.75">
      <c r="B1357" s="107"/>
      <c r="C1357" s="290"/>
      <c r="D1357" s="107"/>
      <c r="E1357" s="107"/>
    </row>
    <row r="1358" spans="2:5" ht="12.75">
      <c r="B1358" s="107"/>
      <c r="C1358" s="290"/>
      <c r="D1358" s="107"/>
      <c r="E1358" s="107"/>
    </row>
    <row r="1359" spans="2:5" ht="12.75">
      <c r="B1359" s="107"/>
      <c r="C1359" s="290"/>
      <c r="D1359" s="107"/>
      <c r="E1359" s="107"/>
    </row>
    <row r="1360" spans="2:5" ht="12.75">
      <c r="B1360" s="107"/>
      <c r="C1360" s="290"/>
      <c r="D1360" s="107"/>
      <c r="E1360" s="107"/>
    </row>
    <row r="1361" spans="2:5" ht="12.75">
      <c r="B1361" s="107"/>
      <c r="C1361" s="290"/>
      <c r="D1361" s="107"/>
      <c r="E1361" s="107"/>
    </row>
    <row r="1362" spans="2:5" ht="12.75">
      <c r="B1362" s="107"/>
      <c r="C1362" s="290"/>
      <c r="D1362" s="107"/>
      <c r="E1362" s="107"/>
    </row>
    <row r="1363" spans="2:5" ht="12.75">
      <c r="B1363" s="107"/>
      <c r="C1363" s="290"/>
      <c r="D1363" s="107"/>
      <c r="E1363" s="107"/>
    </row>
    <row r="1364" spans="2:5" ht="12.75">
      <c r="B1364" s="107"/>
      <c r="C1364" s="290"/>
      <c r="D1364" s="107"/>
      <c r="E1364" s="107"/>
    </row>
    <row r="1365" spans="2:5" ht="12.75">
      <c r="B1365" s="107"/>
      <c r="C1365" s="290"/>
      <c r="D1365" s="107"/>
      <c r="E1365" s="107"/>
    </row>
    <row r="1366" spans="2:5" ht="12.75">
      <c r="B1366" s="107"/>
      <c r="C1366" s="290"/>
      <c r="D1366" s="107"/>
      <c r="E1366" s="107"/>
    </row>
    <row r="1367" spans="2:5" ht="12.75">
      <c r="B1367" s="107"/>
      <c r="C1367" s="290"/>
      <c r="D1367" s="107"/>
      <c r="E1367" s="107"/>
    </row>
    <row r="1368" spans="2:5" ht="12.75">
      <c r="B1368" s="107"/>
      <c r="C1368" s="290"/>
      <c r="D1368" s="107"/>
      <c r="E1368" s="107"/>
    </row>
    <row r="1369" spans="2:5" ht="12.75">
      <c r="B1369" s="107"/>
      <c r="C1369" s="290"/>
      <c r="D1369" s="107"/>
      <c r="E1369" s="107"/>
    </row>
    <row r="1370" spans="2:5" ht="12.75">
      <c r="B1370" s="107"/>
      <c r="C1370" s="290"/>
      <c r="D1370" s="107"/>
      <c r="E1370" s="107"/>
    </row>
    <row r="1371" spans="2:5" ht="12.75">
      <c r="B1371" s="107"/>
      <c r="C1371" s="290"/>
      <c r="D1371" s="107"/>
      <c r="E1371" s="107"/>
    </row>
    <row r="1372" spans="2:5" ht="12.75">
      <c r="B1372" s="107"/>
      <c r="C1372" s="290"/>
      <c r="D1372" s="107"/>
      <c r="E1372" s="107"/>
    </row>
    <row r="1373" spans="2:5" ht="12.75">
      <c r="B1373" s="107"/>
      <c r="C1373" s="290"/>
      <c r="D1373" s="107"/>
      <c r="E1373" s="107"/>
    </row>
    <row r="1374" spans="2:5" ht="12.75">
      <c r="B1374" s="107"/>
      <c r="C1374" s="290"/>
      <c r="D1374" s="107"/>
      <c r="E1374" s="107"/>
    </row>
    <row r="1375" spans="2:5" ht="12.75">
      <c r="B1375" s="107"/>
      <c r="C1375" s="290"/>
      <c r="D1375" s="107"/>
      <c r="E1375" s="107"/>
    </row>
    <row r="1376" spans="2:5" ht="12.75">
      <c r="B1376" s="107"/>
      <c r="C1376" s="290"/>
      <c r="D1376" s="107"/>
      <c r="E1376" s="107"/>
    </row>
  </sheetData>
  <mergeCells count="10">
    <mergeCell ref="A6:G6"/>
    <mergeCell ref="E8:E10"/>
    <mergeCell ref="A8:A10"/>
    <mergeCell ref="B8:B10"/>
    <mergeCell ref="C8:C10"/>
    <mergeCell ref="D8:D10"/>
    <mergeCell ref="A248:D248"/>
    <mergeCell ref="F8:F10"/>
    <mergeCell ref="G8:G10"/>
    <mergeCell ref="A7:G7"/>
  </mergeCells>
  <printOptions horizontalCentered="1"/>
  <pageMargins left="0.2362204724409449" right="0.2362204724409449" top="0.2362204724409449" bottom="0.32" header="0.2362204724409449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6"/>
  <sheetViews>
    <sheetView view="pageBreakPreview" zoomScaleSheetLayoutView="100" workbookViewId="0" topLeftCell="A333">
      <selection activeCell="F380" sqref="F380:F381"/>
    </sheetView>
  </sheetViews>
  <sheetFormatPr defaultColWidth="9.00390625" defaultRowHeight="12.75"/>
  <cols>
    <col min="1" max="1" width="4.625" style="14" customWidth="1"/>
    <col min="2" max="2" width="8.00390625" style="14" bestFit="1" customWidth="1"/>
    <col min="3" max="3" width="50.625" style="14" customWidth="1"/>
    <col min="4" max="4" width="12.75390625" style="14" customWidth="1"/>
    <col min="5" max="5" width="9.625" style="14" customWidth="1"/>
    <col min="6" max="6" width="13.25390625" style="14" customWidth="1"/>
    <col min="7" max="16384" width="9.125" style="14" customWidth="1"/>
  </cols>
  <sheetData>
    <row r="1" spans="1:6" ht="11.25" customHeight="1">
      <c r="A1" s="56"/>
      <c r="B1" s="56"/>
      <c r="C1" s="56"/>
      <c r="D1" s="57"/>
      <c r="E1" s="740" t="s">
        <v>470</v>
      </c>
      <c r="F1" s="740"/>
    </row>
    <row r="2" spans="1:5" ht="12">
      <c r="A2" s="56"/>
      <c r="B2" s="56"/>
      <c r="C2" s="56"/>
      <c r="D2" s="58"/>
      <c r="E2" s="58" t="s">
        <v>113</v>
      </c>
    </row>
    <row r="3" spans="1:5" ht="12">
      <c r="A3" s="56"/>
      <c r="B3" s="56"/>
      <c r="C3" s="56"/>
      <c r="D3" s="58"/>
      <c r="E3" s="58" t="s">
        <v>50</v>
      </c>
    </row>
    <row r="4" spans="1:5" ht="12">
      <c r="A4" s="56"/>
      <c r="B4" s="56"/>
      <c r="C4" s="56"/>
      <c r="D4" s="58"/>
      <c r="E4" s="58" t="s">
        <v>639</v>
      </c>
    </row>
    <row r="5" spans="1:3" ht="9.75">
      <c r="A5" s="56"/>
      <c r="B5" s="56"/>
      <c r="C5" s="56"/>
    </row>
    <row r="6" spans="1:6" ht="12.75">
      <c r="A6" s="741" t="s">
        <v>604</v>
      </c>
      <c r="B6" s="741"/>
      <c r="C6" s="741"/>
      <c r="D6" s="741"/>
      <c r="E6" s="741"/>
      <c r="F6" s="741"/>
    </row>
    <row r="7" spans="1:3" ht="9" customHeight="1">
      <c r="A7" s="305"/>
      <c r="B7" s="305"/>
      <c r="C7" s="305"/>
    </row>
    <row r="8" spans="1:6" ht="13.5" customHeight="1" thickBot="1">
      <c r="A8" s="717" t="s">
        <v>532</v>
      </c>
      <c r="B8" s="717"/>
      <c r="C8" s="717"/>
      <c r="D8" s="717"/>
      <c r="E8" s="717"/>
      <c r="F8" s="717"/>
    </row>
    <row r="9" spans="1:6" ht="9.75" customHeight="1">
      <c r="A9" s="719" t="s">
        <v>63</v>
      </c>
      <c r="B9" s="733" t="s">
        <v>47</v>
      </c>
      <c r="C9" s="744" t="s">
        <v>115</v>
      </c>
      <c r="D9" s="710" t="s">
        <v>531</v>
      </c>
      <c r="E9" s="731" t="s">
        <v>640</v>
      </c>
      <c r="F9" s="722" t="s">
        <v>641</v>
      </c>
    </row>
    <row r="10" spans="1:6" ht="30.75" customHeight="1" thickBot="1">
      <c r="A10" s="720"/>
      <c r="B10" s="734"/>
      <c r="C10" s="734"/>
      <c r="D10" s="706"/>
      <c r="E10" s="711"/>
      <c r="F10" s="724"/>
    </row>
    <row r="11" spans="1:6" ht="9.75" customHeight="1" hidden="1" thickBot="1">
      <c r="A11" s="720"/>
      <c r="B11" s="734"/>
      <c r="C11" s="734"/>
      <c r="D11" s="221"/>
      <c r="E11" s="478"/>
      <c r="F11" s="488"/>
    </row>
    <row r="12" spans="1:6" ht="12" customHeight="1" thickBot="1">
      <c r="A12" s="294">
        <v>1</v>
      </c>
      <c r="B12" s="291">
        <v>2</v>
      </c>
      <c r="C12" s="291">
        <v>3</v>
      </c>
      <c r="D12" s="469">
        <v>4</v>
      </c>
      <c r="E12" s="291">
        <v>5</v>
      </c>
      <c r="F12" s="489">
        <v>6</v>
      </c>
    </row>
    <row r="13" spans="1:6" ht="12.75">
      <c r="A13" s="195"/>
      <c r="B13" s="8"/>
      <c r="C13" s="8"/>
      <c r="D13" s="470"/>
      <c r="E13" s="478"/>
      <c r="F13" s="488"/>
    </row>
    <row r="14" spans="1:6" ht="13.5" thickBot="1">
      <c r="A14" s="405" t="s">
        <v>1</v>
      </c>
      <c r="B14" s="64"/>
      <c r="C14" s="406" t="s">
        <v>116</v>
      </c>
      <c r="D14" s="307">
        <f>D15</f>
        <v>60540</v>
      </c>
      <c r="E14" s="265">
        <f>E15</f>
        <v>0</v>
      </c>
      <c r="F14" s="65">
        <f>E14+D14</f>
        <v>60540</v>
      </c>
    </row>
    <row r="15" spans="1:6" ht="12.75">
      <c r="A15" s="45"/>
      <c r="B15" s="407"/>
      <c r="C15" s="66" t="s">
        <v>117</v>
      </c>
      <c r="D15" s="177">
        <f>D16</f>
        <v>60540</v>
      </c>
      <c r="E15" s="176">
        <f>E16</f>
        <v>0</v>
      </c>
      <c r="F15" s="68">
        <f>E15+D15</f>
        <v>60540</v>
      </c>
    </row>
    <row r="16" spans="1:6" ht="12.75">
      <c r="A16" s="45"/>
      <c r="B16" s="407"/>
      <c r="C16" s="408" t="s">
        <v>118</v>
      </c>
      <c r="D16" s="238">
        <f>D21+D25</f>
        <v>60540</v>
      </c>
      <c r="E16" s="479">
        <f>E21+E25</f>
        <v>0</v>
      </c>
      <c r="F16" s="81">
        <f>E16+D16</f>
        <v>60540</v>
      </c>
    </row>
    <row r="17" spans="1:6" ht="12.75">
      <c r="A17" s="45"/>
      <c r="B17" s="407"/>
      <c r="C17" s="409"/>
      <c r="D17" s="177"/>
      <c r="E17" s="176"/>
      <c r="F17" s="68"/>
    </row>
    <row r="18" spans="1:6" ht="12.75">
      <c r="A18" s="410"/>
      <c r="B18" s="50" t="s">
        <v>3</v>
      </c>
      <c r="C18" s="411" t="s">
        <v>119</v>
      </c>
      <c r="D18" s="177"/>
      <c r="E18" s="176"/>
      <c r="F18" s="68"/>
    </row>
    <row r="19" spans="1:6" ht="12.75">
      <c r="A19" s="410"/>
      <c r="B19" s="70"/>
      <c r="C19" s="412" t="s">
        <v>510</v>
      </c>
      <c r="D19" s="235">
        <f>D20</f>
        <v>50000</v>
      </c>
      <c r="E19" s="333">
        <f>E20</f>
        <v>0</v>
      </c>
      <c r="F19" s="67">
        <f aca="true" t="shared" si="0" ref="F19:F79">E19+D19</f>
        <v>50000</v>
      </c>
    </row>
    <row r="20" spans="1:6" ht="12.75">
      <c r="A20" s="410"/>
      <c r="B20" s="50"/>
      <c r="C20" s="66" t="s">
        <v>117</v>
      </c>
      <c r="D20" s="235">
        <f>D21</f>
        <v>50000</v>
      </c>
      <c r="E20" s="333">
        <f>E21</f>
        <v>0</v>
      </c>
      <c r="F20" s="75">
        <f t="shared" si="0"/>
        <v>50000</v>
      </c>
    </row>
    <row r="21" spans="1:6" ht="12.75">
      <c r="A21" s="410"/>
      <c r="B21" s="50"/>
      <c r="C21" s="408" t="s">
        <v>118</v>
      </c>
      <c r="D21" s="177">
        <f>SUM('WYDATKI ukł.wyk.'!E17)</f>
        <v>50000</v>
      </c>
      <c r="E21" s="176">
        <f>SUM('WYDATKI ukł.wyk.'!F17)</f>
        <v>0</v>
      </c>
      <c r="F21" s="68">
        <f t="shared" si="0"/>
        <v>50000</v>
      </c>
    </row>
    <row r="22" spans="1:6" ht="12.75">
      <c r="A22" s="410"/>
      <c r="B22" s="50"/>
      <c r="C22" s="408"/>
      <c r="D22" s="177"/>
      <c r="E22" s="176"/>
      <c r="F22" s="68"/>
    </row>
    <row r="23" spans="1:6" ht="12.75">
      <c r="A23" s="410"/>
      <c r="B23" s="70" t="s">
        <v>501</v>
      </c>
      <c r="C23" s="413" t="s">
        <v>511</v>
      </c>
      <c r="D23" s="235">
        <f>D24</f>
        <v>10540</v>
      </c>
      <c r="E23" s="333">
        <f>E24</f>
        <v>0</v>
      </c>
      <c r="F23" s="68">
        <f t="shared" si="0"/>
        <v>10540</v>
      </c>
    </row>
    <row r="24" spans="1:6" ht="12.75">
      <c r="A24" s="410"/>
      <c r="B24" s="50"/>
      <c r="C24" s="66" t="s">
        <v>117</v>
      </c>
      <c r="D24" s="235">
        <f>D25</f>
        <v>10540</v>
      </c>
      <c r="E24" s="333">
        <f>E25</f>
        <v>0</v>
      </c>
      <c r="F24" s="75">
        <f t="shared" si="0"/>
        <v>10540</v>
      </c>
    </row>
    <row r="25" spans="1:6" ht="12.75">
      <c r="A25" s="410"/>
      <c r="B25" s="50"/>
      <c r="C25" s="408" t="s">
        <v>118</v>
      </c>
      <c r="D25" s="177">
        <f>'WYDATKI ukł.wyk.'!E19</f>
        <v>10540</v>
      </c>
      <c r="E25" s="177">
        <f>'WYDATKI ukł.wyk.'!F19</f>
        <v>0</v>
      </c>
      <c r="F25" s="68">
        <f t="shared" si="0"/>
        <v>10540</v>
      </c>
    </row>
    <row r="26" spans="1:6" ht="12.75">
      <c r="A26" s="410"/>
      <c r="B26" s="50"/>
      <c r="C26" s="408"/>
      <c r="D26" s="177"/>
      <c r="E26" s="176"/>
      <c r="F26" s="68"/>
    </row>
    <row r="27" spans="1:6" ht="13.5" thickBot="1">
      <c r="A27" s="405" t="s">
        <v>21</v>
      </c>
      <c r="B27" s="64"/>
      <c r="C27" s="7" t="s">
        <v>120</v>
      </c>
      <c r="D27" s="307">
        <f>D28</f>
        <v>188414</v>
      </c>
      <c r="E27" s="265">
        <f>E28</f>
        <v>4922</v>
      </c>
      <c r="F27" s="65">
        <f t="shared" si="0"/>
        <v>193336</v>
      </c>
    </row>
    <row r="28" spans="1:6" ht="12.75">
      <c r="A28" s="410"/>
      <c r="B28" s="50"/>
      <c r="C28" s="71" t="s">
        <v>117</v>
      </c>
      <c r="D28" s="177">
        <f>D29</f>
        <v>188414</v>
      </c>
      <c r="E28" s="176">
        <f>E29</f>
        <v>4922</v>
      </c>
      <c r="F28" s="68">
        <f t="shared" si="0"/>
        <v>193336</v>
      </c>
    </row>
    <row r="29" spans="1:6" ht="12.75">
      <c r="A29" s="410"/>
      <c r="B29" s="50"/>
      <c r="C29" s="308" t="s">
        <v>118</v>
      </c>
      <c r="D29" s="238">
        <f>D33+D37</f>
        <v>188414</v>
      </c>
      <c r="E29" s="479">
        <f>E33+E37</f>
        <v>4922</v>
      </c>
      <c r="F29" s="81">
        <f t="shared" si="0"/>
        <v>193336</v>
      </c>
    </row>
    <row r="30" spans="1:6" ht="12.75">
      <c r="A30" s="410"/>
      <c r="B30" s="50"/>
      <c r="C30" s="308"/>
      <c r="D30" s="177"/>
      <c r="E30" s="176"/>
      <c r="F30" s="68"/>
    </row>
    <row r="31" spans="1:6" ht="12.75">
      <c r="A31" s="410"/>
      <c r="B31" s="70" t="s">
        <v>44</v>
      </c>
      <c r="C31" s="71" t="s">
        <v>512</v>
      </c>
      <c r="D31" s="235">
        <f>D32</f>
        <v>183714</v>
      </c>
      <c r="E31" s="333">
        <f>E32</f>
        <v>4922</v>
      </c>
      <c r="F31" s="67">
        <f t="shared" si="0"/>
        <v>188636</v>
      </c>
    </row>
    <row r="32" spans="1:6" ht="12.75">
      <c r="A32" s="410"/>
      <c r="B32" s="50"/>
      <c r="C32" s="71" t="s">
        <v>117</v>
      </c>
      <c r="D32" s="234">
        <f>D33</f>
        <v>183714</v>
      </c>
      <c r="E32" s="480">
        <f>E33</f>
        <v>4922</v>
      </c>
      <c r="F32" s="75">
        <f t="shared" si="0"/>
        <v>188636</v>
      </c>
    </row>
    <row r="33" spans="1:6" ht="12.75">
      <c r="A33" s="410"/>
      <c r="B33" s="50"/>
      <c r="C33" s="308" t="s">
        <v>118</v>
      </c>
      <c r="D33" s="177">
        <f>'WYDATKI ukł.wyk.'!E26</f>
        <v>183714</v>
      </c>
      <c r="E33" s="176">
        <f>'WYDATKI ukł.wyk.'!F26</f>
        <v>4922</v>
      </c>
      <c r="F33" s="68">
        <f t="shared" si="0"/>
        <v>188636</v>
      </c>
    </row>
    <row r="34" spans="1:6" ht="12.75">
      <c r="A34" s="410"/>
      <c r="B34" s="50"/>
      <c r="C34" s="1"/>
      <c r="D34" s="177"/>
      <c r="E34" s="176"/>
      <c r="F34" s="68"/>
    </row>
    <row r="35" spans="1:6" ht="12.75">
      <c r="A35" s="410"/>
      <c r="B35" s="70" t="s">
        <v>23</v>
      </c>
      <c r="C35" s="66" t="s">
        <v>122</v>
      </c>
      <c r="D35" s="177">
        <f>D36</f>
        <v>4700</v>
      </c>
      <c r="E35" s="176">
        <f>E36</f>
        <v>0</v>
      </c>
      <c r="F35" s="68">
        <f t="shared" si="0"/>
        <v>4700</v>
      </c>
    </row>
    <row r="36" spans="1:6" ht="12.75">
      <c r="A36" s="410"/>
      <c r="B36" s="50"/>
      <c r="C36" s="71" t="s">
        <v>117</v>
      </c>
      <c r="D36" s="234">
        <f>D37</f>
        <v>4700</v>
      </c>
      <c r="E36" s="480">
        <f>E37</f>
        <v>0</v>
      </c>
      <c r="F36" s="75">
        <f t="shared" si="0"/>
        <v>4700</v>
      </c>
    </row>
    <row r="37" spans="1:6" ht="12.75">
      <c r="A37" s="410"/>
      <c r="B37" s="50"/>
      <c r="C37" s="308" t="s">
        <v>118</v>
      </c>
      <c r="D37" s="177">
        <f>'WYDATKI ukł.wyk.'!E29</f>
        <v>4700</v>
      </c>
      <c r="E37" s="176">
        <f>'WYDATKI ukł.wyk.'!F29</f>
        <v>0</v>
      </c>
      <c r="F37" s="68">
        <f t="shared" si="0"/>
        <v>4700</v>
      </c>
    </row>
    <row r="38" spans="1:6" ht="12.75">
      <c r="A38" s="410"/>
      <c r="B38" s="50"/>
      <c r="C38" s="408"/>
      <c r="D38" s="177"/>
      <c r="E38" s="176"/>
      <c r="F38" s="68"/>
    </row>
    <row r="39" spans="1:6" ht="13.5" thickBot="1">
      <c r="A39" s="405" t="s">
        <v>123</v>
      </c>
      <c r="B39" s="64"/>
      <c r="C39" s="7" t="s">
        <v>124</v>
      </c>
      <c r="D39" s="307">
        <f>D40+D44</f>
        <v>3293500</v>
      </c>
      <c r="E39" s="265">
        <f>E40+E44</f>
        <v>-94329</v>
      </c>
      <c r="F39" s="65">
        <f t="shared" si="0"/>
        <v>3199171</v>
      </c>
    </row>
    <row r="40" spans="1:6" ht="12.75">
      <c r="A40" s="410"/>
      <c r="B40" s="50"/>
      <c r="C40" s="71" t="s">
        <v>117</v>
      </c>
      <c r="D40" s="177">
        <f>SUM(D41:D43)</f>
        <v>2293500</v>
      </c>
      <c r="E40" s="176">
        <f>SUM(E41:E43)</f>
        <v>222528</v>
      </c>
      <c r="F40" s="68">
        <f t="shared" si="0"/>
        <v>2516028</v>
      </c>
    </row>
    <row r="41" spans="1:6" ht="12.75">
      <c r="A41" s="410"/>
      <c r="B41" s="50"/>
      <c r="C41" s="308" t="s">
        <v>125</v>
      </c>
      <c r="D41" s="238">
        <f aca="true" t="shared" si="1" ref="D41:E44">D48</f>
        <v>1093120</v>
      </c>
      <c r="E41" s="479">
        <f t="shared" si="1"/>
        <v>33308</v>
      </c>
      <c r="F41" s="81">
        <f t="shared" si="0"/>
        <v>1126428</v>
      </c>
    </row>
    <row r="42" spans="1:6" ht="12.75">
      <c r="A42" s="410"/>
      <c r="B42" s="50"/>
      <c r="C42" s="414" t="s">
        <v>126</v>
      </c>
      <c r="D42" s="177">
        <f t="shared" si="1"/>
        <v>28423</v>
      </c>
      <c r="E42" s="176">
        <f t="shared" si="1"/>
        <v>0</v>
      </c>
      <c r="F42" s="68">
        <f t="shared" si="0"/>
        <v>28423</v>
      </c>
    </row>
    <row r="43" spans="1:6" ht="12.75">
      <c r="A43" s="410"/>
      <c r="B43" s="50"/>
      <c r="C43" s="308" t="s">
        <v>118</v>
      </c>
      <c r="D43" s="177">
        <f t="shared" si="1"/>
        <v>1171957</v>
      </c>
      <c r="E43" s="176">
        <f t="shared" si="1"/>
        <v>189220</v>
      </c>
      <c r="F43" s="68">
        <f t="shared" si="0"/>
        <v>1361177</v>
      </c>
    </row>
    <row r="44" spans="1:6" ht="12.75">
      <c r="A44" s="410"/>
      <c r="B44" s="50"/>
      <c r="C44" s="415" t="s">
        <v>127</v>
      </c>
      <c r="D44" s="235">
        <f t="shared" si="1"/>
        <v>1000000</v>
      </c>
      <c r="E44" s="333">
        <f t="shared" si="1"/>
        <v>-316857</v>
      </c>
      <c r="F44" s="67">
        <f t="shared" si="0"/>
        <v>683143</v>
      </c>
    </row>
    <row r="45" spans="1:6" ht="12.75">
      <c r="A45" s="410"/>
      <c r="B45" s="50"/>
      <c r="C45" s="1"/>
      <c r="D45" s="177"/>
      <c r="E45" s="176"/>
      <c r="F45" s="81"/>
    </row>
    <row r="46" spans="1:6" ht="12.75">
      <c r="A46" s="410"/>
      <c r="B46" s="70" t="s">
        <v>128</v>
      </c>
      <c r="C46" s="66" t="s">
        <v>129</v>
      </c>
      <c r="D46" s="235">
        <f>D47+D51</f>
        <v>3293500</v>
      </c>
      <c r="E46" s="333">
        <f>E47+E51</f>
        <v>-94329</v>
      </c>
      <c r="F46" s="67">
        <f t="shared" si="0"/>
        <v>3199171</v>
      </c>
    </row>
    <row r="47" spans="1:6" ht="12.75">
      <c r="A47" s="410"/>
      <c r="B47" s="50"/>
      <c r="C47" s="71" t="s">
        <v>117</v>
      </c>
      <c r="D47" s="234">
        <f>SUM(D48:D50)</f>
        <v>2293500</v>
      </c>
      <c r="E47" s="480">
        <f>SUM(E48:E50)</f>
        <v>222528</v>
      </c>
      <c r="F47" s="75">
        <f t="shared" si="0"/>
        <v>2516028</v>
      </c>
    </row>
    <row r="48" spans="1:6" ht="12.75">
      <c r="A48" s="410"/>
      <c r="B48" s="50"/>
      <c r="C48" s="308" t="s">
        <v>125</v>
      </c>
      <c r="D48" s="177">
        <f>SUM('WYDATKI ukł.wyk.'!E35:E38)</f>
        <v>1093120</v>
      </c>
      <c r="E48" s="176">
        <f>SUM('WYDATKI ukł.wyk.'!F35:F38)</f>
        <v>33308</v>
      </c>
      <c r="F48" s="81">
        <f t="shared" si="0"/>
        <v>1126428</v>
      </c>
    </row>
    <row r="49" spans="1:6" ht="12.75">
      <c r="A49" s="410"/>
      <c r="B49" s="50"/>
      <c r="C49" s="414" t="s">
        <v>126</v>
      </c>
      <c r="D49" s="177">
        <f>'WYDATKI ukł.wyk.'!E33</f>
        <v>28423</v>
      </c>
      <c r="E49" s="176">
        <f>'WYDATKI ukł.wyk.'!F33</f>
        <v>0</v>
      </c>
      <c r="F49" s="68">
        <f t="shared" si="0"/>
        <v>28423</v>
      </c>
    </row>
    <row r="50" spans="1:6" ht="12.75">
      <c r="A50" s="410"/>
      <c r="B50" s="50"/>
      <c r="C50" s="308" t="s">
        <v>118</v>
      </c>
      <c r="D50" s="177">
        <f>SUM('WYDATKI ukł.wyk.'!E39:E50)+'WYDATKI ukł.wyk.'!E34</f>
        <v>1171957</v>
      </c>
      <c r="E50" s="176">
        <f>SUM('WYDATKI ukł.wyk.'!F39:F50)+'WYDATKI ukł.wyk.'!F34</f>
        <v>189220</v>
      </c>
      <c r="F50" s="68">
        <f t="shared" si="0"/>
        <v>1361177</v>
      </c>
    </row>
    <row r="51" spans="1:6" ht="12.75">
      <c r="A51" s="410"/>
      <c r="B51" s="50"/>
      <c r="C51" s="415" t="s">
        <v>127</v>
      </c>
      <c r="D51" s="235">
        <f>SUM('WYDATKI ukł.wyk.'!E51:E52)</f>
        <v>1000000</v>
      </c>
      <c r="E51" s="333">
        <f>SUM('WYDATKI ukł.wyk.'!F51:F52)</f>
        <v>-316857</v>
      </c>
      <c r="F51" s="67">
        <f t="shared" si="0"/>
        <v>683143</v>
      </c>
    </row>
    <row r="52" spans="1:6" ht="12.75">
      <c r="A52" s="410"/>
      <c r="B52" s="50"/>
      <c r="C52" s="408"/>
      <c r="D52" s="177"/>
      <c r="E52" s="176"/>
      <c r="F52" s="68"/>
    </row>
    <row r="53" spans="1:6" ht="13.5" thickBot="1">
      <c r="A53" s="41" t="s">
        <v>130</v>
      </c>
      <c r="B53" s="64"/>
      <c r="C53" s="7" t="s">
        <v>131</v>
      </c>
      <c r="D53" s="307">
        <f>D54</f>
        <v>3000</v>
      </c>
      <c r="E53" s="265">
        <f>E54</f>
        <v>0</v>
      </c>
      <c r="F53" s="65">
        <f t="shared" si="0"/>
        <v>3000</v>
      </c>
    </row>
    <row r="54" spans="1:6" ht="12.75">
      <c r="A54" s="416"/>
      <c r="B54" s="50"/>
      <c r="C54" s="71" t="s">
        <v>117</v>
      </c>
      <c r="D54" s="177">
        <f>SUM(D55:D56)</f>
        <v>3000</v>
      </c>
      <c r="E54" s="176">
        <f>SUM(E55:E56)</f>
        <v>0</v>
      </c>
      <c r="F54" s="68">
        <f t="shared" si="0"/>
        <v>3000</v>
      </c>
    </row>
    <row r="55" spans="1:6" ht="12.75">
      <c r="A55" s="416"/>
      <c r="B55" s="50"/>
      <c r="C55" s="308" t="s">
        <v>132</v>
      </c>
      <c r="D55" s="238">
        <f>D60</f>
        <v>1000</v>
      </c>
      <c r="E55" s="479">
        <f>E60</f>
        <v>0</v>
      </c>
      <c r="F55" s="81">
        <f t="shared" si="0"/>
        <v>1000</v>
      </c>
    </row>
    <row r="56" spans="1:6" ht="12.75">
      <c r="A56" s="416"/>
      <c r="B56" s="50"/>
      <c r="C56" s="308" t="s">
        <v>118</v>
      </c>
      <c r="D56" s="177">
        <f>D61</f>
        <v>2000</v>
      </c>
      <c r="E56" s="176">
        <f>E61</f>
        <v>0</v>
      </c>
      <c r="F56" s="68">
        <f t="shared" si="0"/>
        <v>2000</v>
      </c>
    </row>
    <row r="57" spans="1:6" ht="12.75">
      <c r="A57" s="416"/>
      <c r="B57" s="50"/>
      <c r="C57" s="308"/>
      <c r="D57" s="177"/>
      <c r="E57" s="176"/>
      <c r="F57" s="68"/>
    </row>
    <row r="58" spans="1:6" ht="12.75">
      <c r="A58" s="416"/>
      <c r="B58" s="70" t="s">
        <v>133</v>
      </c>
      <c r="C58" s="66" t="s">
        <v>134</v>
      </c>
      <c r="D58" s="235">
        <f>D59</f>
        <v>3000</v>
      </c>
      <c r="E58" s="333">
        <f>E59</f>
        <v>0</v>
      </c>
      <c r="F58" s="67">
        <f t="shared" si="0"/>
        <v>3000</v>
      </c>
    </row>
    <row r="59" spans="1:6" ht="12.75">
      <c r="A59" s="416"/>
      <c r="B59" s="50"/>
      <c r="C59" s="71" t="s">
        <v>117</v>
      </c>
      <c r="D59" s="234">
        <f>SUM(D60:D61)</f>
        <v>3000</v>
      </c>
      <c r="E59" s="480">
        <f>SUM(E60:E61)</f>
        <v>0</v>
      </c>
      <c r="F59" s="75">
        <f t="shared" si="0"/>
        <v>3000</v>
      </c>
    </row>
    <row r="60" spans="1:6" ht="12.75">
      <c r="A60" s="416"/>
      <c r="B60" s="50"/>
      <c r="C60" s="308" t="s">
        <v>132</v>
      </c>
      <c r="D60" s="177">
        <f>'WYDATKI ukł.wyk.'!E56</f>
        <v>1000</v>
      </c>
      <c r="E60" s="176">
        <f>'WYDATKI ukł.wyk.'!F56</f>
        <v>0</v>
      </c>
      <c r="F60" s="68">
        <f t="shared" si="0"/>
        <v>1000</v>
      </c>
    </row>
    <row r="61" spans="1:6" ht="12.75">
      <c r="A61" s="416"/>
      <c r="B61" s="50"/>
      <c r="C61" s="308" t="s">
        <v>118</v>
      </c>
      <c r="D61" s="177">
        <f>SUM('WYDATKI ukł.wyk.'!E58:E59)</f>
        <v>2000</v>
      </c>
      <c r="E61" s="176">
        <f>SUM('WYDATKI ukł.wyk.'!F58:F59)</f>
        <v>0</v>
      </c>
      <c r="F61" s="68">
        <f t="shared" si="0"/>
        <v>2000</v>
      </c>
    </row>
    <row r="62" spans="1:6" ht="12.75">
      <c r="A62" s="416"/>
      <c r="B62" s="50"/>
      <c r="C62" s="308"/>
      <c r="D62" s="177"/>
      <c r="E62" s="176"/>
      <c r="F62" s="68"/>
    </row>
    <row r="63" spans="1:6" ht="13.5" thickBot="1">
      <c r="A63" s="41" t="s">
        <v>4</v>
      </c>
      <c r="B63" s="64"/>
      <c r="C63" s="417" t="s">
        <v>135</v>
      </c>
      <c r="D63" s="307">
        <f>D64</f>
        <v>129260</v>
      </c>
      <c r="E63" s="265">
        <f>E64</f>
        <v>0</v>
      </c>
      <c r="F63" s="65">
        <f t="shared" si="0"/>
        <v>129260</v>
      </c>
    </row>
    <row r="64" spans="1:6" ht="12.75">
      <c r="A64" s="416"/>
      <c r="B64" s="50"/>
      <c r="C64" s="71" t="s">
        <v>117</v>
      </c>
      <c r="D64" s="177">
        <f>D65</f>
        <v>129260</v>
      </c>
      <c r="E64" s="176">
        <f>E65</f>
        <v>0</v>
      </c>
      <c r="F64" s="490">
        <f t="shared" si="0"/>
        <v>129260</v>
      </c>
    </row>
    <row r="65" spans="1:6" ht="12.75">
      <c r="A65" s="416"/>
      <c r="B65" s="50"/>
      <c r="C65" s="418" t="s">
        <v>118</v>
      </c>
      <c r="D65" s="238">
        <f>D69</f>
        <v>129260</v>
      </c>
      <c r="E65" s="479">
        <f>E69</f>
        <v>0</v>
      </c>
      <c r="F65" s="68">
        <f t="shared" si="0"/>
        <v>129260</v>
      </c>
    </row>
    <row r="66" spans="1:6" ht="12.75">
      <c r="A66" s="416"/>
      <c r="B66" s="50"/>
      <c r="C66" s="308"/>
      <c r="D66" s="177"/>
      <c r="E66" s="176"/>
      <c r="F66" s="68"/>
    </row>
    <row r="67" spans="1:6" ht="12.75">
      <c r="A67" s="416"/>
      <c r="B67" s="70" t="s">
        <v>6</v>
      </c>
      <c r="C67" s="66" t="s">
        <v>136</v>
      </c>
      <c r="D67" s="235">
        <f>D68</f>
        <v>129260</v>
      </c>
      <c r="E67" s="333">
        <f>E68</f>
        <v>0</v>
      </c>
      <c r="F67" s="68">
        <f t="shared" si="0"/>
        <v>129260</v>
      </c>
    </row>
    <row r="68" spans="1:6" ht="12.75">
      <c r="A68" s="416"/>
      <c r="B68" s="50"/>
      <c r="C68" s="71" t="s">
        <v>117</v>
      </c>
      <c r="D68" s="234">
        <f>D69</f>
        <v>129260</v>
      </c>
      <c r="E68" s="480">
        <f>E69</f>
        <v>0</v>
      </c>
      <c r="F68" s="75">
        <f t="shared" si="0"/>
        <v>129260</v>
      </c>
    </row>
    <row r="69" spans="1:6" ht="12.75">
      <c r="A69" s="410"/>
      <c r="B69" s="50"/>
      <c r="C69" s="418" t="s">
        <v>118</v>
      </c>
      <c r="D69" s="177">
        <f>SUM('WYDATKI ukł.wyk.'!E63:E68)</f>
        <v>129260</v>
      </c>
      <c r="E69" s="176">
        <f>SUM('WYDATKI ukł.wyk.'!F63:F68)</f>
        <v>0</v>
      </c>
      <c r="F69" s="68">
        <f t="shared" si="0"/>
        <v>129260</v>
      </c>
    </row>
    <row r="70" spans="1:6" ht="12.75">
      <c r="A70" s="410"/>
      <c r="B70" s="50"/>
      <c r="C70" s="76"/>
      <c r="D70" s="177"/>
      <c r="E70" s="176"/>
      <c r="F70" s="68"/>
    </row>
    <row r="71" spans="1:6" ht="13.5" thickBot="1">
      <c r="A71" s="405" t="s">
        <v>8</v>
      </c>
      <c r="B71" s="64"/>
      <c r="C71" s="312" t="s">
        <v>137</v>
      </c>
      <c r="D71" s="307">
        <f>D72+D75</f>
        <v>203256</v>
      </c>
      <c r="E71" s="265">
        <f>E72+E75</f>
        <v>0</v>
      </c>
      <c r="F71" s="65">
        <f t="shared" si="0"/>
        <v>203256</v>
      </c>
    </row>
    <row r="72" spans="1:6" ht="12.75">
      <c r="A72" s="45"/>
      <c r="B72" s="407"/>
      <c r="C72" s="415" t="s">
        <v>117</v>
      </c>
      <c r="D72" s="177">
        <f>D78+D82+D86</f>
        <v>198756</v>
      </c>
      <c r="E72" s="176">
        <f>E78+E82+E86</f>
        <v>0</v>
      </c>
      <c r="F72" s="68">
        <f t="shared" si="0"/>
        <v>198756</v>
      </c>
    </row>
    <row r="73" spans="1:6" ht="12.75">
      <c r="A73" s="45"/>
      <c r="B73" s="407"/>
      <c r="C73" s="76" t="s">
        <v>138</v>
      </c>
      <c r="D73" s="238">
        <f>D87</f>
        <v>132370</v>
      </c>
      <c r="E73" s="479">
        <f>E87</f>
        <v>-15</v>
      </c>
      <c r="F73" s="81">
        <f t="shared" si="0"/>
        <v>132355</v>
      </c>
    </row>
    <row r="74" spans="1:6" ht="12.75">
      <c r="A74" s="45"/>
      <c r="B74" s="407"/>
      <c r="C74" s="76" t="s">
        <v>118</v>
      </c>
      <c r="D74" s="177">
        <f>D79+D83+D88</f>
        <v>66386</v>
      </c>
      <c r="E74" s="176">
        <f>E79+E83+E88</f>
        <v>15</v>
      </c>
      <c r="F74" s="68">
        <f t="shared" si="0"/>
        <v>66401</v>
      </c>
    </row>
    <row r="75" spans="1:6" ht="12.75">
      <c r="A75" s="45"/>
      <c r="B75" s="407"/>
      <c r="C75" s="415" t="s">
        <v>127</v>
      </c>
      <c r="D75" s="235">
        <f>D89</f>
        <v>4500</v>
      </c>
      <c r="E75" s="333">
        <f>E89</f>
        <v>0</v>
      </c>
      <c r="F75" s="67">
        <f t="shared" si="0"/>
        <v>4500</v>
      </c>
    </row>
    <row r="76" spans="1:6" ht="12.75">
      <c r="A76" s="45"/>
      <c r="B76" s="407"/>
      <c r="C76" s="419"/>
      <c r="D76" s="177"/>
      <c r="E76" s="176"/>
      <c r="F76" s="68"/>
    </row>
    <row r="77" spans="1:6" ht="12.75">
      <c r="A77" s="410"/>
      <c r="B77" s="70" t="s">
        <v>10</v>
      </c>
      <c r="C77" s="78" t="s">
        <v>139</v>
      </c>
      <c r="D77" s="235">
        <f>D78</f>
        <v>40000</v>
      </c>
      <c r="E77" s="333">
        <f>E78</f>
        <v>0</v>
      </c>
      <c r="F77" s="68">
        <f t="shared" si="0"/>
        <v>40000</v>
      </c>
    </row>
    <row r="78" spans="1:6" ht="12.75">
      <c r="A78" s="410"/>
      <c r="B78" s="50"/>
      <c r="C78" s="415" t="s">
        <v>117</v>
      </c>
      <c r="D78" s="234">
        <f>D79</f>
        <v>40000</v>
      </c>
      <c r="E78" s="480">
        <f>E79</f>
        <v>0</v>
      </c>
      <c r="F78" s="75">
        <f t="shared" si="0"/>
        <v>40000</v>
      </c>
    </row>
    <row r="79" spans="1:6" ht="12.75">
      <c r="A79" s="410"/>
      <c r="B79" s="50"/>
      <c r="C79" s="76" t="s">
        <v>118</v>
      </c>
      <c r="D79" s="177">
        <f>'WYDATKI ukł.wyk.'!E72</f>
        <v>40000</v>
      </c>
      <c r="E79" s="176">
        <f>'WYDATKI ukł.wyk.'!F72</f>
        <v>0</v>
      </c>
      <c r="F79" s="68">
        <f t="shared" si="0"/>
        <v>40000</v>
      </c>
    </row>
    <row r="80" spans="1:6" ht="12.75">
      <c r="A80" s="410"/>
      <c r="B80" s="50"/>
      <c r="C80" s="5"/>
      <c r="D80" s="177"/>
      <c r="E80" s="176"/>
      <c r="F80" s="68"/>
    </row>
    <row r="81" spans="1:6" ht="12.75">
      <c r="A81" s="410"/>
      <c r="B81" s="70" t="s">
        <v>11</v>
      </c>
      <c r="C81" s="78" t="s">
        <v>140</v>
      </c>
      <c r="D81" s="177">
        <f>D82</f>
        <v>6000</v>
      </c>
      <c r="E81" s="176">
        <f>E82</f>
        <v>0</v>
      </c>
      <c r="F81" s="68">
        <f aca="true" t="shared" si="2" ref="F81:F159">E81+D81</f>
        <v>6000</v>
      </c>
    </row>
    <row r="82" spans="1:6" ht="12.75">
      <c r="A82" s="410"/>
      <c r="B82" s="50"/>
      <c r="C82" s="415" t="s">
        <v>117</v>
      </c>
      <c r="D82" s="234">
        <f>D83</f>
        <v>6000</v>
      </c>
      <c r="E82" s="480">
        <f>E83</f>
        <v>0</v>
      </c>
      <c r="F82" s="75">
        <f t="shared" si="2"/>
        <v>6000</v>
      </c>
    </row>
    <row r="83" spans="1:6" ht="12.75">
      <c r="A83" s="410"/>
      <c r="B83" s="50"/>
      <c r="C83" s="76" t="s">
        <v>118</v>
      </c>
      <c r="D83" s="177">
        <f>'WYDATKI ukł.wyk.'!E75</f>
        <v>6000</v>
      </c>
      <c r="E83" s="176">
        <f>'WYDATKI ukł.wyk.'!F75</f>
        <v>0</v>
      </c>
      <c r="F83" s="81">
        <f t="shared" si="2"/>
        <v>6000</v>
      </c>
    </row>
    <row r="84" spans="1:6" ht="12.75">
      <c r="A84" s="410"/>
      <c r="B84" s="50"/>
      <c r="C84" s="76"/>
      <c r="D84" s="177"/>
      <c r="E84" s="176"/>
      <c r="F84" s="68"/>
    </row>
    <row r="85" spans="1:6" ht="12.75">
      <c r="A85" s="410"/>
      <c r="B85" s="70" t="s">
        <v>13</v>
      </c>
      <c r="C85" s="78" t="s">
        <v>141</v>
      </c>
      <c r="D85" s="177">
        <f>D86+D89</f>
        <v>157256</v>
      </c>
      <c r="E85" s="176">
        <f>E86+E89</f>
        <v>0</v>
      </c>
      <c r="F85" s="67">
        <f t="shared" si="2"/>
        <v>157256</v>
      </c>
    </row>
    <row r="86" spans="1:6" ht="12.75">
      <c r="A86" s="410"/>
      <c r="B86" s="50"/>
      <c r="C86" s="415" t="s">
        <v>117</v>
      </c>
      <c r="D86" s="234">
        <f>D87+D88</f>
        <v>152756</v>
      </c>
      <c r="E86" s="480">
        <f>E87+E88</f>
        <v>0</v>
      </c>
      <c r="F86" s="68">
        <f t="shared" si="2"/>
        <v>152756</v>
      </c>
    </row>
    <row r="87" spans="1:6" ht="12.75">
      <c r="A87" s="420"/>
      <c r="B87" s="50"/>
      <c r="C87" s="76" t="s">
        <v>138</v>
      </c>
      <c r="D87" s="177">
        <f>SUM('WYDATKI ukł.wyk.'!E78:E82)</f>
        <v>132370</v>
      </c>
      <c r="E87" s="176">
        <f>SUM('WYDATKI ukł.wyk.'!F78:F82)</f>
        <v>-15</v>
      </c>
      <c r="F87" s="81">
        <f t="shared" si="2"/>
        <v>132355</v>
      </c>
    </row>
    <row r="88" spans="1:6" ht="12.75">
      <c r="A88" s="410"/>
      <c r="B88" s="50"/>
      <c r="C88" s="76" t="s">
        <v>118</v>
      </c>
      <c r="D88" s="177">
        <f>SUM('WYDATKI ukł.wyk.'!E83:E87)</f>
        <v>20386</v>
      </c>
      <c r="E88" s="176">
        <f>SUM('WYDATKI ukł.wyk.'!F83:F87)</f>
        <v>15</v>
      </c>
      <c r="F88" s="68">
        <f t="shared" si="2"/>
        <v>20401</v>
      </c>
    </row>
    <row r="89" spans="1:6" ht="12.75">
      <c r="A89" s="410"/>
      <c r="B89" s="50"/>
      <c r="C89" s="415" t="s">
        <v>127</v>
      </c>
      <c r="D89" s="235">
        <f>'WYDATKI ukł.wyk.'!E88</f>
        <v>4500</v>
      </c>
      <c r="E89" s="333">
        <f>'WYDATKI ukł.wyk.'!F88</f>
        <v>0</v>
      </c>
      <c r="F89" s="67">
        <f t="shared" si="2"/>
        <v>4500</v>
      </c>
    </row>
    <row r="90" spans="1:6" ht="12.75">
      <c r="A90" s="410"/>
      <c r="B90" s="50"/>
      <c r="C90" s="311"/>
      <c r="D90" s="177"/>
      <c r="E90" s="176"/>
      <c r="F90" s="68"/>
    </row>
    <row r="91" spans="1:6" ht="13.5" thickBot="1">
      <c r="A91" s="41" t="s">
        <v>142</v>
      </c>
      <c r="B91" s="64"/>
      <c r="C91" s="53" t="s">
        <v>143</v>
      </c>
      <c r="D91" s="307">
        <f>D92+D96</f>
        <v>4257533</v>
      </c>
      <c r="E91" s="265">
        <f>E92+E96</f>
        <v>33714</v>
      </c>
      <c r="F91" s="65">
        <f t="shared" si="2"/>
        <v>4291247</v>
      </c>
    </row>
    <row r="92" spans="1:6" ht="12.75">
      <c r="A92" s="45"/>
      <c r="B92" s="407"/>
      <c r="C92" s="415" t="s">
        <v>117</v>
      </c>
      <c r="D92" s="177">
        <f>SUM(D93:D95)</f>
        <v>3701739</v>
      </c>
      <c r="E92" s="176">
        <f>SUM(E93:E95)</f>
        <v>33714</v>
      </c>
      <c r="F92" s="68">
        <f t="shared" si="2"/>
        <v>3735453</v>
      </c>
    </row>
    <row r="93" spans="1:6" ht="12.75">
      <c r="A93" s="45"/>
      <c r="B93" s="407"/>
      <c r="C93" s="76" t="s">
        <v>125</v>
      </c>
      <c r="D93" s="238">
        <f>D100+D109+D115</f>
        <v>2442828</v>
      </c>
      <c r="E93" s="479">
        <f>E100+E109+E115</f>
        <v>-58748</v>
      </c>
      <c r="F93" s="81">
        <f t="shared" si="2"/>
        <v>2384080</v>
      </c>
    </row>
    <row r="94" spans="1:6" ht="12.75">
      <c r="A94" s="45"/>
      <c r="B94" s="407"/>
      <c r="C94" s="76" t="s">
        <v>126</v>
      </c>
      <c r="D94" s="177">
        <f>D120</f>
        <v>11959</v>
      </c>
      <c r="E94" s="176">
        <f>E120</f>
        <v>0</v>
      </c>
      <c r="F94" s="68">
        <f>E94+D94</f>
        <v>11959</v>
      </c>
    </row>
    <row r="95" spans="1:6" ht="12.75">
      <c r="A95" s="45"/>
      <c r="B95" s="407"/>
      <c r="C95" s="76" t="s">
        <v>118</v>
      </c>
      <c r="D95" s="177">
        <f>D101+D105+D110+D116+D121</f>
        <v>1246952</v>
      </c>
      <c r="E95" s="176">
        <f>E101+E105+E110+E116+E121</f>
        <v>92462</v>
      </c>
      <c r="F95" s="68">
        <f t="shared" si="2"/>
        <v>1339414</v>
      </c>
    </row>
    <row r="96" spans="1:6" ht="12.75">
      <c r="A96" s="45"/>
      <c r="B96" s="407"/>
      <c r="C96" s="415" t="s">
        <v>127</v>
      </c>
      <c r="D96" s="235">
        <f>D111</f>
        <v>555794</v>
      </c>
      <c r="E96" s="333">
        <f>E111</f>
        <v>0</v>
      </c>
      <c r="F96" s="67">
        <f t="shared" si="2"/>
        <v>555794</v>
      </c>
    </row>
    <row r="97" spans="1:6" ht="12.75">
      <c r="A97" s="45"/>
      <c r="B97" s="407"/>
      <c r="C97" s="79"/>
      <c r="D97" s="177"/>
      <c r="E97" s="176"/>
      <c r="F97" s="68"/>
    </row>
    <row r="98" spans="1:6" ht="12.75">
      <c r="A98" s="410"/>
      <c r="B98" s="70" t="s">
        <v>144</v>
      </c>
      <c r="C98" s="78" t="s">
        <v>145</v>
      </c>
      <c r="D98" s="235">
        <f>D99</f>
        <v>205761</v>
      </c>
      <c r="E98" s="333">
        <f>E99</f>
        <v>7075</v>
      </c>
      <c r="F98" s="68">
        <f t="shared" si="2"/>
        <v>212836</v>
      </c>
    </row>
    <row r="99" spans="1:6" ht="12.75">
      <c r="A99" s="410"/>
      <c r="B99" s="50"/>
      <c r="C99" s="415" t="s">
        <v>117</v>
      </c>
      <c r="D99" s="234">
        <f>SUM(D100:D101)</f>
        <v>205761</v>
      </c>
      <c r="E99" s="480">
        <f>SUM(E100:E101)</f>
        <v>7075</v>
      </c>
      <c r="F99" s="75">
        <f t="shared" si="2"/>
        <v>212836</v>
      </c>
    </row>
    <row r="100" spans="1:6" ht="12.75">
      <c r="A100" s="410"/>
      <c r="B100" s="50"/>
      <c r="C100" s="76" t="s">
        <v>125</v>
      </c>
      <c r="D100" s="177">
        <f>SUM('WYDATKI ukł.wyk.'!E93:E97)</f>
        <v>169435</v>
      </c>
      <c r="E100" s="176">
        <f>SUM('WYDATKI ukł.wyk.'!F93:F97)</f>
        <v>3337</v>
      </c>
      <c r="F100" s="68">
        <f t="shared" si="2"/>
        <v>172772</v>
      </c>
    </row>
    <row r="101" spans="1:6" ht="12.75">
      <c r="A101" s="410"/>
      <c r="B101" s="50"/>
      <c r="C101" s="311" t="s">
        <v>118</v>
      </c>
      <c r="D101" s="177">
        <f>SUM('WYDATKI ukł.wyk.'!E98:E104)+'WYDATKI ukł.wyk.'!E92</f>
        <v>36326</v>
      </c>
      <c r="E101" s="176">
        <f>SUM('WYDATKI ukł.wyk.'!F98:F104)+'WYDATKI ukł.wyk.'!F92</f>
        <v>3738</v>
      </c>
      <c r="F101" s="68">
        <f t="shared" si="2"/>
        <v>40064</v>
      </c>
    </row>
    <row r="102" spans="1:6" ht="12.75">
      <c r="A102" s="410"/>
      <c r="B102" s="50"/>
      <c r="C102" s="76"/>
      <c r="D102" s="177"/>
      <c r="E102" s="176"/>
      <c r="F102" s="68"/>
    </row>
    <row r="103" spans="1:6" ht="12.75">
      <c r="A103" s="410"/>
      <c r="B103" s="70" t="s">
        <v>146</v>
      </c>
      <c r="C103" s="78" t="s">
        <v>147</v>
      </c>
      <c r="D103" s="177">
        <f>D104</f>
        <v>239692</v>
      </c>
      <c r="E103" s="176">
        <f>E104</f>
        <v>1887</v>
      </c>
      <c r="F103" s="68">
        <f t="shared" si="2"/>
        <v>241579</v>
      </c>
    </row>
    <row r="104" spans="1:6" ht="12.75">
      <c r="A104" s="410"/>
      <c r="B104" s="50"/>
      <c r="C104" s="415" t="s">
        <v>117</v>
      </c>
      <c r="D104" s="234">
        <f>D105</f>
        <v>239692</v>
      </c>
      <c r="E104" s="480">
        <f>E105</f>
        <v>1887</v>
      </c>
      <c r="F104" s="75">
        <f t="shared" si="2"/>
        <v>241579</v>
      </c>
    </row>
    <row r="105" spans="1:6" ht="12.75">
      <c r="A105" s="410"/>
      <c r="B105" s="50"/>
      <c r="C105" s="76" t="s">
        <v>118</v>
      </c>
      <c r="D105" s="177">
        <f>SUM('WYDATKI ukł.wyk.'!E107:E111)</f>
        <v>239692</v>
      </c>
      <c r="E105" s="176">
        <f>SUM('WYDATKI ukł.wyk.'!F107:F111)</f>
        <v>1887</v>
      </c>
      <c r="F105" s="68">
        <f t="shared" si="2"/>
        <v>241579</v>
      </c>
    </row>
    <row r="106" spans="1:6" ht="12.75">
      <c r="A106" s="410"/>
      <c r="B106" s="50"/>
      <c r="C106" s="76"/>
      <c r="D106" s="177"/>
      <c r="E106" s="176"/>
      <c r="F106" s="68"/>
    </row>
    <row r="107" spans="1:6" ht="12.75">
      <c r="A107" s="410"/>
      <c r="B107" s="70" t="s">
        <v>148</v>
      </c>
      <c r="C107" s="78" t="s">
        <v>149</v>
      </c>
      <c r="D107" s="177">
        <f>D108+D111</f>
        <v>3780921</v>
      </c>
      <c r="E107" s="176">
        <f>E108+E111</f>
        <v>18726</v>
      </c>
      <c r="F107" s="68">
        <f t="shared" si="2"/>
        <v>3799647</v>
      </c>
    </row>
    <row r="108" spans="1:6" ht="12.75">
      <c r="A108" s="410"/>
      <c r="B108" s="50"/>
      <c r="C108" s="415" t="s">
        <v>117</v>
      </c>
      <c r="D108" s="234">
        <f>SUM(D109:D110)</f>
        <v>3225127</v>
      </c>
      <c r="E108" s="480">
        <f>SUM(E109:E110)</f>
        <v>18726</v>
      </c>
      <c r="F108" s="75">
        <f t="shared" si="2"/>
        <v>3243853</v>
      </c>
    </row>
    <row r="109" spans="1:6" ht="12.75">
      <c r="A109" s="410"/>
      <c r="B109" s="50"/>
      <c r="C109" s="76" t="s">
        <v>125</v>
      </c>
      <c r="D109" s="177">
        <f>SUM('WYDATKI ukł.wyk.'!E115:E119)</f>
        <v>2263744</v>
      </c>
      <c r="E109" s="176">
        <f>SUM('WYDATKI ukł.wyk.'!F115:F119)</f>
        <v>-62085</v>
      </c>
      <c r="F109" s="68">
        <f t="shared" si="2"/>
        <v>2201659</v>
      </c>
    </row>
    <row r="110" spans="1:6" ht="12.75">
      <c r="A110" s="410"/>
      <c r="B110" s="50"/>
      <c r="C110" s="76" t="s">
        <v>118</v>
      </c>
      <c r="D110" s="177">
        <f>SUM('WYDATKI ukł.wyk.'!E120:E130)+'WYDATKI ukł.wyk.'!E114</f>
        <v>961383</v>
      </c>
      <c r="E110" s="176">
        <f>SUM('WYDATKI ukł.wyk.'!F120:F130)+'WYDATKI ukł.wyk.'!F114</f>
        <v>80811</v>
      </c>
      <c r="F110" s="68">
        <f t="shared" si="2"/>
        <v>1042194</v>
      </c>
    </row>
    <row r="111" spans="1:6" ht="12.75">
      <c r="A111" s="410"/>
      <c r="B111" s="50"/>
      <c r="C111" s="415" t="s">
        <v>127</v>
      </c>
      <c r="D111" s="235">
        <f>SUM('WYDATKI ukł.wyk.'!E131:E132)</f>
        <v>555794</v>
      </c>
      <c r="E111" s="333">
        <f>SUM('WYDATKI ukł.wyk.'!F131:F132)</f>
        <v>0</v>
      </c>
      <c r="F111" s="68">
        <f t="shared" si="2"/>
        <v>555794</v>
      </c>
    </row>
    <row r="112" spans="1:6" ht="12.75">
      <c r="A112" s="410"/>
      <c r="B112" s="50"/>
      <c r="C112" s="76"/>
      <c r="D112" s="177"/>
      <c r="E112" s="176"/>
      <c r="F112" s="81"/>
    </row>
    <row r="113" spans="1:6" ht="12.75">
      <c r="A113" s="410"/>
      <c r="B113" s="70" t="s">
        <v>150</v>
      </c>
      <c r="C113" s="78" t="s">
        <v>151</v>
      </c>
      <c r="D113" s="177">
        <f>D114</f>
        <v>16000</v>
      </c>
      <c r="E113" s="176">
        <f>E114</f>
        <v>0</v>
      </c>
      <c r="F113" s="67">
        <f t="shared" si="2"/>
        <v>16000</v>
      </c>
    </row>
    <row r="114" spans="1:6" ht="12.75">
      <c r="A114" s="410"/>
      <c r="B114" s="50"/>
      <c r="C114" s="415" t="s">
        <v>117</v>
      </c>
      <c r="D114" s="234">
        <f>SUM(D115:D116)</f>
        <v>16000</v>
      </c>
      <c r="E114" s="480">
        <f>SUM(E115:E116)</f>
        <v>0</v>
      </c>
      <c r="F114" s="68">
        <f t="shared" si="2"/>
        <v>16000</v>
      </c>
    </row>
    <row r="115" spans="1:6" ht="12.75">
      <c r="A115" s="410"/>
      <c r="B115" s="50"/>
      <c r="C115" s="76" t="s">
        <v>125</v>
      </c>
      <c r="D115" s="177">
        <f>SUM('WYDATKI ukł.wyk.'!E136:E138)</f>
        <v>9649</v>
      </c>
      <c r="E115" s="176">
        <f>SUM('WYDATKI ukł.wyk.'!F136:F138)</f>
        <v>0</v>
      </c>
      <c r="F115" s="81">
        <f t="shared" si="2"/>
        <v>9649</v>
      </c>
    </row>
    <row r="116" spans="1:6" ht="12.75">
      <c r="A116" s="410"/>
      <c r="B116" s="50"/>
      <c r="C116" s="76" t="s">
        <v>118</v>
      </c>
      <c r="D116" s="177">
        <f>SUM('WYDATKI ukł.wyk.'!E139:E141)+'WYDATKI ukł.wyk.'!E135</f>
        <v>6351</v>
      </c>
      <c r="E116" s="176">
        <f>SUM('WYDATKI ukł.wyk.'!F139:F141)+'WYDATKI ukł.wyk.'!F135</f>
        <v>0</v>
      </c>
      <c r="F116" s="68">
        <f t="shared" si="2"/>
        <v>6351</v>
      </c>
    </row>
    <row r="117" spans="1:6" ht="12.75">
      <c r="A117" s="410"/>
      <c r="B117" s="50"/>
      <c r="C117" s="76"/>
      <c r="D117" s="177"/>
      <c r="E117" s="176"/>
      <c r="F117" s="68"/>
    </row>
    <row r="118" spans="1:6" ht="12.75">
      <c r="A118" s="410"/>
      <c r="B118" s="70" t="s">
        <v>152</v>
      </c>
      <c r="C118" s="80" t="s">
        <v>153</v>
      </c>
      <c r="D118" s="177">
        <f>D119</f>
        <v>15159</v>
      </c>
      <c r="E118" s="176">
        <f>E119</f>
        <v>6026</v>
      </c>
      <c r="F118" s="67">
        <f t="shared" si="2"/>
        <v>21185</v>
      </c>
    </row>
    <row r="119" spans="1:6" ht="12.75">
      <c r="A119" s="410"/>
      <c r="B119" s="50"/>
      <c r="C119" s="415" t="s">
        <v>117</v>
      </c>
      <c r="D119" s="234">
        <f>SUM(D120:D121)</f>
        <v>15159</v>
      </c>
      <c r="E119" s="480">
        <f>SUM(E120:E121)</f>
        <v>6026</v>
      </c>
      <c r="F119" s="68">
        <f t="shared" si="2"/>
        <v>21185</v>
      </c>
    </row>
    <row r="120" spans="1:6" ht="12.75">
      <c r="A120" s="410"/>
      <c r="B120" s="50"/>
      <c r="C120" s="311" t="s">
        <v>126</v>
      </c>
      <c r="D120" s="177">
        <f>'WYDATKI ukł.wyk.'!E145+'WYDATKI ukł.wyk.'!E147</f>
        <v>11959</v>
      </c>
      <c r="E120" s="177">
        <f>'WYDATKI ukł.wyk.'!F145+'WYDATKI ukł.wyk.'!F147</f>
        <v>0</v>
      </c>
      <c r="F120" s="81">
        <f>E120+D120</f>
        <v>11959</v>
      </c>
    </row>
    <row r="121" spans="1:6" ht="12.75">
      <c r="A121" s="410"/>
      <c r="B121" s="50"/>
      <c r="C121" s="311" t="s">
        <v>118</v>
      </c>
      <c r="D121" s="177">
        <f>'WYDATKI ukł.wyk.'!E148</f>
        <v>3200</v>
      </c>
      <c r="E121" s="177">
        <f>'WYDATKI ukł.wyk.'!F148</f>
        <v>6026</v>
      </c>
      <c r="F121" s="68">
        <f t="shared" si="2"/>
        <v>9226</v>
      </c>
    </row>
    <row r="122" spans="1:6" ht="12.75">
      <c r="A122" s="410"/>
      <c r="B122" s="50"/>
      <c r="C122" s="311"/>
      <c r="D122" s="177"/>
      <c r="E122" s="177"/>
      <c r="F122" s="68"/>
    </row>
    <row r="123" spans="1:6" ht="13.5" thickBot="1">
      <c r="A123" s="405" t="s">
        <v>768</v>
      </c>
      <c r="B123" s="64"/>
      <c r="C123" s="422" t="s">
        <v>770</v>
      </c>
      <c r="D123" s="307">
        <f>D124</f>
        <v>0</v>
      </c>
      <c r="E123" s="307">
        <f>E124</f>
        <v>697</v>
      </c>
      <c r="F123" s="65">
        <f>E123+D123</f>
        <v>697</v>
      </c>
    </row>
    <row r="124" spans="1:6" ht="12.75">
      <c r="A124" s="410"/>
      <c r="B124" s="50"/>
      <c r="C124" s="415" t="s">
        <v>117</v>
      </c>
      <c r="D124" s="472">
        <f>D125</f>
        <v>0</v>
      </c>
      <c r="E124" s="472">
        <f>E125</f>
        <v>697</v>
      </c>
      <c r="F124" s="490">
        <f>E124+D124</f>
        <v>697</v>
      </c>
    </row>
    <row r="125" spans="1:6" ht="12.75">
      <c r="A125" s="410"/>
      <c r="B125" s="50"/>
      <c r="C125" s="311" t="s">
        <v>118</v>
      </c>
      <c r="D125" s="177">
        <f>D129</f>
        <v>0</v>
      </c>
      <c r="E125" s="177">
        <f>E129</f>
        <v>697</v>
      </c>
      <c r="F125" s="68">
        <f>E125+D125</f>
        <v>697</v>
      </c>
    </row>
    <row r="126" spans="1:6" ht="12.75">
      <c r="A126" s="410"/>
      <c r="B126" s="50"/>
      <c r="C126" s="311"/>
      <c r="D126" s="177"/>
      <c r="E126" s="177"/>
      <c r="F126" s="68"/>
    </row>
    <row r="127" spans="1:6" ht="12.75">
      <c r="A127" s="410"/>
      <c r="B127" s="70" t="s">
        <v>769</v>
      </c>
      <c r="C127" s="71" t="s">
        <v>767</v>
      </c>
      <c r="D127" s="235">
        <f>D128</f>
        <v>0</v>
      </c>
      <c r="E127" s="235">
        <f>E128</f>
        <v>697</v>
      </c>
      <c r="F127" s="67">
        <f>E127+D127</f>
        <v>697</v>
      </c>
    </row>
    <row r="128" spans="1:6" ht="12.75">
      <c r="A128" s="410"/>
      <c r="B128" s="50"/>
      <c r="C128" s="415" t="s">
        <v>117</v>
      </c>
      <c r="D128" s="234">
        <f>D129</f>
        <v>0</v>
      </c>
      <c r="E128" s="234">
        <f>E129</f>
        <v>697</v>
      </c>
      <c r="F128" s="75">
        <f>E128+D128</f>
        <v>697</v>
      </c>
    </row>
    <row r="129" spans="1:6" ht="12.75">
      <c r="A129" s="410"/>
      <c r="B129" s="50"/>
      <c r="C129" s="311" t="s">
        <v>118</v>
      </c>
      <c r="D129" s="177">
        <f>SUM('WYDATKI ukł.wyk.'!E152:E153)</f>
        <v>0</v>
      </c>
      <c r="E129" s="177">
        <f>SUM('WYDATKI ukł.wyk.'!F152:F153)</f>
        <v>697</v>
      </c>
      <c r="F129" s="68">
        <f>E129+D129</f>
        <v>697</v>
      </c>
    </row>
    <row r="130" spans="1:6" ht="12.75">
      <c r="A130" s="45"/>
      <c r="B130" s="407"/>
      <c r="C130" s="421"/>
      <c r="D130" s="471"/>
      <c r="E130" s="357"/>
      <c r="F130" s="68"/>
    </row>
    <row r="131" spans="1:6" ht="13.5" thickBot="1">
      <c r="A131" s="405" t="s">
        <v>154</v>
      </c>
      <c r="B131" s="64"/>
      <c r="C131" s="422" t="s">
        <v>155</v>
      </c>
      <c r="D131" s="307">
        <f>D132+D134</f>
        <v>23300</v>
      </c>
      <c r="E131" s="265">
        <f>E132+E134</f>
        <v>0</v>
      </c>
      <c r="F131" s="65">
        <f t="shared" si="2"/>
        <v>23300</v>
      </c>
    </row>
    <row r="132" spans="1:6" ht="12.75">
      <c r="A132" s="410"/>
      <c r="B132" s="50"/>
      <c r="C132" s="415" t="s">
        <v>117</v>
      </c>
      <c r="D132" s="177">
        <f>D133</f>
        <v>300</v>
      </c>
      <c r="E132" s="176">
        <f>E133</f>
        <v>0</v>
      </c>
      <c r="F132" s="67">
        <f t="shared" si="2"/>
        <v>300</v>
      </c>
    </row>
    <row r="133" spans="1:6" ht="12.75">
      <c r="A133" s="410"/>
      <c r="B133" s="50"/>
      <c r="C133" s="311" t="s">
        <v>118</v>
      </c>
      <c r="D133" s="238">
        <f>D141</f>
        <v>300</v>
      </c>
      <c r="E133" s="479">
        <f>E141</f>
        <v>0</v>
      </c>
      <c r="F133" s="68">
        <f t="shared" si="2"/>
        <v>300</v>
      </c>
    </row>
    <row r="134" spans="1:6" ht="12.75">
      <c r="A134" s="410"/>
      <c r="B134" s="50"/>
      <c r="C134" s="415" t="s">
        <v>127</v>
      </c>
      <c r="D134" s="235">
        <f>D137</f>
        <v>23000</v>
      </c>
      <c r="E134" s="333">
        <f>E137</f>
        <v>0</v>
      </c>
      <c r="F134" s="68">
        <f t="shared" si="2"/>
        <v>23000</v>
      </c>
    </row>
    <row r="135" spans="1:6" ht="12.75">
      <c r="A135" s="410"/>
      <c r="B135" s="50"/>
      <c r="C135" s="311"/>
      <c r="D135" s="177"/>
      <c r="E135" s="176"/>
      <c r="F135" s="81"/>
    </row>
    <row r="136" spans="1:6" ht="12.75">
      <c r="A136" s="410"/>
      <c r="B136" s="70" t="s">
        <v>552</v>
      </c>
      <c r="C136" s="415" t="s">
        <v>553</v>
      </c>
      <c r="D136" s="235">
        <f>D137</f>
        <v>23000</v>
      </c>
      <c r="E136" s="333">
        <f>E137</f>
        <v>0</v>
      </c>
      <c r="F136" s="67">
        <f t="shared" si="2"/>
        <v>23000</v>
      </c>
    </row>
    <row r="137" spans="1:6" ht="12.75">
      <c r="A137" s="410"/>
      <c r="B137" s="50"/>
      <c r="C137" s="415" t="s">
        <v>127</v>
      </c>
      <c r="D137" s="235">
        <f>'WYDATKI ukł.wyk.'!E157</f>
        <v>23000</v>
      </c>
      <c r="E137" s="333">
        <f>'WYDATKI ukł.wyk.'!F157</f>
        <v>0</v>
      </c>
      <c r="F137" s="67">
        <f t="shared" si="2"/>
        <v>23000</v>
      </c>
    </row>
    <row r="138" spans="1:6" ht="12.75">
      <c r="A138" s="410"/>
      <c r="B138" s="50"/>
      <c r="C138" s="311"/>
      <c r="D138" s="177"/>
      <c r="E138" s="176"/>
      <c r="F138" s="68"/>
    </row>
    <row r="139" spans="1:6" ht="12.75">
      <c r="A139" s="410"/>
      <c r="B139" s="70" t="s">
        <v>156</v>
      </c>
      <c r="C139" s="415" t="s">
        <v>157</v>
      </c>
      <c r="D139" s="235">
        <f>D140</f>
        <v>300</v>
      </c>
      <c r="E139" s="333">
        <f>E140</f>
        <v>0</v>
      </c>
      <c r="F139" s="68">
        <f t="shared" si="2"/>
        <v>300</v>
      </c>
    </row>
    <row r="140" spans="1:6" ht="12.75">
      <c r="A140" s="410"/>
      <c r="B140" s="50"/>
      <c r="C140" s="415" t="s">
        <v>117</v>
      </c>
      <c r="D140" s="234">
        <f>D141</f>
        <v>300</v>
      </c>
      <c r="E140" s="480">
        <f>E141</f>
        <v>0</v>
      </c>
      <c r="F140" s="75">
        <f t="shared" si="2"/>
        <v>300</v>
      </c>
    </row>
    <row r="141" spans="1:6" ht="12.75">
      <c r="A141" s="410"/>
      <c r="B141" s="50"/>
      <c r="C141" s="311" t="s">
        <v>118</v>
      </c>
      <c r="D141" s="177">
        <f>'WYDATKI ukł.wyk.'!E160</f>
        <v>300</v>
      </c>
      <c r="E141" s="176">
        <f>'WYDATKI ukł.wyk.'!F160</f>
        <v>0</v>
      </c>
      <c r="F141" s="68">
        <f t="shared" si="2"/>
        <v>300</v>
      </c>
    </row>
    <row r="142" spans="1:6" ht="12.75">
      <c r="A142" s="410"/>
      <c r="B142" s="50"/>
      <c r="C142" s="311"/>
      <c r="D142" s="471"/>
      <c r="E142" s="357"/>
      <c r="F142" s="68"/>
    </row>
    <row r="143" spans="1:6" ht="13.5" thickBot="1">
      <c r="A143" s="41" t="s">
        <v>158</v>
      </c>
      <c r="B143" s="64"/>
      <c r="C143" s="53" t="s">
        <v>159</v>
      </c>
      <c r="D143" s="307">
        <f>D144</f>
        <v>821049</v>
      </c>
      <c r="E143" s="265">
        <f>E144</f>
        <v>0</v>
      </c>
      <c r="F143" s="65">
        <f t="shared" si="2"/>
        <v>821049</v>
      </c>
    </row>
    <row r="144" spans="1:6" ht="12.75">
      <c r="A144" s="416"/>
      <c r="B144" s="50"/>
      <c r="C144" s="415" t="s">
        <v>117</v>
      </c>
      <c r="D144" s="177">
        <f>D145</f>
        <v>821049</v>
      </c>
      <c r="E144" s="176">
        <f>E145</f>
        <v>0</v>
      </c>
      <c r="F144" s="68">
        <f t="shared" si="2"/>
        <v>821049</v>
      </c>
    </row>
    <row r="145" spans="1:6" ht="12.75">
      <c r="A145" s="416"/>
      <c r="B145" s="50"/>
      <c r="C145" s="423" t="s">
        <v>160</v>
      </c>
      <c r="D145" s="238">
        <f>D150+D155</f>
        <v>821049</v>
      </c>
      <c r="E145" s="479">
        <f>E150+E155</f>
        <v>0</v>
      </c>
      <c r="F145" s="81">
        <f t="shared" si="2"/>
        <v>821049</v>
      </c>
    </row>
    <row r="146" spans="1:6" ht="12.75">
      <c r="A146" s="416"/>
      <c r="B146" s="50"/>
      <c r="C146" s="423"/>
      <c r="D146" s="177"/>
      <c r="E146" s="176"/>
      <c r="F146" s="68"/>
    </row>
    <row r="147" spans="1:6" ht="12.75">
      <c r="A147" s="416"/>
      <c r="B147" s="50" t="s">
        <v>161</v>
      </c>
      <c r="C147" s="423" t="s">
        <v>162</v>
      </c>
      <c r="D147" s="177"/>
      <c r="E147" s="176"/>
      <c r="F147" s="68"/>
    </row>
    <row r="148" spans="1:6" ht="12.75">
      <c r="A148" s="416"/>
      <c r="B148" s="70"/>
      <c r="C148" s="78" t="s">
        <v>163</v>
      </c>
      <c r="D148" s="235">
        <f>D149</f>
        <v>821049</v>
      </c>
      <c r="E148" s="333">
        <f>E149</f>
        <v>0</v>
      </c>
      <c r="F148" s="68">
        <f t="shared" si="2"/>
        <v>821049</v>
      </c>
    </row>
    <row r="149" spans="1:6" ht="12.75">
      <c r="A149" s="416"/>
      <c r="B149" s="50"/>
      <c r="C149" s="415" t="s">
        <v>117</v>
      </c>
      <c r="D149" s="234">
        <f>D150</f>
        <v>821049</v>
      </c>
      <c r="E149" s="480">
        <f>E150</f>
        <v>0</v>
      </c>
      <c r="F149" s="75">
        <f t="shared" si="2"/>
        <v>821049</v>
      </c>
    </row>
    <row r="150" spans="1:6" ht="12.75">
      <c r="A150" s="416"/>
      <c r="B150" s="50"/>
      <c r="C150" s="423" t="s">
        <v>164</v>
      </c>
      <c r="D150" s="177">
        <f>'WYDATKI ukł.wyk.'!E165</f>
        <v>821049</v>
      </c>
      <c r="E150" s="177">
        <f>'WYDATKI ukł.wyk.'!F165</f>
        <v>0</v>
      </c>
      <c r="F150" s="68">
        <f t="shared" si="2"/>
        <v>821049</v>
      </c>
    </row>
    <row r="151" spans="1:6" ht="12.75">
      <c r="A151" s="424"/>
      <c r="B151" s="50"/>
      <c r="C151" s="423"/>
      <c r="D151" s="177"/>
      <c r="E151" s="176"/>
      <c r="F151" s="68"/>
    </row>
    <row r="152" spans="1:6" ht="12.75">
      <c r="A152" s="424"/>
      <c r="B152" s="50" t="s">
        <v>665</v>
      </c>
      <c r="C152" s="76" t="s">
        <v>663</v>
      </c>
      <c r="D152" s="177"/>
      <c r="E152" s="176"/>
      <c r="F152" s="68"/>
    </row>
    <row r="153" spans="1:6" ht="12.75">
      <c r="A153" s="424"/>
      <c r="B153" s="70"/>
      <c r="C153" s="80" t="s">
        <v>666</v>
      </c>
      <c r="D153" s="235">
        <f>D154</f>
        <v>0</v>
      </c>
      <c r="E153" s="333">
        <f>E154</f>
        <v>0</v>
      </c>
      <c r="F153" s="67">
        <f>E153+D153</f>
        <v>0</v>
      </c>
    </row>
    <row r="154" spans="1:6" ht="12.75">
      <c r="A154" s="424"/>
      <c r="B154" s="50"/>
      <c r="C154" s="415" t="s">
        <v>117</v>
      </c>
      <c r="D154" s="234">
        <f>D155</f>
        <v>0</v>
      </c>
      <c r="E154" s="480">
        <f>E155</f>
        <v>0</v>
      </c>
      <c r="F154" s="75">
        <f>E154+D154</f>
        <v>0</v>
      </c>
    </row>
    <row r="155" spans="1:6" ht="12.75">
      <c r="A155" s="424"/>
      <c r="B155" s="50"/>
      <c r="C155" s="423" t="s">
        <v>164</v>
      </c>
      <c r="D155" s="177">
        <f>'WYDATKI ukł.wyk.'!E169</f>
        <v>0</v>
      </c>
      <c r="E155" s="177">
        <f>'WYDATKI ukł.wyk.'!F169</f>
        <v>0</v>
      </c>
      <c r="F155" s="68">
        <f>E155+D155</f>
        <v>0</v>
      </c>
    </row>
    <row r="156" spans="1:6" ht="12.75">
      <c r="A156" s="424"/>
      <c r="B156" s="50"/>
      <c r="C156" s="440"/>
      <c r="D156" s="471"/>
      <c r="E156" s="357"/>
      <c r="F156" s="68"/>
    </row>
    <row r="157" spans="1:6" ht="13.5" thickBot="1">
      <c r="A157" s="41" t="s">
        <v>165</v>
      </c>
      <c r="B157" s="64"/>
      <c r="C157" s="53" t="s">
        <v>166</v>
      </c>
      <c r="D157" s="307">
        <f>D158</f>
        <v>0</v>
      </c>
      <c r="E157" s="265">
        <f>E158</f>
        <v>0</v>
      </c>
      <c r="F157" s="65">
        <f t="shared" si="2"/>
        <v>0</v>
      </c>
    </row>
    <row r="158" spans="1:6" ht="12.75">
      <c r="A158" s="416"/>
      <c r="B158" s="50"/>
      <c r="C158" s="415" t="s">
        <v>117</v>
      </c>
      <c r="D158" s="177">
        <f>D162</f>
        <v>0</v>
      </c>
      <c r="E158" s="176">
        <f>E162</f>
        <v>0</v>
      </c>
      <c r="F158" s="68">
        <f t="shared" si="2"/>
        <v>0</v>
      </c>
    </row>
    <row r="159" spans="1:6" ht="12.75">
      <c r="A159" s="416"/>
      <c r="B159" s="50"/>
      <c r="C159" s="311" t="s">
        <v>118</v>
      </c>
      <c r="D159" s="238">
        <f>D163</f>
        <v>0</v>
      </c>
      <c r="E159" s="479">
        <f>E163</f>
        <v>0</v>
      </c>
      <c r="F159" s="81">
        <f t="shared" si="2"/>
        <v>0</v>
      </c>
    </row>
    <row r="160" spans="1:6" ht="12.75">
      <c r="A160" s="416"/>
      <c r="B160" s="50"/>
      <c r="C160" s="311"/>
      <c r="D160" s="177"/>
      <c r="E160" s="176"/>
      <c r="F160" s="68"/>
    </row>
    <row r="161" spans="1:6" ht="12.75">
      <c r="A161" s="416"/>
      <c r="B161" s="70" t="s">
        <v>167</v>
      </c>
      <c r="C161" s="78" t="s">
        <v>168</v>
      </c>
      <c r="D161" s="235">
        <f>D162</f>
        <v>0</v>
      </c>
      <c r="E161" s="333">
        <f>E162</f>
        <v>0</v>
      </c>
      <c r="F161" s="68">
        <f aca="true" t="shared" si="3" ref="F161:F237">E161+D161</f>
        <v>0</v>
      </c>
    </row>
    <row r="162" spans="1:6" ht="12.75">
      <c r="A162" s="416"/>
      <c r="B162" s="50"/>
      <c r="C162" s="353" t="s">
        <v>117</v>
      </c>
      <c r="D162" s="234">
        <f>D163</f>
        <v>0</v>
      </c>
      <c r="E162" s="480">
        <f>E163</f>
        <v>0</v>
      </c>
      <c r="F162" s="75">
        <f t="shared" si="3"/>
        <v>0</v>
      </c>
    </row>
    <row r="163" spans="1:6" ht="12.75">
      <c r="A163" s="416"/>
      <c r="B163" s="4"/>
      <c r="C163" s="311" t="s">
        <v>118</v>
      </c>
      <c r="D163" s="177">
        <f>'WYDATKI ukł.wyk.'!E173</f>
        <v>0</v>
      </c>
      <c r="E163" s="176">
        <f>'WYDATKI ukł.wyk.'!F173</f>
        <v>0</v>
      </c>
      <c r="F163" s="68">
        <f t="shared" si="3"/>
        <v>0</v>
      </c>
    </row>
    <row r="164" spans="1:6" ht="12.75">
      <c r="A164" s="195"/>
      <c r="B164" s="3"/>
      <c r="C164" s="3"/>
      <c r="D164" s="177"/>
      <c r="E164" s="176"/>
      <c r="F164" s="68"/>
    </row>
    <row r="165" spans="1:6" ht="13.5" thickBot="1">
      <c r="A165" s="46">
        <v>801</v>
      </c>
      <c r="B165" s="42"/>
      <c r="C165" s="425" t="s">
        <v>169</v>
      </c>
      <c r="D165" s="307">
        <f>D166+D170</f>
        <v>8245487</v>
      </c>
      <c r="E165" s="265">
        <f>E166+E170</f>
        <v>130173</v>
      </c>
      <c r="F165" s="65">
        <f t="shared" si="3"/>
        <v>8375660</v>
      </c>
    </row>
    <row r="166" spans="1:6" ht="12.75">
      <c r="A166" s="43"/>
      <c r="B166" s="44"/>
      <c r="C166" s="415" t="s">
        <v>117</v>
      </c>
      <c r="D166" s="472">
        <f>D173+D178+D183+D189+D194+D200+D204</f>
        <v>6691305</v>
      </c>
      <c r="E166" s="481">
        <f>E173+E178+E183+E189+E194+E200+E204</f>
        <v>130173</v>
      </c>
      <c r="F166" s="68">
        <f t="shared" si="3"/>
        <v>6821478</v>
      </c>
    </row>
    <row r="167" spans="1:6" ht="12.75">
      <c r="A167" s="43"/>
      <c r="B167" s="44"/>
      <c r="C167" s="311" t="s">
        <v>125</v>
      </c>
      <c r="D167" s="473">
        <f>D174+D179+D184+D190+D195+D205</f>
        <v>5251228</v>
      </c>
      <c r="E167" s="473">
        <f>E174+E179+E184+E190+E195+E205</f>
        <v>-17780</v>
      </c>
      <c r="F167" s="81">
        <f t="shared" si="3"/>
        <v>5233448</v>
      </c>
    </row>
    <row r="168" spans="1:6" ht="12.75">
      <c r="A168" s="43"/>
      <c r="B168" s="44"/>
      <c r="C168" s="311" t="s">
        <v>126</v>
      </c>
      <c r="D168" s="473">
        <f>D206</f>
        <v>0</v>
      </c>
      <c r="E168" s="482">
        <f>E206</f>
        <v>0</v>
      </c>
      <c r="F168" s="68">
        <f t="shared" si="3"/>
        <v>0</v>
      </c>
    </row>
    <row r="169" spans="1:6" ht="12.75">
      <c r="A169" s="43"/>
      <c r="B169" s="44"/>
      <c r="C169" s="311" t="s">
        <v>118</v>
      </c>
      <c r="D169" s="473">
        <f>D175+D180+D185+D191+D196+D207+D201</f>
        <v>1440077</v>
      </c>
      <c r="E169" s="482">
        <f>E175+E180+E185+E191+E196+E207+E201</f>
        <v>147953</v>
      </c>
      <c r="F169" s="68">
        <f t="shared" si="3"/>
        <v>1588030</v>
      </c>
    </row>
    <row r="170" spans="1:6" ht="12.75">
      <c r="A170" s="43"/>
      <c r="B170" s="44"/>
      <c r="C170" s="415" t="s">
        <v>127</v>
      </c>
      <c r="D170" s="235">
        <f>D186+D197</f>
        <v>1554182</v>
      </c>
      <c r="E170" s="333">
        <f>E186+E197</f>
        <v>0</v>
      </c>
      <c r="F170" s="67">
        <f t="shared" si="3"/>
        <v>1554182</v>
      </c>
    </row>
    <row r="171" spans="1:6" ht="12.75">
      <c r="A171" s="43"/>
      <c r="B171" s="44"/>
      <c r="C171" s="426"/>
      <c r="D171" s="177"/>
      <c r="E171" s="176"/>
      <c r="F171" s="68"/>
    </row>
    <row r="172" spans="1:6" ht="12.75">
      <c r="A172" s="24"/>
      <c r="B172" s="83">
        <v>80101</v>
      </c>
      <c r="C172" s="78" t="s">
        <v>170</v>
      </c>
      <c r="D172" s="235">
        <f>D173</f>
        <v>74249</v>
      </c>
      <c r="E172" s="333">
        <f>E173</f>
        <v>0</v>
      </c>
      <c r="F172" s="68">
        <f t="shared" si="3"/>
        <v>74249</v>
      </c>
    </row>
    <row r="173" spans="1:6" ht="12.75">
      <c r="A173" s="24"/>
      <c r="B173" s="39"/>
      <c r="C173" s="80" t="s">
        <v>117</v>
      </c>
      <c r="D173" s="234">
        <f>SUM(D174:D175)</f>
        <v>74249</v>
      </c>
      <c r="E173" s="480">
        <f>SUM(E174:E175)</f>
        <v>0</v>
      </c>
      <c r="F173" s="75">
        <f t="shared" si="3"/>
        <v>74249</v>
      </c>
    </row>
    <row r="174" spans="1:6" ht="12.75">
      <c r="A174" s="24"/>
      <c r="B174" s="39"/>
      <c r="C174" s="76" t="s">
        <v>125</v>
      </c>
      <c r="D174" s="177">
        <f>SUM('WYDATKI ukł.wyk.'!E178:E181)</f>
        <v>62055</v>
      </c>
      <c r="E174" s="176">
        <f>SUM('WYDATKI ukł.wyk.'!F178:F181)</f>
        <v>0</v>
      </c>
      <c r="F174" s="68">
        <f t="shared" si="3"/>
        <v>62055</v>
      </c>
    </row>
    <row r="175" spans="1:6" ht="12.75">
      <c r="A175" s="24"/>
      <c r="B175" s="39"/>
      <c r="C175" s="76" t="s">
        <v>118</v>
      </c>
      <c r="D175" s="177">
        <f>SUM('WYDATKI ukł.wyk.'!E182:E188)+'WYDATKI ukł.wyk.'!E177</f>
        <v>12194</v>
      </c>
      <c r="E175" s="176">
        <f>SUM('WYDATKI ukł.wyk.'!F182:F188)+'WYDATKI ukł.wyk.'!F177</f>
        <v>0</v>
      </c>
      <c r="F175" s="68">
        <f t="shared" si="3"/>
        <v>12194</v>
      </c>
    </row>
    <row r="176" spans="1:6" ht="12.75">
      <c r="A176" s="24"/>
      <c r="B176" s="39"/>
      <c r="C176" s="9"/>
      <c r="D176" s="177"/>
      <c r="E176" s="176"/>
      <c r="F176" s="68"/>
    </row>
    <row r="177" spans="1:6" ht="12.75">
      <c r="A177" s="24"/>
      <c r="B177" s="83">
        <v>80110</v>
      </c>
      <c r="C177" s="78" t="s">
        <v>171</v>
      </c>
      <c r="D177" s="177">
        <f>D178</f>
        <v>296415</v>
      </c>
      <c r="E177" s="176">
        <f>E178</f>
        <v>3550</v>
      </c>
      <c r="F177" s="68">
        <f t="shared" si="3"/>
        <v>299965</v>
      </c>
    </row>
    <row r="178" spans="1:6" ht="12.75">
      <c r="A178" s="24"/>
      <c r="B178" s="39"/>
      <c r="C178" s="80" t="s">
        <v>117</v>
      </c>
      <c r="D178" s="234">
        <f>SUM(D179:D180)</f>
        <v>296415</v>
      </c>
      <c r="E178" s="480">
        <f>SUM(E179:E180)</f>
        <v>3550</v>
      </c>
      <c r="F178" s="75">
        <f t="shared" si="3"/>
        <v>299965</v>
      </c>
    </row>
    <row r="179" spans="1:6" ht="12.75">
      <c r="A179" s="24"/>
      <c r="B179" s="39"/>
      <c r="C179" s="76" t="s">
        <v>125</v>
      </c>
      <c r="D179" s="177">
        <f>SUM('WYDATKI ukł.wyk.'!E192:E195)</f>
        <v>255763</v>
      </c>
      <c r="E179" s="176">
        <f>SUM('WYDATKI ukł.wyk.'!F192:F195)</f>
        <v>3550</v>
      </c>
      <c r="F179" s="68">
        <f t="shared" si="3"/>
        <v>259313</v>
      </c>
    </row>
    <row r="180" spans="1:6" ht="12.75">
      <c r="A180" s="24"/>
      <c r="B180" s="39"/>
      <c r="C180" s="76" t="s">
        <v>118</v>
      </c>
      <c r="D180" s="177">
        <f>SUM('WYDATKI ukł.wyk.'!E196:E202)+'WYDATKI ukł.wyk.'!E191</f>
        <v>40652</v>
      </c>
      <c r="E180" s="176">
        <f>SUM('WYDATKI ukł.wyk.'!F196:F202)+'WYDATKI ukł.wyk.'!F191</f>
        <v>0</v>
      </c>
      <c r="F180" s="68">
        <f t="shared" si="3"/>
        <v>40652</v>
      </c>
    </row>
    <row r="181" spans="1:6" ht="12.75">
      <c r="A181" s="24"/>
      <c r="B181" s="10"/>
      <c r="C181" s="9"/>
      <c r="D181" s="177"/>
      <c r="E181" s="176"/>
      <c r="F181" s="68"/>
    </row>
    <row r="182" spans="1:6" ht="12.75">
      <c r="A182" s="23"/>
      <c r="B182" s="83">
        <v>80120</v>
      </c>
      <c r="C182" s="78" t="s">
        <v>172</v>
      </c>
      <c r="D182" s="177">
        <f>D183+D186</f>
        <v>3346896</v>
      </c>
      <c r="E182" s="176">
        <f>E183+E186</f>
        <v>54482</v>
      </c>
      <c r="F182" s="68">
        <f t="shared" si="3"/>
        <v>3401378</v>
      </c>
    </row>
    <row r="183" spans="1:6" ht="12.75">
      <c r="A183" s="23"/>
      <c r="B183" s="39"/>
      <c r="C183" s="80" t="s">
        <v>117</v>
      </c>
      <c r="D183" s="234">
        <f>SUM(D184:D185)</f>
        <v>1931896</v>
      </c>
      <c r="E183" s="480">
        <f>SUM(E184:E185)</f>
        <v>54482</v>
      </c>
      <c r="F183" s="75">
        <f t="shared" si="3"/>
        <v>1986378</v>
      </c>
    </row>
    <row r="184" spans="1:6" ht="12.75">
      <c r="A184" s="23"/>
      <c r="B184" s="39"/>
      <c r="C184" s="76" t="s">
        <v>125</v>
      </c>
      <c r="D184" s="177">
        <f>SUM('WYDATKI ukł.wyk.'!E206:E210)</f>
        <v>1671633</v>
      </c>
      <c r="E184" s="176">
        <f>SUM('WYDATKI ukł.wyk.'!F206:F210)</f>
        <v>1857</v>
      </c>
      <c r="F184" s="81">
        <f t="shared" si="3"/>
        <v>1673490</v>
      </c>
    </row>
    <row r="185" spans="1:6" ht="12.75">
      <c r="A185" s="23"/>
      <c r="B185" s="39"/>
      <c r="C185" s="76" t="s">
        <v>118</v>
      </c>
      <c r="D185" s="177">
        <f>SUM('WYDATKI ukł.wyk.'!E211:E219)+'WYDATKI ukł.wyk.'!E205</f>
        <v>260263</v>
      </c>
      <c r="E185" s="176">
        <f>SUM('WYDATKI ukł.wyk.'!F211:F219)+'WYDATKI ukł.wyk.'!F205</f>
        <v>52625</v>
      </c>
      <c r="F185" s="68">
        <f t="shared" si="3"/>
        <v>312888</v>
      </c>
    </row>
    <row r="186" spans="1:6" ht="12.75">
      <c r="A186" s="23"/>
      <c r="B186" s="39"/>
      <c r="C186" s="415" t="s">
        <v>127</v>
      </c>
      <c r="D186" s="235">
        <f>SUM('WYDATKI ukł.wyk.'!E220:E220)</f>
        <v>1415000</v>
      </c>
      <c r="E186" s="333">
        <f>SUM('WYDATKI ukł.wyk.'!F220:F220)</f>
        <v>0</v>
      </c>
      <c r="F186" s="67">
        <f t="shared" si="3"/>
        <v>1415000</v>
      </c>
    </row>
    <row r="187" spans="1:6" ht="12.75">
      <c r="A187" s="23"/>
      <c r="B187" s="39"/>
      <c r="C187" s="76"/>
      <c r="D187" s="177"/>
      <c r="E187" s="176"/>
      <c r="F187" s="68"/>
    </row>
    <row r="188" spans="1:6" ht="12.75">
      <c r="A188" s="23"/>
      <c r="B188" s="83">
        <v>80123</v>
      </c>
      <c r="C188" s="78" t="s">
        <v>173</v>
      </c>
      <c r="D188" s="177">
        <f>D189</f>
        <v>76480</v>
      </c>
      <c r="E188" s="176">
        <f>E189</f>
        <v>0</v>
      </c>
      <c r="F188" s="68">
        <f t="shared" si="3"/>
        <v>76480</v>
      </c>
    </row>
    <row r="189" spans="1:6" ht="12.75">
      <c r="A189" s="23"/>
      <c r="B189" s="39"/>
      <c r="C189" s="80" t="s">
        <v>117</v>
      </c>
      <c r="D189" s="234">
        <f>SUM(D190:D191)</f>
        <v>76480</v>
      </c>
      <c r="E189" s="480">
        <f>SUM(E190:E191)</f>
        <v>0</v>
      </c>
      <c r="F189" s="75">
        <f t="shared" si="3"/>
        <v>76480</v>
      </c>
    </row>
    <row r="190" spans="1:6" ht="12.75">
      <c r="A190" s="23"/>
      <c r="B190" s="39"/>
      <c r="C190" s="76" t="s">
        <v>125</v>
      </c>
      <c r="D190" s="177">
        <f>SUM('WYDATKI ukł.wyk.'!E224:E227)</f>
        <v>71346</v>
      </c>
      <c r="E190" s="176">
        <f>SUM('WYDATKI ukł.wyk.'!F224:F227)</f>
        <v>0</v>
      </c>
      <c r="F190" s="68">
        <f t="shared" si="3"/>
        <v>71346</v>
      </c>
    </row>
    <row r="191" spans="1:6" ht="12.75">
      <c r="A191" s="23"/>
      <c r="B191" s="39"/>
      <c r="C191" s="76" t="s">
        <v>118</v>
      </c>
      <c r="D191" s="177">
        <f>SUM('WYDATKI ukł.wyk.'!E228:E228)+'WYDATKI ukł.wyk.'!E223</f>
        <v>5134</v>
      </c>
      <c r="E191" s="176">
        <f>SUM('WYDATKI ukł.wyk.'!F228:F228)+'WYDATKI ukł.wyk.'!F223</f>
        <v>0</v>
      </c>
      <c r="F191" s="68">
        <f t="shared" si="3"/>
        <v>5134</v>
      </c>
    </row>
    <row r="192" spans="1:6" ht="12.75">
      <c r="A192" s="23"/>
      <c r="B192" s="39"/>
      <c r="C192" s="76"/>
      <c r="D192" s="177"/>
      <c r="E192" s="176"/>
      <c r="F192" s="68"/>
    </row>
    <row r="193" spans="1:6" ht="12.75">
      <c r="A193" s="23"/>
      <c r="B193" s="83">
        <v>80130</v>
      </c>
      <c r="C193" s="78" t="s">
        <v>174</v>
      </c>
      <c r="D193" s="177">
        <f>D194+D197</f>
        <v>4296827</v>
      </c>
      <c r="E193" s="176">
        <f>E194+E197</f>
        <v>80418</v>
      </c>
      <c r="F193" s="68">
        <f t="shared" si="3"/>
        <v>4377245</v>
      </c>
    </row>
    <row r="194" spans="1:6" ht="12.75">
      <c r="A194" s="24"/>
      <c r="B194" s="39"/>
      <c r="C194" s="80" t="s">
        <v>117</v>
      </c>
      <c r="D194" s="234">
        <f>SUM(D195:D196)</f>
        <v>4157645</v>
      </c>
      <c r="E194" s="480">
        <f>SUM(E195:E196)</f>
        <v>80418</v>
      </c>
      <c r="F194" s="75">
        <f t="shared" si="3"/>
        <v>4238063</v>
      </c>
    </row>
    <row r="195" spans="1:7" ht="12.75">
      <c r="A195" s="24"/>
      <c r="B195" s="39"/>
      <c r="C195" s="76" t="s">
        <v>125</v>
      </c>
      <c r="D195" s="177">
        <f>SUM('WYDATKI ukł.wyk.'!E232:E236)</f>
        <v>3178483</v>
      </c>
      <c r="E195" s="176">
        <f>SUM('WYDATKI ukł.wyk.'!F232:F236)</f>
        <v>-23187</v>
      </c>
      <c r="F195" s="68">
        <f t="shared" si="3"/>
        <v>3155296</v>
      </c>
      <c r="G195" s="14">
        <v>3041519</v>
      </c>
    </row>
    <row r="196" spans="1:6" ht="12.75">
      <c r="A196" s="24"/>
      <c r="B196" s="39"/>
      <c r="C196" s="76" t="s">
        <v>118</v>
      </c>
      <c r="D196" s="177">
        <f>SUM('WYDATKI ukł.wyk.'!E237:E248)+'WYDATKI ukł.wyk.'!E231</f>
        <v>979162</v>
      </c>
      <c r="E196" s="176">
        <f>SUM('WYDATKI ukł.wyk.'!F237:F248)+'WYDATKI ukł.wyk.'!F231</f>
        <v>103605</v>
      </c>
      <c r="F196" s="68">
        <f t="shared" si="3"/>
        <v>1082767</v>
      </c>
    </row>
    <row r="197" spans="1:6" ht="12.75">
      <c r="A197" s="24"/>
      <c r="B197" s="39"/>
      <c r="C197" s="415" t="s">
        <v>127</v>
      </c>
      <c r="D197" s="235">
        <f>SUM('WYDATKI ukł.wyk.'!E249:E250)</f>
        <v>139182</v>
      </c>
      <c r="E197" s="333">
        <f>SUM('WYDATKI ukł.wyk.'!F249:F250)</f>
        <v>0</v>
      </c>
      <c r="F197" s="67">
        <f t="shared" si="3"/>
        <v>139182</v>
      </c>
    </row>
    <row r="198" spans="1:6" ht="12.75">
      <c r="A198" s="24"/>
      <c r="B198" s="39"/>
      <c r="C198" s="9"/>
      <c r="D198" s="177"/>
      <c r="E198" s="176"/>
      <c r="F198" s="68"/>
    </row>
    <row r="199" spans="1:6" ht="12.75">
      <c r="A199" s="24"/>
      <c r="B199" s="83">
        <v>80146</v>
      </c>
      <c r="C199" s="80" t="s">
        <v>513</v>
      </c>
      <c r="D199" s="177">
        <f>D200</f>
        <v>37395</v>
      </c>
      <c r="E199" s="176">
        <f>E200</f>
        <v>-8277</v>
      </c>
      <c r="F199" s="68">
        <f t="shared" si="3"/>
        <v>29118</v>
      </c>
    </row>
    <row r="200" spans="1:6" ht="12.75">
      <c r="A200" s="24"/>
      <c r="B200" s="39"/>
      <c r="C200" s="427" t="s">
        <v>117</v>
      </c>
      <c r="D200" s="234">
        <f>D201</f>
        <v>37395</v>
      </c>
      <c r="E200" s="480">
        <f>E201</f>
        <v>-8277</v>
      </c>
      <c r="F200" s="75">
        <f t="shared" si="3"/>
        <v>29118</v>
      </c>
    </row>
    <row r="201" spans="1:6" ht="12.75">
      <c r="A201" s="24"/>
      <c r="B201" s="39"/>
      <c r="C201" s="428" t="s">
        <v>176</v>
      </c>
      <c r="D201" s="177">
        <f>'WYDATKI ukł.wyk.'!E252</f>
        <v>37395</v>
      </c>
      <c r="E201" s="176">
        <f>'WYDATKI ukł.wyk.'!F252</f>
        <v>-8277</v>
      </c>
      <c r="F201" s="68">
        <f t="shared" si="3"/>
        <v>29118</v>
      </c>
    </row>
    <row r="202" spans="1:6" ht="12.75">
      <c r="A202" s="24"/>
      <c r="B202" s="39"/>
      <c r="C202" s="9"/>
      <c r="D202" s="177"/>
      <c r="E202" s="176"/>
      <c r="F202" s="68"/>
    </row>
    <row r="203" spans="1:6" ht="12.75">
      <c r="A203" s="24"/>
      <c r="B203" s="83">
        <v>80195</v>
      </c>
      <c r="C203" s="80" t="s">
        <v>177</v>
      </c>
      <c r="D203" s="235">
        <f>D204</f>
        <v>117225</v>
      </c>
      <c r="E203" s="333">
        <f>E204</f>
        <v>0</v>
      </c>
      <c r="F203" s="68">
        <f t="shared" si="3"/>
        <v>117225</v>
      </c>
    </row>
    <row r="204" spans="1:6" ht="12.75">
      <c r="A204" s="24"/>
      <c r="B204" s="39"/>
      <c r="C204" s="427" t="s">
        <v>117</v>
      </c>
      <c r="D204" s="235">
        <f>SUM(D205:D207)</f>
        <v>117225</v>
      </c>
      <c r="E204" s="333">
        <f>SUM(E205:E207)</f>
        <v>0</v>
      </c>
      <c r="F204" s="75">
        <f t="shared" si="3"/>
        <v>117225</v>
      </c>
    </row>
    <row r="205" spans="1:6" ht="12.75">
      <c r="A205" s="24"/>
      <c r="B205" s="39"/>
      <c r="C205" s="76" t="s">
        <v>125</v>
      </c>
      <c r="D205" s="177">
        <f>SUM('WYDATKI ukł.wyk.'!E260:E262)</f>
        <v>11948</v>
      </c>
      <c r="E205" s="177">
        <f>SUM('WYDATKI ukł.wyk.'!F260:F262)</f>
        <v>0</v>
      </c>
      <c r="F205" s="68">
        <f>E205+D205</f>
        <v>11948</v>
      </c>
    </row>
    <row r="206" spans="1:6" ht="12.75">
      <c r="A206" s="24"/>
      <c r="B206" s="39"/>
      <c r="C206" s="76" t="s">
        <v>126</v>
      </c>
      <c r="D206" s="177">
        <f>'WYDATKI ukł.wyk.'!E257</f>
        <v>0</v>
      </c>
      <c r="E206" s="176">
        <f>'WYDATKI ukł.wyk.'!F257</f>
        <v>0</v>
      </c>
      <c r="F206" s="68">
        <f t="shared" si="3"/>
        <v>0</v>
      </c>
    </row>
    <row r="207" spans="1:6" ht="12.75">
      <c r="A207" s="24"/>
      <c r="B207" s="39"/>
      <c r="C207" s="428" t="s">
        <v>176</v>
      </c>
      <c r="D207" s="177">
        <f>'WYDATKI ukł.wyk.'!E259+'WYDATKI ukł.wyk.'!E263+'WYDATKI ukł.wyk.'!E264</f>
        <v>105277</v>
      </c>
      <c r="E207" s="177">
        <f>'WYDATKI ukł.wyk.'!F259+'WYDATKI ukł.wyk.'!F263+'WYDATKI ukł.wyk.'!F264</f>
        <v>0</v>
      </c>
      <c r="F207" s="68">
        <f t="shared" si="3"/>
        <v>105277</v>
      </c>
    </row>
    <row r="208" spans="1:6" ht="12.75">
      <c r="A208" s="24"/>
      <c r="B208" s="39"/>
      <c r="C208" s="428"/>
      <c r="D208" s="177"/>
      <c r="E208" s="176"/>
      <c r="F208" s="68"/>
    </row>
    <row r="209" spans="1:6" ht="13.5" thickBot="1">
      <c r="A209" s="46">
        <v>803</v>
      </c>
      <c r="B209" s="42"/>
      <c r="C209" s="513" t="s">
        <v>674</v>
      </c>
      <c r="D209" s="307">
        <f>D210</f>
        <v>146040</v>
      </c>
      <c r="E209" s="265">
        <f>E210</f>
        <v>0</v>
      </c>
      <c r="F209" s="65">
        <f>E209+D209</f>
        <v>146040</v>
      </c>
    </row>
    <row r="210" spans="1:6" ht="12.75">
      <c r="A210" s="24"/>
      <c r="B210" s="39"/>
      <c r="C210" s="80" t="s">
        <v>117</v>
      </c>
      <c r="D210" s="472">
        <f>D211</f>
        <v>146040</v>
      </c>
      <c r="E210" s="481">
        <f>E211</f>
        <v>0</v>
      </c>
      <c r="F210" s="490">
        <f>E210+D210</f>
        <v>146040</v>
      </c>
    </row>
    <row r="211" spans="1:6" ht="12.75">
      <c r="A211" s="24"/>
      <c r="B211" s="39"/>
      <c r="C211" s="76" t="s">
        <v>118</v>
      </c>
      <c r="D211" s="177">
        <f>D215</f>
        <v>146040</v>
      </c>
      <c r="E211" s="176">
        <f>E215</f>
        <v>0</v>
      </c>
      <c r="F211" s="68">
        <f>E211+D211</f>
        <v>146040</v>
      </c>
    </row>
    <row r="212" spans="1:6" ht="12.75">
      <c r="A212" s="24"/>
      <c r="B212" s="39"/>
      <c r="C212" s="76"/>
      <c r="D212" s="177"/>
      <c r="E212" s="176"/>
      <c r="F212" s="68"/>
    </row>
    <row r="213" spans="1:6" ht="12.75">
      <c r="A213" s="24"/>
      <c r="B213" s="83">
        <v>80309</v>
      </c>
      <c r="C213" s="514" t="s">
        <v>673</v>
      </c>
      <c r="D213" s="235">
        <f>D214</f>
        <v>146040</v>
      </c>
      <c r="E213" s="333">
        <f>E214</f>
        <v>0</v>
      </c>
      <c r="F213" s="67">
        <f>E213+D213</f>
        <v>146040</v>
      </c>
    </row>
    <row r="214" spans="1:6" ht="12.75">
      <c r="A214" s="24"/>
      <c r="B214" s="39"/>
      <c r="C214" s="415" t="s">
        <v>117</v>
      </c>
      <c r="D214" s="235">
        <f>D215</f>
        <v>146040</v>
      </c>
      <c r="E214" s="333">
        <f>E215</f>
        <v>0</v>
      </c>
      <c r="F214" s="67">
        <f>E214+D214</f>
        <v>146040</v>
      </c>
    </row>
    <row r="215" spans="1:6" ht="12.75">
      <c r="A215" s="24"/>
      <c r="B215" s="39"/>
      <c r="C215" s="9" t="s">
        <v>118</v>
      </c>
      <c r="D215" s="177">
        <f>SUM('WYDATKI ukł.wyk.'!E268:E270)+'WYDATKI ukł.wyk.'!E273+'WYDATKI ukł.wyk.'!E276+'WYDATKI ukł.wyk.'!E275+'WYDATKI ukł.wyk.'!E274</f>
        <v>146040</v>
      </c>
      <c r="E215" s="177">
        <f>SUM('WYDATKI ukł.wyk.'!F268:F270)+'WYDATKI ukł.wyk.'!F273+'WYDATKI ukł.wyk.'!F276+'WYDATKI ukł.wyk.'!F275+'WYDATKI ukł.wyk.'!F274</f>
        <v>0</v>
      </c>
      <c r="F215" s="68">
        <f>E215+D215</f>
        <v>146040</v>
      </c>
    </row>
    <row r="216" spans="1:6" ht="12.75">
      <c r="A216" s="420"/>
      <c r="B216" s="50"/>
      <c r="C216" s="429"/>
      <c r="D216" s="177"/>
      <c r="E216" s="176"/>
      <c r="F216" s="68"/>
    </row>
    <row r="217" spans="1:6" ht="13.5" thickBot="1">
      <c r="A217" s="41" t="s">
        <v>178</v>
      </c>
      <c r="B217" s="64"/>
      <c r="C217" s="312" t="s">
        <v>514</v>
      </c>
      <c r="D217" s="307">
        <f>D218</f>
        <v>2815399</v>
      </c>
      <c r="E217" s="265">
        <f>E218</f>
        <v>2000</v>
      </c>
      <c r="F217" s="65">
        <f t="shared" si="3"/>
        <v>2817399</v>
      </c>
    </row>
    <row r="218" spans="1:6" ht="12.75">
      <c r="A218" s="416"/>
      <c r="B218" s="50"/>
      <c r="C218" s="80" t="s">
        <v>117</v>
      </c>
      <c r="D218" s="177">
        <f>SUM(D219:D220)</f>
        <v>2815399</v>
      </c>
      <c r="E218" s="176">
        <f>SUM(E219:E220)</f>
        <v>2000</v>
      </c>
      <c r="F218" s="68">
        <f t="shared" si="3"/>
        <v>2817399</v>
      </c>
    </row>
    <row r="219" spans="1:6" ht="12.75">
      <c r="A219" s="416"/>
      <c r="B219" s="50"/>
      <c r="C219" s="76" t="s">
        <v>118</v>
      </c>
      <c r="D219" s="238">
        <f>D228+D232+D238</f>
        <v>2800399</v>
      </c>
      <c r="E219" s="479">
        <f>E228+E232+E238</f>
        <v>-3000</v>
      </c>
      <c r="F219" s="81">
        <f t="shared" si="3"/>
        <v>2797399</v>
      </c>
    </row>
    <row r="220" spans="1:6" ht="12.75">
      <c r="A220" s="416"/>
      <c r="B220" s="40"/>
      <c r="C220" s="311" t="s">
        <v>126</v>
      </c>
      <c r="D220" s="177">
        <f>D224</f>
        <v>15000</v>
      </c>
      <c r="E220" s="176">
        <f>E224</f>
        <v>5000</v>
      </c>
      <c r="F220" s="68">
        <f>E220+D220</f>
        <v>20000</v>
      </c>
    </row>
    <row r="221" spans="1:6" ht="12.75">
      <c r="A221" s="416"/>
      <c r="B221" s="40"/>
      <c r="C221" s="76"/>
      <c r="D221" s="177"/>
      <c r="E221" s="176"/>
      <c r="F221" s="68"/>
    </row>
    <row r="222" spans="1:6" ht="12.75">
      <c r="A222" s="416"/>
      <c r="B222" s="70" t="s">
        <v>735</v>
      </c>
      <c r="C222" s="80" t="s">
        <v>736</v>
      </c>
      <c r="D222" s="235">
        <f>D224</f>
        <v>15000</v>
      </c>
      <c r="E222" s="333">
        <f>E223</f>
        <v>5000</v>
      </c>
      <c r="F222" s="67">
        <f>E222+D222</f>
        <v>20000</v>
      </c>
    </row>
    <row r="223" spans="1:6" ht="12.75">
      <c r="A223" s="416"/>
      <c r="B223" s="40"/>
      <c r="C223" s="415" t="s">
        <v>117</v>
      </c>
      <c r="D223" s="234">
        <f>D224</f>
        <v>15000</v>
      </c>
      <c r="E223" s="480">
        <f>E224</f>
        <v>5000</v>
      </c>
      <c r="F223" s="75">
        <f>E223+D223</f>
        <v>20000</v>
      </c>
    </row>
    <row r="224" spans="1:6" ht="12.75">
      <c r="A224" s="416"/>
      <c r="B224" s="40"/>
      <c r="C224" s="311" t="s">
        <v>126</v>
      </c>
      <c r="D224" s="177">
        <f>'WYDATKI ukł.wyk.'!E280</f>
        <v>15000</v>
      </c>
      <c r="E224" s="176">
        <f>'WYDATKI ukł.wyk.'!F280</f>
        <v>5000</v>
      </c>
      <c r="F224" s="68">
        <f>E224+D224</f>
        <v>20000</v>
      </c>
    </row>
    <row r="225" spans="1:6" ht="12.75">
      <c r="A225" s="416"/>
      <c r="B225" s="40"/>
      <c r="C225" s="76"/>
      <c r="D225" s="177"/>
      <c r="E225" s="176"/>
      <c r="F225" s="68"/>
    </row>
    <row r="226" spans="1:6" ht="12.75">
      <c r="A226" s="416"/>
      <c r="B226" s="70" t="s">
        <v>471</v>
      </c>
      <c r="C226" s="80" t="s">
        <v>515</v>
      </c>
      <c r="D226" s="235">
        <f>D227</f>
        <v>3000</v>
      </c>
      <c r="E226" s="333">
        <f>E227</f>
        <v>-3000</v>
      </c>
      <c r="F226" s="67">
        <f>E226+D226</f>
        <v>0</v>
      </c>
    </row>
    <row r="227" spans="1:6" ht="12.75">
      <c r="A227" s="416"/>
      <c r="B227" s="430"/>
      <c r="C227" s="415" t="s">
        <v>117</v>
      </c>
      <c r="D227" s="235">
        <f>D228</f>
        <v>3000</v>
      </c>
      <c r="E227" s="333">
        <f>E228</f>
        <v>-3000</v>
      </c>
      <c r="F227" s="75">
        <f t="shared" si="3"/>
        <v>0</v>
      </c>
    </row>
    <row r="228" spans="1:6" ht="12.75">
      <c r="A228" s="416"/>
      <c r="B228" s="40"/>
      <c r="C228" s="311" t="s">
        <v>118</v>
      </c>
      <c r="D228" s="177">
        <f>'WYDATKI ukł.wyk.'!E283</f>
        <v>3000</v>
      </c>
      <c r="E228" s="176">
        <f>'WYDATKI ukł.wyk.'!F283</f>
        <v>-3000</v>
      </c>
      <c r="F228" s="68">
        <f t="shared" si="3"/>
        <v>0</v>
      </c>
    </row>
    <row r="229" spans="1:6" ht="12.75">
      <c r="A229" s="416"/>
      <c r="B229" s="40"/>
      <c r="C229" s="76"/>
      <c r="D229" s="177"/>
      <c r="E229" s="176"/>
      <c r="F229" s="68"/>
    </row>
    <row r="230" spans="1:6" ht="12.75">
      <c r="A230" s="416"/>
      <c r="B230" s="83">
        <v>85154</v>
      </c>
      <c r="C230" s="80" t="s">
        <v>179</v>
      </c>
      <c r="D230" s="177">
        <f>D231</f>
        <v>13700</v>
      </c>
      <c r="E230" s="176">
        <f>E231</f>
        <v>0</v>
      </c>
      <c r="F230" s="68">
        <f t="shared" si="3"/>
        <v>13700</v>
      </c>
    </row>
    <row r="231" spans="1:6" ht="12.75">
      <c r="A231" s="416"/>
      <c r="B231" s="39"/>
      <c r="C231" s="415" t="s">
        <v>117</v>
      </c>
      <c r="D231" s="234">
        <f>D232</f>
        <v>13700</v>
      </c>
      <c r="E231" s="480">
        <f>E232</f>
        <v>0</v>
      </c>
      <c r="F231" s="75">
        <f t="shared" si="3"/>
        <v>13700</v>
      </c>
    </row>
    <row r="232" spans="1:6" ht="12.75">
      <c r="A232" s="416"/>
      <c r="B232" s="39"/>
      <c r="C232" s="9" t="s">
        <v>118</v>
      </c>
      <c r="D232" s="177">
        <f>'WYDATKI ukł.wyk.'!E288</f>
        <v>13700</v>
      </c>
      <c r="E232" s="176">
        <f>'WYDATKI ukł.wyk.'!F288</f>
        <v>0</v>
      </c>
      <c r="F232" s="68">
        <f t="shared" si="3"/>
        <v>13700</v>
      </c>
    </row>
    <row r="233" spans="1:6" ht="12.75">
      <c r="A233" s="416"/>
      <c r="B233" s="40"/>
      <c r="C233" s="76"/>
      <c r="D233" s="177"/>
      <c r="E233" s="176"/>
      <c r="F233" s="68"/>
    </row>
    <row r="234" spans="1:6" ht="12.75">
      <c r="A234" s="416"/>
      <c r="B234" s="8">
        <v>85156</v>
      </c>
      <c r="C234" s="76" t="s">
        <v>93</v>
      </c>
      <c r="D234" s="177"/>
      <c r="E234" s="176"/>
      <c r="F234" s="68"/>
    </row>
    <row r="235" spans="1:6" ht="12.75">
      <c r="A235" s="416"/>
      <c r="B235" s="8"/>
      <c r="C235" s="76" t="s">
        <v>180</v>
      </c>
      <c r="D235" s="177"/>
      <c r="E235" s="176"/>
      <c r="F235" s="68"/>
    </row>
    <row r="236" spans="1:6" ht="12.75">
      <c r="A236" s="416"/>
      <c r="B236" s="83"/>
      <c r="C236" s="80" t="s">
        <v>181</v>
      </c>
      <c r="D236" s="235">
        <f>D237</f>
        <v>2783699</v>
      </c>
      <c r="E236" s="333">
        <f>E237</f>
        <v>0</v>
      </c>
      <c r="F236" s="68">
        <f t="shared" si="3"/>
        <v>2783699</v>
      </c>
    </row>
    <row r="237" spans="1:6" ht="12.75">
      <c r="A237" s="416"/>
      <c r="B237" s="39"/>
      <c r="C237" s="415" t="s">
        <v>117</v>
      </c>
      <c r="D237" s="235">
        <f>D238</f>
        <v>2783699</v>
      </c>
      <c r="E237" s="333">
        <f>E238</f>
        <v>0</v>
      </c>
      <c r="F237" s="75">
        <f t="shared" si="3"/>
        <v>2783699</v>
      </c>
    </row>
    <row r="238" spans="1:6" ht="12.75">
      <c r="A238" s="416"/>
      <c r="B238" s="39"/>
      <c r="C238" s="311" t="s">
        <v>118</v>
      </c>
      <c r="D238" s="177">
        <f>'WYDATKI ukł.wyk.'!E290</f>
        <v>2783699</v>
      </c>
      <c r="E238" s="177">
        <f>'WYDATKI ukł.wyk.'!F290</f>
        <v>0</v>
      </c>
      <c r="F238" s="68">
        <f aca="true" t="shared" si="4" ref="F238:F308">E238+D238</f>
        <v>2783699</v>
      </c>
    </row>
    <row r="239" spans="1:6" ht="12.75">
      <c r="A239" s="416"/>
      <c r="B239" s="39"/>
      <c r="C239" s="76"/>
      <c r="D239" s="177"/>
      <c r="E239" s="176"/>
      <c r="F239" s="68"/>
    </row>
    <row r="240" spans="1:6" ht="13.5" thickBot="1">
      <c r="A240" s="41" t="s">
        <v>281</v>
      </c>
      <c r="B240" s="42"/>
      <c r="C240" s="312" t="s">
        <v>516</v>
      </c>
      <c r="D240" s="307">
        <f>D241+D245</f>
        <v>8242464</v>
      </c>
      <c r="E240" s="265">
        <f>E241+E245</f>
        <v>225144</v>
      </c>
      <c r="F240" s="65">
        <f t="shared" si="4"/>
        <v>8467608</v>
      </c>
    </row>
    <row r="241" spans="1:6" ht="12.75">
      <c r="A241" s="416"/>
      <c r="B241" s="39"/>
      <c r="C241" s="80" t="s">
        <v>117</v>
      </c>
      <c r="D241" s="177">
        <f>SUM(D242:D244)</f>
        <v>8101288</v>
      </c>
      <c r="E241" s="176">
        <f>SUM(E242:E244)</f>
        <v>225144</v>
      </c>
      <c r="F241" s="68">
        <f t="shared" si="4"/>
        <v>8326432</v>
      </c>
    </row>
    <row r="242" spans="1:6" ht="12.75">
      <c r="A242" s="416"/>
      <c r="B242" s="39"/>
      <c r="C242" s="76" t="s">
        <v>125</v>
      </c>
      <c r="D242" s="238">
        <f>D249+D256+D273+D262</f>
        <v>3716037</v>
      </c>
      <c r="E242" s="479">
        <f>E249+E256+E273+E262</f>
        <v>-12449</v>
      </c>
      <c r="F242" s="81">
        <f t="shared" si="4"/>
        <v>3703588</v>
      </c>
    </row>
    <row r="243" spans="1:6" ht="12.75">
      <c r="A243" s="416"/>
      <c r="B243" s="39"/>
      <c r="C243" s="76" t="s">
        <v>126</v>
      </c>
      <c r="D243" s="177">
        <f>D268+D250</f>
        <v>637293</v>
      </c>
      <c r="E243" s="176">
        <f>E268+E250</f>
        <v>19278</v>
      </c>
      <c r="F243" s="68">
        <f t="shared" si="4"/>
        <v>656571</v>
      </c>
    </row>
    <row r="244" spans="1:6" ht="12.75">
      <c r="A244" s="416"/>
      <c r="B244" s="39"/>
      <c r="C244" s="311" t="s">
        <v>118</v>
      </c>
      <c r="D244" s="310">
        <f>D251+D257+D269+D274+D280+D263+D285+D288</f>
        <v>3747958</v>
      </c>
      <c r="E244" s="310">
        <f>E251+E257+E269+E274+E280+E263+E285+E288</f>
        <v>218315</v>
      </c>
      <c r="F244" s="68">
        <f t="shared" si="4"/>
        <v>3966273</v>
      </c>
    </row>
    <row r="245" spans="1:6" ht="12.75">
      <c r="A245" s="416"/>
      <c r="B245" s="39"/>
      <c r="C245" s="415" t="s">
        <v>127</v>
      </c>
      <c r="D245" s="235">
        <f>D258+D252+D264+D275+D281</f>
        <v>141176</v>
      </c>
      <c r="E245" s="333">
        <f>E258+E252+E264+E275+E281</f>
        <v>0</v>
      </c>
      <c r="F245" s="67">
        <f t="shared" si="4"/>
        <v>141176</v>
      </c>
    </row>
    <row r="246" spans="1:6" ht="12.75">
      <c r="A246" s="416"/>
      <c r="B246" s="39"/>
      <c r="C246" s="76"/>
      <c r="D246" s="177"/>
      <c r="E246" s="176"/>
      <c r="F246" s="68"/>
    </row>
    <row r="247" spans="1:6" ht="12.75">
      <c r="A247" s="416"/>
      <c r="B247" s="83">
        <v>85201</v>
      </c>
      <c r="C247" s="78" t="s">
        <v>182</v>
      </c>
      <c r="D247" s="177">
        <f>D248+D252</f>
        <v>2054548</v>
      </c>
      <c r="E247" s="176">
        <f>E248+E252</f>
        <v>-127000</v>
      </c>
      <c r="F247" s="68">
        <f t="shared" si="4"/>
        <v>1927548</v>
      </c>
    </row>
    <row r="248" spans="1:6" ht="12.75">
      <c r="A248" s="416"/>
      <c r="B248" s="39"/>
      <c r="C248" s="80" t="s">
        <v>117</v>
      </c>
      <c r="D248" s="234">
        <f>SUM(D249:D251)</f>
        <v>1994548</v>
      </c>
      <c r="E248" s="480">
        <f>SUM(E249:E251)</f>
        <v>-127000</v>
      </c>
      <c r="F248" s="75">
        <f t="shared" si="4"/>
        <v>1867548</v>
      </c>
    </row>
    <row r="249" spans="1:6" ht="12.75">
      <c r="A249" s="416"/>
      <c r="B249" s="39"/>
      <c r="C249" s="76" t="s">
        <v>125</v>
      </c>
      <c r="D249" s="177">
        <f>SUM('WYDATKI ukł.wyk.'!E300:E304)</f>
        <v>862300</v>
      </c>
      <c r="E249" s="176">
        <f>SUM('WYDATKI ukł.wyk.'!F300:F304)</f>
        <v>-9399</v>
      </c>
      <c r="F249" s="81">
        <f t="shared" si="4"/>
        <v>852901</v>
      </c>
    </row>
    <row r="250" spans="1:6" ht="12.75">
      <c r="A250" s="416"/>
      <c r="B250" s="39"/>
      <c r="C250" s="76" t="s">
        <v>126</v>
      </c>
      <c r="D250" s="177">
        <f>'WYDATKI ukł.wyk.'!E297</f>
        <v>522270</v>
      </c>
      <c r="E250" s="176">
        <f>'WYDATKI ukł.wyk.'!F297</f>
        <v>14885</v>
      </c>
      <c r="F250" s="68">
        <f t="shared" si="4"/>
        <v>537155</v>
      </c>
    </row>
    <row r="251" spans="1:6" ht="12.75">
      <c r="A251" s="416"/>
      <c r="B251" s="39"/>
      <c r="C251" s="311" t="s">
        <v>118</v>
      </c>
      <c r="D251" s="310">
        <f>SUM('WYDATKI ukł.wyk.'!E305:E315)+'WYDATKI ukł.wyk.'!E298+'WYDATKI ukł.wyk.'!E299</f>
        <v>609978</v>
      </c>
      <c r="E251" s="447">
        <f>SUM('WYDATKI ukł.wyk.'!F305:F315)+'WYDATKI ukł.wyk.'!F298+'WYDATKI ukł.wyk.'!F299</f>
        <v>-132486</v>
      </c>
      <c r="F251" s="68">
        <f t="shared" si="4"/>
        <v>477492</v>
      </c>
    </row>
    <row r="252" spans="1:6" ht="12.75">
      <c r="A252" s="416"/>
      <c r="B252" s="39"/>
      <c r="C252" s="415" t="s">
        <v>127</v>
      </c>
      <c r="D252" s="235">
        <f>SUM('WYDATKI ukł.wyk.'!E316:E317)</f>
        <v>60000</v>
      </c>
      <c r="E252" s="333">
        <f>SUM('WYDATKI ukł.wyk.'!F316:F317)</f>
        <v>0</v>
      </c>
      <c r="F252" s="67">
        <f t="shared" si="4"/>
        <v>60000</v>
      </c>
    </row>
    <row r="253" spans="1:6" ht="12.75">
      <c r="A253" s="416"/>
      <c r="B253" s="39"/>
      <c r="C253" s="76"/>
      <c r="D253" s="177"/>
      <c r="E253" s="176"/>
      <c r="F253" s="68"/>
    </row>
    <row r="254" spans="1:6" ht="12.75">
      <c r="A254" s="416"/>
      <c r="B254" s="83">
        <v>85202</v>
      </c>
      <c r="C254" s="78" t="s">
        <v>183</v>
      </c>
      <c r="D254" s="177">
        <f>D255+D258</f>
        <v>4198257</v>
      </c>
      <c r="E254" s="176">
        <f>E255+E258</f>
        <v>22962</v>
      </c>
      <c r="F254" s="68">
        <f t="shared" si="4"/>
        <v>4221219</v>
      </c>
    </row>
    <row r="255" spans="1:6" ht="12.75">
      <c r="A255" s="416"/>
      <c r="B255" s="39"/>
      <c r="C255" s="80" t="s">
        <v>117</v>
      </c>
      <c r="D255" s="234">
        <f>SUM(D256:D257)</f>
        <v>4123581</v>
      </c>
      <c r="E255" s="480">
        <f>SUM(E256:E257)</f>
        <v>22962</v>
      </c>
      <c r="F255" s="75">
        <f t="shared" si="4"/>
        <v>4146543</v>
      </c>
    </row>
    <row r="256" spans="1:6" ht="12.75">
      <c r="A256" s="416"/>
      <c r="B256" s="39"/>
      <c r="C256" s="76" t="s">
        <v>125</v>
      </c>
      <c r="D256" s="177">
        <f>SUM('WYDATKI ukł.wyk.'!E321:E324)</f>
        <v>2367526</v>
      </c>
      <c r="E256" s="176">
        <f>SUM('WYDATKI ukł.wyk.'!F321:F324)</f>
        <v>-3050</v>
      </c>
      <c r="F256" s="68">
        <f t="shared" si="4"/>
        <v>2364476</v>
      </c>
    </row>
    <row r="257" spans="1:6" ht="12.75">
      <c r="A257" s="416"/>
      <c r="B257" s="39"/>
      <c r="C257" s="311" t="s">
        <v>118</v>
      </c>
      <c r="D257" s="177">
        <f>SUM('WYDATKI ukł.wyk.'!E325:E337)+'WYDATKI ukł.wyk.'!E320</f>
        <v>1756055</v>
      </c>
      <c r="E257" s="176">
        <f>SUM('WYDATKI ukł.wyk.'!F325:F337)+'WYDATKI ukł.wyk.'!F320</f>
        <v>26012</v>
      </c>
      <c r="F257" s="68">
        <f t="shared" si="4"/>
        <v>1782067</v>
      </c>
    </row>
    <row r="258" spans="1:6" ht="12.75">
      <c r="A258" s="416"/>
      <c r="B258" s="39"/>
      <c r="C258" s="415" t="s">
        <v>127</v>
      </c>
      <c r="D258" s="235">
        <f>'WYDATKI ukł.wyk.'!E338+'WYDATKI ukł.wyk.'!E339</f>
        <v>74676</v>
      </c>
      <c r="E258" s="235">
        <f>'WYDATKI ukł.wyk.'!F338+'WYDATKI ukł.wyk.'!F339</f>
        <v>0</v>
      </c>
      <c r="F258" s="68">
        <f t="shared" si="4"/>
        <v>74676</v>
      </c>
    </row>
    <row r="259" spans="1:6" ht="12.75">
      <c r="A259" s="416"/>
      <c r="B259" s="39"/>
      <c r="C259" s="76"/>
      <c r="D259" s="177"/>
      <c r="E259" s="176"/>
      <c r="F259" s="81"/>
    </row>
    <row r="260" spans="1:6" ht="12.75">
      <c r="A260" s="416"/>
      <c r="B260" s="83">
        <v>85203</v>
      </c>
      <c r="C260" s="415" t="s">
        <v>517</v>
      </c>
      <c r="D260" s="235">
        <f>D261+D264</f>
        <v>184112</v>
      </c>
      <c r="E260" s="333">
        <f>E261+E264</f>
        <v>0</v>
      </c>
      <c r="F260" s="67">
        <f t="shared" si="4"/>
        <v>184112</v>
      </c>
    </row>
    <row r="261" spans="1:6" ht="12.75">
      <c r="A261" s="416"/>
      <c r="B261" s="39"/>
      <c r="C261" s="80" t="s">
        <v>117</v>
      </c>
      <c r="D261" s="234">
        <f>D263+D262</f>
        <v>184112</v>
      </c>
      <c r="E261" s="480">
        <f>E263+E262</f>
        <v>0</v>
      </c>
      <c r="F261" s="75">
        <f t="shared" si="4"/>
        <v>184112</v>
      </c>
    </row>
    <row r="262" spans="1:6" ht="12.75">
      <c r="A262" s="416"/>
      <c r="B262" s="39"/>
      <c r="C262" s="76" t="s">
        <v>125</v>
      </c>
      <c r="D262" s="238">
        <f>SUM('WYDATKI ukł.wyk.'!E342:E344)</f>
        <v>95019</v>
      </c>
      <c r="E262" s="479">
        <f>SUM('WYDATKI ukł.wyk.'!F342:F344)</f>
        <v>0</v>
      </c>
      <c r="F262" s="81">
        <f t="shared" si="4"/>
        <v>95019</v>
      </c>
    </row>
    <row r="263" spans="1:6" ht="12.75">
      <c r="A263" s="416"/>
      <c r="B263" s="39"/>
      <c r="C263" s="311" t="s">
        <v>118</v>
      </c>
      <c r="D263" s="177">
        <f>SUM('WYDATKI ukł.wyk.'!E345:E353)</f>
        <v>89093</v>
      </c>
      <c r="E263" s="176">
        <f>SUM('WYDATKI ukł.wyk.'!F345:F353)</f>
        <v>0</v>
      </c>
      <c r="F263" s="68">
        <f t="shared" si="4"/>
        <v>89093</v>
      </c>
    </row>
    <row r="264" spans="1:6" ht="12.75">
      <c r="A264" s="416"/>
      <c r="B264" s="39"/>
      <c r="C264" s="415" t="s">
        <v>127</v>
      </c>
      <c r="D264" s="235">
        <f>'WYDATKI ukł.wyk.'!E354</f>
        <v>0</v>
      </c>
      <c r="E264" s="333">
        <f>'WYDATKI ukł.wyk.'!F354</f>
        <v>0</v>
      </c>
      <c r="F264" s="67">
        <f t="shared" si="4"/>
        <v>0</v>
      </c>
    </row>
    <row r="265" spans="1:6" ht="12.75">
      <c r="A265" s="416"/>
      <c r="B265" s="39"/>
      <c r="C265" s="76"/>
      <c r="D265" s="177"/>
      <c r="E265" s="176"/>
      <c r="F265" s="68"/>
    </row>
    <row r="266" spans="1:6" ht="12.75">
      <c r="A266" s="416"/>
      <c r="B266" s="83">
        <v>85204</v>
      </c>
      <c r="C266" s="78" t="s">
        <v>184</v>
      </c>
      <c r="D266" s="177">
        <f>D267</f>
        <v>1226403</v>
      </c>
      <c r="E266" s="176">
        <f>E267</f>
        <v>0</v>
      </c>
      <c r="F266" s="68">
        <f t="shared" si="4"/>
        <v>1226403</v>
      </c>
    </row>
    <row r="267" spans="1:6" ht="12.75">
      <c r="A267" s="416"/>
      <c r="B267" s="39"/>
      <c r="C267" s="80" t="s">
        <v>117</v>
      </c>
      <c r="D267" s="234">
        <f>SUM(D268:D269)</f>
        <v>1226403</v>
      </c>
      <c r="E267" s="480">
        <f>SUM(E268:E269)</f>
        <v>0</v>
      </c>
      <c r="F267" s="75">
        <f t="shared" si="4"/>
        <v>1226403</v>
      </c>
    </row>
    <row r="268" spans="1:6" ht="12.75">
      <c r="A268" s="416"/>
      <c r="B268" s="39"/>
      <c r="C268" s="76" t="s">
        <v>126</v>
      </c>
      <c r="D268" s="177">
        <f>'WYDATKI ukł.wyk.'!E357</f>
        <v>115023</v>
      </c>
      <c r="E268" s="176">
        <f>'WYDATKI ukł.wyk.'!F357</f>
        <v>4393</v>
      </c>
      <c r="F268" s="68">
        <f t="shared" si="4"/>
        <v>119416</v>
      </c>
    </row>
    <row r="269" spans="1:6" ht="12.75">
      <c r="A269" s="416"/>
      <c r="B269" s="39"/>
      <c r="C269" s="76" t="s">
        <v>118</v>
      </c>
      <c r="D269" s="177">
        <f>SUM('WYDATKI ukł.wyk.'!E358:E359)</f>
        <v>1111380</v>
      </c>
      <c r="E269" s="176">
        <f>SUM('WYDATKI ukł.wyk.'!F358:F359)</f>
        <v>-4393</v>
      </c>
      <c r="F269" s="68">
        <f t="shared" si="4"/>
        <v>1106987</v>
      </c>
    </row>
    <row r="270" spans="1:6" ht="12.75">
      <c r="A270" s="416"/>
      <c r="B270" s="39"/>
      <c r="C270" s="76"/>
      <c r="D270" s="177"/>
      <c r="E270" s="176"/>
      <c r="F270" s="68"/>
    </row>
    <row r="271" spans="1:6" ht="12.75">
      <c r="A271" s="416"/>
      <c r="B271" s="83">
        <v>85218</v>
      </c>
      <c r="C271" s="78" t="s">
        <v>185</v>
      </c>
      <c r="D271" s="177">
        <f>D272+D275</f>
        <v>525478</v>
      </c>
      <c r="E271" s="176">
        <f>E272+E275</f>
        <v>1054</v>
      </c>
      <c r="F271" s="68">
        <f t="shared" si="4"/>
        <v>526532</v>
      </c>
    </row>
    <row r="272" spans="1:6" ht="12.75">
      <c r="A272" s="416"/>
      <c r="B272" s="39"/>
      <c r="C272" s="80" t="s">
        <v>117</v>
      </c>
      <c r="D272" s="234">
        <f>SUM(D273:D274)</f>
        <v>518978</v>
      </c>
      <c r="E272" s="480">
        <f>SUM(E273:E274)</f>
        <v>1054</v>
      </c>
      <c r="F272" s="75">
        <f t="shared" si="4"/>
        <v>520032</v>
      </c>
    </row>
    <row r="273" spans="1:6" ht="12.75">
      <c r="A273" s="416"/>
      <c r="B273" s="39"/>
      <c r="C273" s="76" t="s">
        <v>125</v>
      </c>
      <c r="D273" s="177">
        <f>SUM('WYDATKI ukł.wyk.'!E362:E365)</f>
        <v>391192</v>
      </c>
      <c r="E273" s="176">
        <f>SUM('WYDATKI ukł.wyk.'!F362:F365)</f>
        <v>0</v>
      </c>
      <c r="F273" s="68">
        <f t="shared" si="4"/>
        <v>391192</v>
      </c>
    </row>
    <row r="274" spans="1:6" ht="12.75">
      <c r="A274" s="416"/>
      <c r="B274" s="39"/>
      <c r="C274" s="311" t="s">
        <v>118</v>
      </c>
      <c r="D274" s="310">
        <f>SUM('WYDATKI ukł.wyk.'!E366:E374)</f>
        <v>127786</v>
      </c>
      <c r="E274" s="447">
        <f>SUM('WYDATKI ukł.wyk.'!F366:F374)</f>
        <v>1054</v>
      </c>
      <c r="F274" s="68">
        <f t="shared" si="4"/>
        <v>128840</v>
      </c>
    </row>
    <row r="275" spans="1:6" ht="12.75">
      <c r="A275" s="416"/>
      <c r="B275" s="39"/>
      <c r="C275" s="415" t="s">
        <v>127</v>
      </c>
      <c r="D275" s="235">
        <f>'WYDATKI ukł.wyk.'!E375</f>
        <v>6500</v>
      </c>
      <c r="E275" s="333">
        <f>'WYDATKI ukł.wyk.'!F375</f>
        <v>0</v>
      </c>
      <c r="F275" s="68">
        <f t="shared" si="4"/>
        <v>6500</v>
      </c>
    </row>
    <row r="276" spans="1:6" ht="12.75">
      <c r="A276" s="416"/>
      <c r="B276" s="39"/>
      <c r="C276" s="311"/>
      <c r="D276" s="177"/>
      <c r="E276" s="176"/>
      <c r="F276" s="81"/>
    </row>
    <row r="277" spans="1:6" ht="12.75">
      <c r="A277" s="416"/>
      <c r="B277" s="39">
        <v>85220</v>
      </c>
      <c r="C277" s="311" t="s">
        <v>282</v>
      </c>
      <c r="D277" s="177"/>
      <c r="E277" s="176"/>
      <c r="F277" s="68"/>
    </row>
    <row r="278" spans="1:6" ht="12.75">
      <c r="A278" s="416"/>
      <c r="B278" s="83"/>
      <c r="C278" s="415" t="s">
        <v>186</v>
      </c>
      <c r="D278" s="177">
        <f>D279+D281</f>
        <v>51642</v>
      </c>
      <c r="E278" s="176">
        <f>E279+E281</f>
        <v>-11872</v>
      </c>
      <c r="F278" s="67">
        <f t="shared" si="4"/>
        <v>39770</v>
      </c>
    </row>
    <row r="279" spans="1:6" ht="12.75">
      <c r="A279" s="416"/>
      <c r="B279" s="39"/>
      <c r="C279" s="80" t="s">
        <v>117</v>
      </c>
      <c r="D279" s="234">
        <f>D280</f>
        <v>51642</v>
      </c>
      <c r="E279" s="480">
        <f>E280</f>
        <v>-11872</v>
      </c>
      <c r="F279" s="75">
        <f t="shared" si="4"/>
        <v>39770</v>
      </c>
    </row>
    <row r="280" spans="1:6" ht="12.75">
      <c r="A280" s="416"/>
      <c r="B280" s="39"/>
      <c r="C280" s="311" t="s">
        <v>118</v>
      </c>
      <c r="D280" s="177">
        <f>SUM('WYDATKI ukł.wyk.'!E378:E383)</f>
        <v>51642</v>
      </c>
      <c r="E280" s="176">
        <f>SUM('WYDATKI ukł.wyk.'!F378:F383)</f>
        <v>-11872</v>
      </c>
      <c r="F280" s="68">
        <f t="shared" si="4"/>
        <v>39770</v>
      </c>
    </row>
    <row r="281" spans="1:6" ht="12.75">
      <c r="A281" s="416"/>
      <c r="B281" s="39"/>
      <c r="C281" s="415" t="s">
        <v>127</v>
      </c>
      <c r="D281" s="235">
        <f>'WYDATKI ukł.wyk.'!E384</f>
        <v>0</v>
      </c>
      <c r="E281" s="333">
        <f>'WYDATKI ukł.wyk.'!F384</f>
        <v>0</v>
      </c>
      <c r="F281" s="67"/>
    </row>
    <row r="282" spans="1:6" ht="12.75">
      <c r="A282" s="416"/>
      <c r="B282" s="39"/>
      <c r="C282" s="311"/>
      <c r="D282" s="177"/>
      <c r="E282" s="176"/>
      <c r="F282" s="68"/>
    </row>
    <row r="283" spans="1:6" ht="12.75">
      <c r="A283" s="416"/>
      <c r="B283" s="83">
        <v>85233</v>
      </c>
      <c r="C283" s="415" t="s">
        <v>513</v>
      </c>
      <c r="D283" s="235">
        <f>D284</f>
        <v>2024</v>
      </c>
      <c r="E283" s="333">
        <f>E284</f>
        <v>0</v>
      </c>
      <c r="F283" s="67">
        <f>E283+D283</f>
        <v>2024</v>
      </c>
    </row>
    <row r="284" spans="1:6" ht="12.75">
      <c r="A284" s="416"/>
      <c r="B284" s="39"/>
      <c r="C284" s="80" t="s">
        <v>117</v>
      </c>
      <c r="D284" s="234">
        <f>D285</f>
        <v>2024</v>
      </c>
      <c r="E284" s="480">
        <f>E285</f>
        <v>0</v>
      </c>
      <c r="F284" s="75">
        <f>E284+D284</f>
        <v>2024</v>
      </c>
    </row>
    <row r="285" spans="1:6" ht="12.75">
      <c r="A285" s="416"/>
      <c r="B285" s="39"/>
      <c r="C285" s="311" t="s">
        <v>118</v>
      </c>
      <c r="D285" s="177">
        <f>'WYDATKI ukł.wyk.'!E387</f>
        <v>2024</v>
      </c>
      <c r="E285" s="176">
        <f>'WYDATKI ukł.wyk.'!F387</f>
        <v>0</v>
      </c>
      <c r="F285" s="68">
        <f>E285+D285</f>
        <v>2024</v>
      </c>
    </row>
    <row r="286" spans="1:6" ht="12.75">
      <c r="A286" s="416"/>
      <c r="B286" s="39"/>
      <c r="C286" s="311"/>
      <c r="D286" s="177"/>
      <c r="E286" s="176"/>
      <c r="F286" s="68"/>
    </row>
    <row r="287" spans="1:6" ht="12.75">
      <c r="A287" s="416"/>
      <c r="B287" s="83">
        <v>85295</v>
      </c>
      <c r="C287" s="415" t="s">
        <v>764</v>
      </c>
      <c r="D287" s="235">
        <f>D288</f>
        <v>0</v>
      </c>
      <c r="E287" s="333">
        <f>E288</f>
        <v>340000</v>
      </c>
      <c r="F287" s="67">
        <f>E287+D287</f>
        <v>340000</v>
      </c>
    </row>
    <row r="288" spans="1:6" ht="12.75">
      <c r="A288" s="416"/>
      <c r="B288" s="39"/>
      <c r="C288" s="80" t="s">
        <v>117</v>
      </c>
      <c r="D288" s="234">
        <f>D289</f>
        <v>0</v>
      </c>
      <c r="E288" s="480">
        <f>E289</f>
        <v>340000</v>
      </c>
      <c r="F288" s="75">
        <f>E288+D288</f>
        <v>340000</v>
      </c>
    </row>
    <row r="289" spans="1:6" ht="12.75">
      <c r="A289" s="416"/>
      <c r="B289" s="39"/>
      <c r="C289" s="311" t="s">
        <v>118</v>
      </c>
      <c r="D289" s="177">
        <f>SUM('WYDATKI ukł.wyk.'!E390:E392)</f>
        <v>0</v>
      </c>
      <c r="E289" s="177">
        <f>SUM('WYDATKI ukł.wyk.'!F390:F392)</f>
        <v>340000</v>
      </c>
      <c r="F289" s="68">
        <f>E289+D289</f>
        <v>340000</v>
      </c>
    </row>
    <row r="290" spans="1:6" ht="12.75">
      <c r="A290" s="416"/>
      <c r="B290" s="39"/>
      <c r="C290" s="311"/>
      <c r="D290" s="177"/>
      <c r="E290" s="176"/>
      <c r="F290" s="68"/>
    </row>
    <row r="291" spans="1:6" s="285" customFormat="1" ht="26.25" thickBot="1">
      <c r="A291" s="431">
        <v>853</v>
      </c>
      <c r="B291" s="432"/>
      <c r="C291" s="433" t="s">
        <v>469</v>
      </c>
      <c r="D291" s="474">
        <f>D292</f>
        <v>2814010</v>
      </c>
      <c r="E291" s="483">
        <f>E292</f>
        <v>-91200</v>
      </c>
      <c r="F291" s="65">
        <f t="shared" si="4"/>
        <v>2722810</v>
      </c>
    </row>
    <row r="292" spans="1:6" ht="12.75">
      <c r="A292" s="43"/>
      <c r="B292" s="13"/>
      <c r="C292" s="80" t="s">
        <v>117</v>
      </c>
      <c r="D292" s="472">
        <f>SUM(D293:D294)</f>
        <v>2814010</v>
      </c>
      <c r="E292" s="481">
        <f>SUM(E293:E294)</f>
        <v>-91200</v>
      </c>
      <c r="F292" s="68">
        <f t="shared" si="4"/>
        <v>2722810</v>
      </c>
    </row>
    <row r="293" spans="1:6" ht="12.75">
      <c r="A293" s="43"/>
      <c r="B293" s="44"/>
      <c r="C293" s="76" t="s">
        <v>125</v>
      </c>
      <c r="D293" s="177">
        <f>D298+D303</f>
        <v>2061787</v>
      </c>
      <c r="E293" s="176">
        <f>E298+E303</f>
        <v>100967</v>
      </c>
      <c r="F293" s="81">
        <f t="shared" si="4"/>
        <v>2162754</v>
      </c>
    </row>
    <row r="294" spans="1:6" ht="12.75">
      <c r="A294" s="43"/>
      <c r="B294" s="44"/>
      <c r="C294" s="311" t="s">
        <v>118</v>
      </c>
      <c r="D294" s="177">
        <f>D299+D304+D308</f>
        <v>752223</v>
      </c>
      <c r="E294" s="176">
        <f>E299+E304+E308</f>
        <v>-192167</v>
      </c>
      <c r="F294" s="68">
        <f t="shared" si="4"/>
        <v>560056</v>
      </c>
    </row>
    <row r="295" spans="1:6" ht="12.75">
      <c r="A295" s="416"/>
      <c r="B295" s="39"/>
      <c r="C295" s="434"/>
      <c r="D295" s="177"/>
      <c r="E295" s="176"/>
      <c r="F295" s="68"/>
    </row>
    <row r="296" spans="1:6" ht="12.75">
      <c r="A296" s="416"/>
      <c r="B296" s="83">
        <v>85321</v>
      </c>
      <c r="C296" s="87" t="s">
        <v>755</v>
      </c>
      <c r="D296" s="177">
        <f>D297</f>
        <v>218000</v>
      </c>
      <c r="E296" s="176">
        <f>E297</f>
        <v>0</v>
      </c>
      <c r="F296" s="67">
        <f t="shared" si="4"/>
        <v>218000</v>
      </c>
    </row>
    <row r="297" spans="1:6" ht="12.75">
      <c r="A297" s="416"/>
      <c r="B297" s="39"/>
      <c r="C297" s="88" t="s">
        <v>117</v>
      </c>
      <c r="D297" s="234">
        <f>SUM(D298:D299)</f>
        <v>218000</v>
      </c>
      <c r="E297" s="480">
        <f>SUM(E298:E299)</f>
        <v>0</v>
      </c>
      <c r="F297" s="75">
        <f t="shared" si="4"/>
        <v>218000</v>
      </c>
    </row>
    <row r="298" spans="1:6" ht="12.75">
      <c r="A298" s="416"/>
      <c r="B298" s="39"/>
      <c r="C298" s="418" t="s">
        <v>125</v>
      </c>
      <c r="D298" s="177">
        <f>SUM('WYDATKI ukł.wyk.'!E396:E399)</f>
        <v>68758</v>
      </c>
      <c r="E298" s="176">
        <f>SUM('WYDATKI ukł.wyk.'!F396:F399)</f>
        <v>167</v>
      </c>
      <c r="F298" s="68">
        <f t="shared" si="4"/>
        <v>68925</v>
      </c>
    </row>
    <row r="299" spans="1:6" ht="12.75">
      <c r="A299" s="416"/>
      <c r="B299" s="51"/>
      <c r="C299" s="308" t="s">
        <v>118</v>
      </c>
      <c r="D299" s="177">
        <f>SUM('WYDATKI ukł.wyk.'!E400:E407)</f>
        <v>149242</v>
      </c>
      <c r="E299" s="176">
        <f>SUM('WYDATKI ukł.wyk.'!F400:F407)</f>
        <v>-167</v>
      </c>
      <c r="F299" s="68">
        <f t="shared" si="4"/>
        <v>149075</v>
      </c>
    </row>
    <row r="300" spans="1:6" ht="12.75">
      <c r="A300" s="416"/>
      <c r="B300" s="51"/>
      <c r="C300" s="311"/>
      <c r="D300" s="177"/>
      <c r="E300" s="176"/>
      <c r="F300" s="68"/>
    </row>
    <row r="301" spans="1:6" ht="12.75">
      <c r="A301" s="23"/>
      <c r="B301" s="83">
        <v>85333</v>
      </c>
      <c r="C301" s="78" t="s">
        <v>187</v>
      </c>
      <c r="D301" s="177">
        <f>D302</f>
        <v>2331010</v>
      </c>
      <c r="E301" s="176">
        <f>E302</f>
        <v>98800</v>
      </c>
      <c r="F301" s="68">
        <f t="shared" si="4"/>
        <v>2429810</v>
      </c>
    </row>
    <row r="302" spans="1:6" ht="12.75">
      <c r="A302" s="23"/>
      <c r="B302" s="39"/>
      <c r="C302" s="80" t="s">
        <v>117</v>
      </c>
      <c r="D302" s="234">
        <f>SUM(D303:D304)</f>
        <v>2331010</v>
      </c>
      <c r="E302" s="480">
        <f>SUM(E303:E304)</f>
        <v>98800</v>
      </c>
      <c r="F302" s="75">
        <f t="shared" si="4"/>
        <v>2429810</v>
      </c>
    </row>
    <row r="303" spans="1:6" ht="12.75">
      <c r="A303" s="23"/>
      <c r="B303" s="39"/>
      <c r="C303" s="76" t="s">
        <v>125</v>
      </c>
      <c r="D303" s="177">
        <f>SUM('WYDATKI ukł.wyk.'!E410:E414)</f>
        <v>1993029</v>
      </c>
      <c r="E303" s="176">
        <f>SUM('WYDATKI ukł.wyk.'!F410:F414)</f>
        <v>100800</v>
      </c>
      <c r="F303" s="68">
        <f t="shared" si="4"/>
        <v>2093829</v>
      </c>
    </row>
    <row r="304" spans="1:6" ht="12.75">
      <c r="A304" s="23"/>
      <c r="B304" s="39"/>
      <c r="C304" s="76" t="s">
        <v>118</v>
      </c>
      <c r="D304" s="310">
        <f>SUM('WYDATKI ukł.wyk.'!E415:E428)</f>
        <v>337981</v>
      </c>
      <c r="E304" s="447">
        <f>SUM('WYDATKI ukł.wyk.'!F415:F428)</f>
        <v>-2000</v>
      </c>
      <c r="F304" s="68">
        <f t="shared" si="4"/>
        <v>335981</v>
      </c>
    </row>
    <row r="305" spans="1:6" ht="12.75">
      <c r="A305" s="23"/>
      <c r="B305" s="39"/>
      <c r="C305" s="76"/>
      <c r="D305" s="177"/>
      <c r="E305" s="176"/>
      <c r="F305" s="68"/>
    </row>
    <row r="306" spans="1:6" ht="12.75">
      <c r="A306" s="23"/>
      <c r="B306" s="83">
        <v>85395</v>
      </c>
      <c r="C306" s="80" t="s">
        <v>157</v>
      </c>
      <c r="D306" s="177">
        <f>D307</f>
        <v>265000</v>
      </c>
      <c r="E306" s="176">
        <f>E307</f>
        <v>-190000</v>
      </c>
      <c r="F306" s="68">
        <f t="shared" si="4"/>
        <v>75000</v>
      </c>
    </row>
    <row r="307" spans="1:6" ht="12.75">
      <c r="A307" s="23"/>
      <c r="B307" s="39"/>
      <c r="C307" s="80" t="s">
        <v>117</v>
      </c>
      <c r="D307" s="234">
        <f>D308</f>
        <v>265000</v>
      </c>
      <c r="E307" s="480">
        <f>E308</f>
        <v>-190000</v>
      </c>
      <c r="F307" s="75">
        <f t="shared" si="4"/>
        <v>75000</v>
      </c>
    </row>
    <row r="308" spans="1:6" ht="12.75">
      <c r="A308" s="23"/>
      <c r="B308" s="39"/>
      <c r="C308" s="76" t="s">
        <v>118</v>
      </c>
      <c r="D308" s="177">
        <f>SUM('WYDATKI ukł.wyk.'!E431:E432)</f>
        <v>265000</v>
      </c>
      <c r="E308" s="176">
        <f>SUM('WYDATKI ukł.wyk.'!F431:F432)</f>
        <v>-190000</v>
      </c>
      <c r="F308" s="68">
        <f t="shared" si="4"/>
        <v>75000</v>
      </c>
    </row>
    <row r="309" spans="1:6" ht="12.75">
      <c r="A309" s="23"/>
      <c r="B309" s="39"/>
      <c r="C309" s="76"/>
      <c r="D309" s="177"/>
      <c r="E309" s="176"/>
      <c r="F309" s="68"/>
    </row>
    <row r="310" spans="1:6" ht="13.5" thickBot="1">
      <c r="A310" s="46">
        <v>854</v>
      </c>
      <c r="B310" s="42"/>
      <c r="C310" s="53" t="s">
        <v>188</v>
      </c>
      <c r="D310" s="307">
        <f>D311+D315</f>
        <v>3504550</v>
      </c>
      <c r="E310" s="265">
        <f>E311+E315</f>
        <v>-19506</v>
      </c>
      <c r="F310" s="65">
        <f aca="true" t="shared" si="5" ref="F310:F372">E310+D310</f>
        <v>3485044</v>
      </c>
    </row>
    <row r="311" spans="1:6" ht="12.75">
      <c r="A311" s="23"/>
      <c r="B311" s="39"/>
      <c r="C311" s="80" t="s">
        <v>117</v>
      </c>
      <c r="D311" s="472">
        <f>SUM(D312:D314)</f>
        <v>3356400</v>
      </c>
      <c r="E311" s="481">
        <f>SUM(E312:E314)</f>
        <v>17876</v>
      </c>
      <c r="F311" s="68">
        <f t="shared" si="5"/>
        <v>3374276</v>
      </c>
    </row>
    <row r="312" spans="1:6" ht="12.75">
      <c r="A312" s="23"/>
      <c r="B312" s="39"/>
      <c r="C312" s="76" t="s">
        <v>125</v>
      </c>
      <c r="D312" s="177">
        <f>D319+D325+D332+D337+D342</f>
        <v>1666839</v>
      </c>
      <c r="E312" s="176">
        <f>E319+E325+E332+E337+E342</f>
        <v>827</v>
      </c>
      <c r="F312" s="81">
        <f t="shared" si="5"/>
        <v>1667666</v>
      </c>
    </row>
    <row r="313" spans="1:6" ht="12.75">
      <c r="A313" s="23"/>
      <c r="B313" s="39"/>
      <c r="C313" s="311" t="s">
        <v>126</v>
      </c>
      <c r="D313" s="177">
        <f>D326</f>
        <v>86730</v>
      </c>
      <c r="E313" s="176">
        <f>E326</f>
        <v>654</v>
      </c>
      <c r="F313" s="68">
        <f t="shared" si="5"/>
        <v>87384</v>
      </c>
    </row>
    <row r="314" spans="1:6" ht="12.75">
      <c r="A314" s="23"/>
      <c r="B314" s="39"/>
      <c r="C314" s="76" t="s">
        <v>118</v>
      </c>
      <c r="D314" s="177">
        <f>D320+D327+D333+D338+D343+D352+D348</f>
        <v>1602831</v>
      </c>
      <c r="E314" s="176">
        <f>E320+E327+E333+E338+E343+E352+E348</f>
        <v>16395</v>
      </c>
      <c r="F314" s="68">
        <f t="shared" si="5"/>
        <v>1619226</v>
      </c>
    </row>
    <row r="315" spans="1:6" ht="12.75">
      <c r="A315" s="23"/>
      <c r="B315" s="39"/>
      <c r="C315" s="415" t="s">
        <v>127</v>
      </c>
      <c r="D315" s="235">
        <f>D344+D328</f>
        <v>148150</v>
      </c>
      <c r="E315" s="333">
        <f>E344+E328</f>
        <v>-37382</v>
      </c>
      <c r="F315" s="67">
        <f t="shared" si="5"/>
        <v>110768</v>
      </c>
    </row>
    <row r="316" spans="1:6" ht="12.75">
      <c r="A316" s="420"/>
      <c r="B316" s="50"/>
      <c r="C316" s="429"/>
      <c r="D316" s="177"/>
      <c r="E316" s="176"/>
      <c r="F316" s="68"/>
    </row>
    <row r="317" spans="1:6" ht="12.75">
      <c r="A317" s="23"/>
      <c r="B317" s="83">
        <v>85401</v>
      </c>
      <c r="C317" s="78" t="s">
        <v>189</v>
      </c>
      <c r="D317" s="177">
        <f>D318</f>
        <v>40366</v>
      </c>
      <c r="E317" s="176">
        <f>E318</f>
        <v>1012</v>
      </c>
      <c r="F317" s="68">
        <f t="shared" si="5"/>
        <v>41378</v>
      </c>
    </row>
    <row r="318" spans="1:6" ht="12.75">
      <c r="A318" s="23"/>
      <c r="B318" s="39"/>
      <c r="C318" s="80" t="s">
        <v>117</v>
      </c>
      <c r="D318" s="234">
        <f>SUM(D319:D320)</f>
        <v>40366</v>
      </c>
      <c r="E318" s="480">
        <f>SUM(E319:E320)</f>
        <v>1012</v>
      </c>
      <c r="F318" s="75">
        <f t="shared" si="5"/>
        <v>41378</v>
      </c>
    </row>
    <row r="319" spans="1:6" ht="12.75">
      <c r="A319" s="23"/>
      <c r="B319" s="39"/>
      <c r="C319" s="76" t="s">
        <v>125</v>
      </c>
      <c r="D319" s="177">
        <f>SUM('WYDATKI ukł.wyk.'!E437:E440)</f>
        <v>36575</v>
      </c>
      <c r="E319" s="176">
        <f>SUM('WYDATKI ukł.wyk.'!F437:F440)</f>
        <v>309</v>
      </c>
      <c r="F319" s="68">
        <f t="shared" si="5"/>
        <v>36884</v>
      </c>
    </row>
    <row r="320" spans="1:6" ht="12.75">
      <c r="A320" s="23"/>
      <c r="B320" s="39"/>
      <c r="C320" s="76" t="s">
        <v>118</v>
      </c>
      <c r="D320" s="177">
        <f>SUM('WYDATKI ukł.wyk.'!E441:E442)+'WYDATKI ukł.wyk.'!E436</f>
        <v>3791</v>
      </c>
      <c r="E320" s="176">
        <f>SUM('WYDATKI ukł.wyk.'!F441:F442)+'WYDATKI ukł.wyk.'!F436</f>
        <v>703</v>
      </c>
      <c r="F320" s="68">
        <f t="shared" si="5"/>
        <v>4494</v>
      </c>
    </row>
    <row r="321" spans="1:6" ht="12.75">
      <c r="A321" s="23"/>
      <c r="B321" s="39"/>
      <c r="C321" s="76"/>
      <c r="D321" s="177"/>
      <c r="E321" s="176"/>
      <c r="F321" s="68"/>
    </row>
    <row r="322" spans="1:6" ht="12.75">
      <c r="A322" s="23"/>
      <c r="B322" s="39">
        <v>85406</v>
      </c>
      <c r="C322" s="76" t="s">
        <v>190</v>
      </c>
      <c r="D322" s="177"/>
      <c r="E322" s="176"/>
      <c r="F322" s="68"/>
    </row>
    <row r="323" spans="1:6" ht="12.75">
      <c r="A323" s="23"/>
      <c r="B323" s="83"/>
      <c r="C323" s="78" t="s">
        <v>191</v>
      </c>
      <c r="D323" s="177">
        <f>D324+D328</f>
        <v>573346</v>
      </c>
      <c r="E323" s="176">
        <f>E324+E328</f>
        <v>2768</v>
      </c>
      <c r="F323" s="68">
        <f t="shared" si="5"/>
        <v>576114</v>
      </c>
    </row>
    <row r="324" spans="1:6" ht="12.75">
      <c r="A324" s="23"/>
      <c r="B324" s="39"/>
      <c r="C324" s="80" t="s">
        <v>117</v>
      </c>
      <c r="D324" s="234">
        <f>SUM(D325:D327)</f>
        <v>527346</v>
      </c>
      <c r="E324" s="480">
        <f>SUM(E325:E327)</f>
        <v>2768</v>
      </c>
      <c r="F324" s="75">
        <f t="shared" si="5"/>
        <v>530114</v>
      </c>
    </row>
    <row r="325" spans="1:6" ht="12.75">
      <c r="A325" s="23"/>
      <c r="B325" s="39"/>
      <c r="C325" s="76" t="s">
        <v>125</v>
      </c>
      <c r="D325" s="177">
        <f>SUM('WYDATKI ukł.wyk.'!E447:E451)</f>
        <v>386539</v>
      </c>
      <c r="E325" s="176">
        <f>SUM('WYDATKI ukł.wyk.'!F447:F451)</f>
        <v>0</v>
      </c>
      <c r="F325" s="68">
        <f t="shared" si="5"/>
        <v>386539</v>
      </c>
    </row>
    <row r="326" spans="1:6" ht="12.75">
      <c r="A326" s="23"/>
      <c r="B326" s="39"/>
      <c r="C326" s="311" t="s">
        <v>126</v>
      </c>
      <c r="D326" s="177">
        <f>'WYDATKI ukł.wyk.'!E445</f>
        <v>86730</v>
      </c>
      <c r="E326" s="176">
        <f>'WYDATKI ukł.wyk.'!F445</f>
        <v>654</v>
      </c>
      <c r="F326" s="68">
        <f t="shared" si="5"/>
        <v>87384</v>
      </c>
    </row>
    <row r="327" spans="1:6" ht="12.75">
      <c r="A327" s="23"/>
      <c r="B327" s="10"/>
      <c r="C327" s="76" t="s">
        <v>118</v>
      </c>
      <c r="D327" s="177">
        <f>SUM('WYDATKI ukł.wyk.'!E452:E461)+'WYDATKI ukł.wyk.'!E446</f>
        <v>54077</v>
      </c>
      <c r="E327" s="176">
        <f>SUM('WYDATKI ukł.wyk.'!F452:F461)+'WYDATKI ukł.wyk.'!F446</f>
        <v>2114</v>
      </c>
      <c r="F327" s="68">
        <f t="shared" si="5"/>
        <v>56191</v>
      </c>
    </row>
    <row r="328" spans="1:6" ht="12.75">
      <c r="A328" s="23"/>
      <c r="B328" s="10"/>
      <c r="C328" s="415" t="s">
        <v>127</v>
      </c>
      <c r="D328" s="235">
        <f>'WYDATKI ukł.wyk.'!E462+'WYDATKI ukł.wyk.'!E463</f>
        <v>46000</v>
      </c>
      <c r="E328" s="235">
        <f>'WYDATKI ukł.wyk.'!F462+'WYDATKI ukł.wyk.'!F463</f>
        <v>0</v>
      </c>
      <c r="F328" s="68">
        <f t="shared" si="5"/>
        <v>46000</v>
      </c>
    </row>
    <row r="329" spans="1:6" ht="12.75">
      <c r="A329" s="23"/>
      <c r="B329" s="10"/>
      <c r="C329" s="76"/>
      <c r="D329" s="177"/>
      <c r="E329" s="176"/>
      <c r="F329" s="81"/>
    </row>
    <row r="330" spans="1:6" ht="12.75">
      <c r="A330" s="23"/>
      <c r="B330" s="83">
        <v>85410</v>
      </c>
      <c r="C330" s="78" t="s">
        <v>192</v>
      </c>
      <c r="D330" s="177">
        <f>D331</f>
        <v>216392</v>
      </c>
      <c r="E330" s="176">
        <f>E331</f>
        <v>3140</v>
      </c>
      <c r="F330" s="67">
        <f t="shared" si="5"/>
        <v>219532</v>
      </c>
    </row>
    <row r="331" spans="1:6" ht="12.75">
      <c r="A331" s="23"/>
      <c r="B331" s="39"/>
      <c r="C331" s="80" t="s">
        <v>117</v>
      </c>
      <c r="D331" s="234">
        <f>SUM(D332:D333)</f>
        <v>216392</v>
      </c>
      <c r="E331" s="480">
        <f>SUM(E332:E333)</f>
        <v>3140</v>
      </c>
      <c r="F331" s="75">
        <f t="shared" si="5"/>
        <v>219532</v>
      </c>
    </row>
    <row r="332" spans="1:6" ht="12.75">
      <c r="A332" s="23"/>
      <c r="B332" s="39"/>
      <c r="C332" s="76" t="s">
        <v>125</v>
      </c>
      <c r="D332" s="177">
        <f>SUM('WYDATKI ukł.wyk.'!E467:E471)</f>
        <v>91839</v>
      </c>
      <c r="E332" s="176">
        <f>SUM('WYDATKI ukł.wyk.'!F467:F471)</f>
        <v>670</v>
      </c>
      <c r="F332" s="68">
        <f t="shared" si="5"/>
        <v>92509</v>
      </c>
    </row>
    <row r="333" spans="1:6" ht="12.75">
      <c r="A333" s="23"/>
      <c r="B333" s="39"/>
      <c r="C333" s="76" t="s">
        <v>118</v>
      </c>
      <c r="D333" s="177">
        <f>SUM('WYDATKI ukł.wyk.'!E472:E479)+'WYDATKI ukł.wyk.'!E466</f>
        <v>124553</v>
      </c>
      <c r="E333" s="176">
        <f>SUM('WYDATKI ukł.wyk.'!F472:F479)+'WYDATKI ukł.wyk.'!F466</f>
        <v>2470</v>
      </c>
      <c r="F333" s="68">
        <f t="shared" si="5"/>
        <v>127023</v>
      </c>
    </row>
    <row r="334" spans="1:6" ht="12.75">
      <c r="A334" s="23"/>
      <c r="B334" s="39"/>
      <c r="C334" s="76"/>
      <c r="D334" s="177"/>
      <c r="E334" s="176"/>
      <c r="F334" s="68"/>
    </row>
    <row r="335" spans="1:6" ht="12.75">
      <c r="A335" s="23"/>
      <c r="B335" s="83">
        <v>85415</v>
      </c>
      <c r="C335" s="78" t="s">
        <v>518</v>
      </c>
      <c r="D335" s="177">
        <f>D336</f>
        <v>841569</v>
      </c>
      <c r="E335" s="176">
        <f>E336</f>
        <v>-26426</v>
      </c>
      <c r="F335" s="68">
        <f t="shared" si="5"/>
        <v>815143</v>
      </c>
    </row>
    <row r="336" spans="1:6" ht="12.75">
      <c r="A336" s="23"/>
      <c r="B336" s="39"/>
      <c r="C336" s="427" t="s">
        <v>117</v>
      </c>
      <c r="D336" s="234">
        <f>SUM(D337:D338)</f>
        <v>841569</v>
      </c>
      <c r="E336" s="480">
        <f>SUM(E337:E338)</f>
        <v>-26426</v>
      </c>
      <c r="F336" s="75">
        <f t="shared" si="5"/>
        <v>815143</v>
      </c>
    </row>
    <row r="337" spans="1:6" ht="12.75">
      <c r="A337" s="23"/>
      <c r="B337" s="39"/>
      <c r="C337" s="76" t="s">
        <v>125</v>
      </c>
      <c r="D337" s="177">
        <f>SUM('WYDATKI ukł.wyk.'!E485:E489)</f>
        <v>3637</v>
      </c>
      <c r="E337" s="176">
        <f>SUM('WYDATKI ukł.wyk.'!F485:F489)</f>
        <v>3750</v>
      </c>
      <c r="F337" s="68">
        <f t="shared" si="5"/>
        <v>7387</v>
      </c>
    </row>
    <row r="338" spans="1:6" ht="12.75">
      <c r="A338" s="23"/>
      <c r="B338" s="39"/>
      <c r="C338" s="76" t="s">
        <v>118</v>
      </c>
      <c r="D338" s="177">
        <f>SUM('WYDATKI ukł.wyk.'!E482:E484)+'WYDATKI ukł.wyk.'!E490</f>
        <v>837932</v>
      </c>
      <c r="E338" s="177">
        <f>SUM('WYDATKI ukł.wyk.'!F482:F484)+'WYDATKI ukł.wyk.'!F490</f>
        <v>-30176</v>
      </c>
      <c r="F338" s="68">
        <f t="shared" si="5"/>
        <v>807756</v>
      </c>
    </row>
    <row r="339" spans="1:6" ht="12.75">
      <c r="A339" s="23"/>
      <c r="B339" s="39"/>
      <c r="C339" s="76"/>
      <c r="D339" s="177"/>
      <c r="E339" s="176"/>
      <c r="F339" s="68"/>
    </row>
    <row r="340" spans="1:6" ht="12.75">
      <c r="A340" s="23"/>
      <c r="B340" s="83">
        <v>85420</v>
      </c>
      <c r="C340" s="80" t="s">
        <v>519</v>
      </c>
      <c r="D340" s="177">
        <f>D341+D344</f>
        <v>1825471</v>
      </c>
      <c r="E340" s="176">
        <f>E341+E344</f>
        <v>0</v>
      </c>
      <c r="F340" s="68">
        <f t="shared" si="5"/>
        <v>1825471</v>
      </c>
    </row>
    <row r="341" spans="1:6" ht="12.75">
      <c r="A341" s="23"/>
      <c r="B341" s="39"/>
      <c r="C341" s="415" t="s">
        <v>117</v>
      </c>
      <c r="D341" s="234">
        <f>SUM(D342:D343)</f>
        <v>1723321</v>
      </c>
      <c r="E341" s="480">
        <f>SUM(E342:E343)</f>
        <v>37382</v>
      </c>
      <c r="F341" s="75">
        <f t="shared" si="5"/>
        <v>1760703</v>
      </c>
    </row>
    <row r="342" spans="1:6" ht="12.75">
      <c r="A342" s="23"/>
      <c r="B342" s="39"/>
      <c r="C342" s="76" t="s">
        <v>125</v>
      </c>
      <c r="D342" s="177">
        <f>SUM('WYDATKI ukł.wyk.'!E495:E499)</f>
        <v>1148249</v>
      </c>
      <c r="E342" s="176">
        <f>SUM('WYDATKI ukł.wyk.'!F495:F499)</f>
        <v>-3902</v>
      </c>
      <c r="F342" s="68">
        <f t="shared" si="5"/>
        <v>1144347</v>
      </c>
    </row>
    <row r="343" spans="1:6" ht="12.75">
      <c r="A343" s="23"/>
      <c r="B343" s="39"/>
      <c r="C343" s="76" t="s">
        <v>118</v>
      </c>
      <c r="D343" s="177">
        <f>SUM('WYDATKI ukł.wyk.'!E500:E507)+'WYDATKI ukł.wyk.'!E493+'WYDATKI ukł.wyk.'!E494</f>
        <v>575072</v>
      </c>
      <c r="E343" s="176">
        <f>SUM('WYDATKI ukł.wyk.'!F500:F507)+'WYDATKI ukł.wyk.'!F493+'WYDATKI ukł.wyk.'!F494</f>
        <v>41284</v>
      </c>
      <c r="F343" s="68">
        <f t="shared" si="5"/>
        <v>616356</v>
      </c>
    </row>
    <row r="344" spans="1:6" ht="12.75">
      <c r="A344" s="23"/>
      <c r="B344" s="39"/>
      <c r="C344" s="415" t="s">
        <v>127</v>
      </c>
      <c r="D344" s="235">
        <f>'WYDATKI ukł.wyk.'!E508</f>
        <v>102150</v>
      </c>
      <c r="E344" s="333">
        <f>'WYDATKI ukł.wyk.'!F508</f>
        <v>-37382</v>
      </c>
      <c r="F344" s="68">
        <f t="shared" si="5"/>
        <v>64768</v>
      </c>
    </row>
    <row r="345" spans="1:6" ht="12.75">
      <c r="A345" s="23"/>
      <c r="B345" s="39"/>
      <c r="C345" s="76"/>
      <c r="D345" s="177"/>
      <c r="E345" s="176"/>
      <c r="F345" s="81"/>
    </row>
    <row r="346" spans="1:6" ht="12.75">
      <c r="A346" s="23"/>
      <c r="B346" s="83">
        <v>85446</v>
      </c>
      <c r="C346" s="80" t="s">
        <v>520</v>
      </c>
      <c r="D346" s="235">
        <f>D347</f>
        <v>748</v>
      </c>
      <c r="E346" s="333">
        <f>E347</f>
        <v>0</v>
      </c>
      <c r="F346" s="67">
        <f t="shared" si="5"/>
        <v>748</v>
      </c>
    </row>
    <row r="347" spans="1:6" ht="12.75">
      <c r="A347" s="23"/>
      <c r="B347" s="39"/>
      <c r="C347" s="415" t="s">
        <v>117</v>
      </c>
      <c r="D347" s="234">
        <f>D348</f>
        <v>748</v>
      </c>
      <c r="E347" s="480">
        <f>E348</f>
        <v>0</v>
      </c>
      <c r="F347" s="75">
        <f t="shared" si="5"/>
        <v>748</v>
      </c>
    </row>
    <row r="348" spans="1:6" ht="12.75">
      <c r="A348" s="23"/>
      <c r="B348" s="39"/>
      <c r="C348" s="76" t="s">
        <v>118</v>
      </c>
      <c r="D348" s="177">
        <f>'WYDATKI ukł.wyk.'!E511+'WYDATKI ukł.wyk.'!E512</f>
        <v>748</v>
      </c>
      <c r="E348" s="176">
        <f>'WYDATKI ukł.wyk.'!F511+'WYDATKI ukł.wyk.'!F512</f>
        <v>0</v>
      </c>
      <c r="F348" s="68">
        <f t="shared" si="5"/>
        <v>748</v>
      </c>
    </row>
    <row r="349" spans="1:6" ht="12.75">
      <c r="A349" s="23"/>
      <c r="B349" s="39"/>
      <c r="C349" s="76"/>
      <c r="D349" s="177"/>
      <c r="E349" s="176"/>
      <c r="F349" s="68"/>
    </row>
    <row r="350" spans="1:6" ht="12.75">
      <c r="A350" s="23"/>
      <c r="B350" s="83">
        <v>85495</v>
      </c>
      <c r="C350" s="80" t="s">
        <v>157</v>
      </c>
      <c r="D350" s="177">
        <f>D351</f>
        <v>6658</v>
      </c>
      <c r="E350" s="176">
        <f>E351</f>
        <v>0</v>
      </c>
      <c r="F350" s="68">
        <f t="shared" si="5"/>
        <v>6658</v>
      </c>
    </row>
    <row r="351" spans="1:6" ht="12.75">
      <c r="A351" s="23"/>
      <c r="B351" s="51"/>
      <c r="C351" s="427" t="s">
        <v>117</v>
      </c>
      <c r="D351" s="234">
        <f>D352</f>
        <v>6658</v>
      </c>
      <c r="E351" s="480">
        <f>E352</f>
        <v>0</v>
      </c>
      <c r="F351" s="75">
        <f t="shared" si="5"/>
        <v>6658</v>
      </c>
    </row>
    <row r="352" spans="1:6" ht="12.75">
      <c r="A352" s="23"/>
      <c r="B352" s="39"/>
      <c r="C352" s="76" t="s">
        <v>118</v>
      </c>
      <c r="D352" s="177">
        <f>SUM('WYDATKI ukł.wyk.'!E515)</f>
        <v>6658</v>
      </c>
      <c r="E352" s="176">
        <f>SUM('WYDATKI ukł.wyk.'!F515)</f>
        <v>0</v>
      </c>
      <c r="F352" s="68">
        <f t="shared" si="5"/>
        <v>6658</v>
      </c>
    </row>
    <row r="353" spans="1:6" ht="12.75">
      <c r="A353" s="23"/>
      <c r="B353" s="39"/>
      <c r="C353" s="76"/>
      <c r="D353" s="177"/>
      <c r="E353" s="176"/>
      <c r="F353" s="68"/>
    </row>
    <row r="354" spans="1:6" ht="12.75">
      <c r="A354" s="392" t="s">
        <v>193</v>
      </c>
      <c r="B354" s="50"/>
      <c r="C354" s="419" t="s">
        <v>194</v>
      </c>
      <c r="D354" s="177"/>
      <c r="E354" s="176"/>
      <c r="F354" s="68"/>
    </row>
    <row r="355" spans="1:6" ht="13.5" thickBot="1">
      <c r="A355" s="41"/>
      <c r="B355" s="64"/>
      <c r="C355" s="312" t="s">
        <v>195</v>
      </c>
      <c r="D355" s="307">
        <f>D356</f>
        <v>55000</v>
      </c>
      <c r="E355" s="265">
        <f>E356</f>
        <v>0</v>
      </c>
      <c r="F355" s="65">
        <f t="shared" si="5"/>
        <v>55000</v>
      </c>
    </row>
    <row r="356" spans="1:6" ht="12.75">
      <c r="A356" s="416"/>
      <c r="B356" s="50"/>
      <c r="C356" s="80" t="s">
        <v>117</v>
      </c>
      <c r="D356" s="472">
        <f>SUM(D357:D358)</f>
        <v>55000</v>
      </c>
      <c r="E356" s="481">
        <f>SUM(E357:E358)</f>
        <v>0</v>
      </c>
      <c r="F356" s="68">
        <f t="shared" si="5"/>
        <v>55000</v>
      </c>
    </row>
    <row r="357" spans="1:6" ht="12.75">
      <c r="A357" s="416"/>
      <c r="B357" s="50"/>
      <c r="C357" s="311" t="s">
        <v>126</v>
      </c>
      <c r="D357" s="177">
        <f>D362+D367</f>
        <v>39000</v>
      </c>
      <c r="E357" s="176">
        <f>E362+E367</f>
        <v>0</v>
      </c>
      <c r="F357" s="81">
        <f t="shared" si="5"/>
        <v>39000</v>
      </c>
    </row>
    <row r="358" spans="1:6" ht="12.75">
      <c r="A358" s="416"/>
      <c r="B358" s="50"/>
      <c r="C358" s="76" t="s">
        <v>118</v>
      </c>
      <c r="D358" s="177">
        <f>D363</f>
        <v>16000</v>
      </c>
      <c r="E358" s="176">
        <f>E363</f>
        <v>0</v>
      </c>
      <c r="F358" s="68">
        <f t="shared" si="5"/>
        <v>16000</v>
      </c>
    </row>
    <row r="359" spans="1:6" ht="12.75">
      <c r="A359" s="416"/>
      <c r="B359" s="50"/>
      <c r="C359" s="76"/>
      <c r="D359" s="177"/>
      <c r="E359" s="176"/>
      <c r="F359" s="68"/>
    </row>
    <row r="360" spans="1:6" ht="12.75">
      <c r="A360" s="416"/>
      <c r="B360" s="70" t="s">
        <v>196</v>
      </c>
      <c r="C360" s="80" t="s">
        <v>197</v>
      </c>
      <c r="D360" s="177">
        <f>D361</f>
        <v>20000</v>
      </c>
      <c r="E360" s="176">
        <f>E361</f>
        <v>0</v>
      </c>
      <c r="F360" s="67">
        <f t="shared" si="5"/>
        <v>20000</v>
      </c>
    </row>
    <row r="361" spans="1:6" ht="12.75">
      <c r="A361" s="416"/>
      <c r="B361" s="50"/>
      <c r="C361" s="80" t="s">
        <v>117</v>
      </c>
      <c r="D361" s="234">
        <f>SUM(D362:D363)</f>
        <v>20000</v>
      </c>
      <c r="E361" s="480">
        <f>SUM(E362:E363)</f>
        <v>0</v>
      </c>
      <c r="F361" s="75">
        <f t="shared" si="5"/>
        <v>20000</v>
      </c>
    </row>
    <row r="362" spans="1:6" ht="12.75">
      <c r="A362" s="416"/>
      <c r="B362" s="50"/>
      <c r="C362" s="311" t="s">
        <v>126</v>
      </c>
      <c r="D362" s="177">
        <f>'WYDATKI ukł.wyk.'!E519</f>
        <v>4000</v>
      </c>
      <c r="E362" s="176">
        <f>'WYDATKI ukł.wyk.'!F519</f>
        <v>0</v>
      </c>
      <c r="F362" s="68">
        <f t="shared" si="5"/>
        <v>4000</v>
      </c>
    </row>
    <row r="363" spans="1:6" ht="12.75">
      <c r="A363" s="416"/>
      <c r="B363" s="50"/>
      <c r="C363" s="76" t="s">
        <v>118</v>
      </c>
      <c r="D363" s="177">
        <f>SUM('WYDATKI ukł.wyk.'!E521:E523)</f>
        <v>16000</v>
      </c>
      <c r="E363" s="176">
        <f>SUM('WYDATKI ukł.wyk.'!F521:F523)</f>
        <v>0</v>
      </c>
      <c r="F363" s="68">
        <f t="shared" si="5"/>
        <v>16000</v>
      </c>
    </row>
    <row r="364" spans="1:6" ht="12.75">
      <c r="A364" s="416"/>
      <c r="B364" s="50"/>
      <c r="C364" s="434"/>
      <c r="D364" s="177"/>
      <c r="E364" s="176"/>
      <c r="F364" s="68"/>
    </row>
    <row r="365" spans="1:6" ht="12.75">
      <c r="A365" s="416"/>
      <c r="B365" s="70" t="s">
        <v>198</v>
      </c>
      <c r="C365" s="88" t="s">
        <v>199</v>
      </c>
      <c r="D365" s="177">
        <f>D366</f>
        <v>35000</v>
      </c>
      <c r="E365" s="176">
        <f>E366</f>
        <v>0</v>
      </c>
      <c r="F365" s="68">
        <f t="shared" si="5"/>
        <v>35000</v>
      </c>
    </row>
    <row r="366" spans="1:6" ht="12.75">
      <c r="A366" s="416"/>
      <c r="B366" s="50"/>
      <c r="C366" s="88" t="s">
        <v>117</v>
      </c>
      <c r="D366" s="234">
        <f>D367</f>
        <v>35000</v>
      </c>
      <c r="E366" s="480">
        <f>E367</f>
        <v>0</v>
      </c>
      <c r="F366" s="75">
        <f t="shared" si="5"/>
        <v>35000</v>
      </c>
    </row>
    <row r="367" spans="1:6" ht="12.75">
      <c r="A367" s="416"/>
      <c r="B367" s="50"/>
      <c r="C367" s="308" t="s">
        <v>126</v>
      </c>
      <c r="D367" s="177">
        <f>'WYDATKI ukł.wyk.'!E526</f>
        <v>35000</v>
      </c>
      <c r="E367" s="176">
        <f>'WYDATKI ukł.wyk.'!F526</f>
        <v>0</v>
      </c>
      <c r="F367" s="68">
        <f t="shared" si="5"/>
        <v>35000</v>
      </c>
    </row>
    <row r="368" spans="1:6" ht="12.75">
      <c r="A368" s="416"/>
      <c r="B368" s="50"/>
      <c r="C368" s="434"/>
      <c r="D368" s="177"/>
      <c r="E368" s="176"/>
      <c r="F368" s="68"/>
    </row>
    <row r="369" spans="1:6" ht="13.5" thickBot="1">
      <c r="A369" s="41" t="s">
        <v>200</v>
      </c>
      <c r="B369" s="64"/>
      <c r="C369" s="435" t="s">
        <v>201</v>
      </c>
      <c r="D369" s="307">
        <f>D370</f>
        <v>103000</v>
      </c>
      <c r="E369" s="265">
        <f>E370</f>
        <v>0</v>
      </c>
      <c r="F369" s="65">
        <f t="shared" si="5"/>
        <v>103000</v>
      </c>
    </row>
    <row r="370" spans="1:6" ht="12.75">
      <c r="A370" s="416"/>
      <c r="B370" s="50"/>
      <c r="C370" s="88" t="s">
        <v>117</v>
      </c>
      <c r="D370" s="472">
        <f aca="true" t="shared" si="6" ref="D370:E372">D376</f>
        <v>103000</v>
      </c>
      <c r="E370" s="481">
        <f t="shared" si="6"/>
        <v>0</v>
      </c>
      <c r="F370" s="490">
        <f t="shared" si="5"/>
        <v>103000</v>
      </c>
    </row>
    <row r="371" spans="1:6" ht="12.75">
      <c r="A371" s="416"/>
      <c r="B371" s="50"/>
      <c r="C371" s="308" t="s">
        <v>126</v>
      </c>
      <c r="D371" s="177">
        <f t="shared" si="6"/>
        <v>70000</v>
      </c>
      <c r="E371" s="176">
        <f t="shared" si="6"/>
        <v>0</v>
      </c>
      <c r="F371" s="68">
        <f t="shared" si="5"/>
        <v>70000</v>
      </c>
    </row>
    <row r="372" spans="1:6" ht="12.75">
      <c r="A372" s="416"/>
      <c r="B372" s="50"/>
      <c r="C372" s="434" t="s">
        <v>118</v>
      </c>
      <c r="D372" s="177">
        <f t="shared" si="6"/>
        <v>33000</v>
      </c>
      <c r="E372" s="176">
        <f t="shared" si="6"/>
        <v>0</v>
      </c>
      <c r="F372" s="68">
        <f t="shared" si="5"/>
        <v>33000</v>
      </c>
    </row>
    <row r="373" spans="1:6" ht="12.75">
      <c r="A373" s="416"/>
      <c r="B373" s="50"/>
      <c r="C373" s="434"/>
      <c r="D373" s="177"/>
      <c r="E373" s="176"/>
      <c r="F373" s="68"/>
    </row>
    <row r="374" spans="1:6" ht="12.75">
      <c r="A374" s="416"/>
      <c r="B374" s="50" t="s">
        <v>202</v>
      </c>
      <c r="C374" s="434" t="s">
        <v>203</v>
      </c>
      <c r="D374" s="475"/>
      <c r="E374" s="484"/>
      <c r="F374" s="68"/>
    </row>
    <row r="375" spans="1:6" ht="12.75">
      <c r="A375" s="416"/>
      <c r="B375" s="70"/>
      <c r="C375" s="88" t="s">
        <v>204</v>
      </c>
      <c r="D375" s="177">
        <f>D376</f>
        <v>103000</v>
      </c>
      <c r="E375" s="176">
        <f>E376</f>
        <v>0</v>
      </c>
      <c r="F375" s="68">
        <f aca="true" t="shared" si="7" ref="F375:F387">E375+D375</f>
        <v>103000</v>
      </c>
    </row>
    <row r="376" spans="1:6" ht="12.75">
      <c r="A376" s="416"/>
      <c r="B376" s="50"/>
      <c r="C376" s="88" t="s">
        <v>117</v>
      </c>
      <c r="D376" s="234">
        <f>SUM(D377:D378)</f>
        <v>103000</v>
      </c>
      <c r="E376" s="480">
        <f>SUM(E377:E378)</f>
        <v>0</v>
      </c>
      <c r="F376" s="75">
        <f t="shared" si="7"/>
        <v>103000</v>
      </c>
    </row>
    <row r="377" spans="1:6" ht="12.75">
      <c r="A377" s="416"/>
      <c r="B377" s="50"/>
      <c r="C377" s="308" t="s">
        <v>126</v>
      </c>
      <c r="D377" s="177">
        <f>'WYDATKI ukł.wyk.'!E530</f>
        <v>70000</v>
      </c>
      <c r="E377" s="176">
        <f>'WYDATKI ukł.wyk.'!F530</f>
        <v>0</v>
      </c>
      <c r="F377" s="68">
        <f t="shared" si="7"/>
        <v>70000</v>
      </c>
    </row>
    <row r="378" spans="1:6" ht="12.75">
      <c r="A378" s="416"/>
      <c r="B378" s="50"/>
      <c r="C378" s="434" t="s">
        <v>118</v>
      </c>
      <c r="D378" s="177">
        <f>SUM('WYDATKI ukł.wyk.'!E532:E534)</f>
        <v>33000</v>
      </c>
      <c r="E378" s="176">
        <f>SUM('WYDATKI ukł.wyk.'!F532:F534)</f>
        <v>0</v>
      </c>
      <c r="F378" s="68">
        <f t="shared" si="7"/>
        <v>33000</v>
      </c>
    </row>
    <row r="379" spans="1:6" ht="13.5" thickBot="1">
      <c r="A379" s="436"/>
      <c r="B379" s="437"/>
      <c r="C379" s="438"/>
      <c r="D379" s="181"/>
      <c r="E379" s="137"/>
      <c r="F379" s="102"/>
    </row>
    <row r="380" spans="1:6" ht="9.75" customHeight="1">
      <c r="A380" s="439"/>
      <c r="B380" s="90"/>
      <c r="C380" s="742" t="s">
        <v>205</v>
      </c>
      <c r="D380" s="738">
        <f>D14+D27+D39+D53+D63+D71+D91+D131+D143+D157+D165+D217+D291+D310+D355+D369+D240+D209+D123</f>
        <v>34905802</v>
      </c>
      <c r="E380" s="738">
        <f>E14+E27+E39+E53+E63+E71+E91+E131+E143+E157+E165+E217+E291+E310+E355+E369+E240+E209+E123</f>
        <v>191615</v>
      </c>
      <c r="F380" s="736">
        <f t="shared" si="7"/>
        <v>35097417</v>
      </c>
    </row>
    <row r="381" spans="1:6" ht="12.75" customHeight="1" thickBot="1">
      <c r="A381" s="440"/>
      <c r="B381" s="440"/>
      <c r="C381" s="743"/>
      <c r="D381" s="739"/>
      <c r="E381" s="739"/>
      <c r="F381" s="737"/>
    </row>
    <row r="382" spans="1:8" ht="13.5" thickBot="1">
      <c r="A382" s="440"/>
      <c r="B382" s="440"/>
      <c r="C382" s="441" t="s">
        <v>117</v>
      </c>
      <c r="D382" s="476">
        <f>D15+D28+D40+D54+D64+D72+D92+D132+D144+D158+D166+D218+D292+D311+D356+D370+D241+D210+D124</f>
        <v>31479000</v>
      </c>
      <c r="E382" s="476">
        <f>E15+E28+E40+E54+E64+E72+E92+E132+E144+E158+E166+E218+E292+E311+E356+E370+E241+E210+E124</f>
        <v>545854</v>
      </c>
      <c r="F382" s="388">
        <f t="shared" si="7"/>
        <v>32024854</v>
      </c>
      <c r="H382" s="30"/>
    </row>
    <row r="383" spans="1:6" ht="12.75">
      <c r="A383" s="440"/>
      <c r="B383" s="440"/>
      <c r="C383" s="318" t="s">
        <v>125</v>
      </c>
      <c r="D383" s="477">
        <f>D41+D73+D93+D167+D293+D312+D242</f>
        <v>16364209</v>
      </c>
      <c r="E383" s="477">
        <f>E41+E73+E93+E167+E293+E312+E242</f>
        <v>46110</v>
      </c>
      <c r="F383" s="68">
        <f t="shared" si="7"/>
        <v>16410319</v>
      </c>
    </row>
    <row r="384" spans="1:6" ht="12.75">
      <c r="A384" s="440"/>
      <c r="B384" s="440"/>
      <c r="C384" s="318" t="s">
        <v>126</v>
      </c>
      <c r="D384" s="477">
        <f>D55+D313+D357+D371+D42+D243+D206+D94+D220</f>
        <v>889405</v>
      </c>
      <c r="E384" s="477">
        <f>E55+E313+E357+E371+E42+E243+E206+E94+E220</f>
        <v>24932</v>
      </c>
      <c r="F384" s="68">
        <f t="shared" si="7"/>
        <v>914337</v>
      </c>
    </row>
    <row r="385" spans="1:6" ht="12.75">
      <c r="A385" s="440"/>
      <c r="B385" s="440"/>
      <c r="C385" s="442" t="s">
        <v>164</v>
      </c>
      <c r="D385" s="477">
        <f>D145</f>
        <v>821049</v>
      </c>
      <c r="E385" s="477">
        <f>E145</f>
        <v>0</v>
      </c>
      <c r="F385" s="68">
        <f t="shared" si="7"/>
        <v>821049</v>
      </c>
    </row>
    <row r="386" spans="1:6" ht="13.5" thickBot="1">
      <c r="A386" s="440"/>
      <c r="B386" s="440"/>
      <c r="C386" s="318" t="s">
        <v>118</v>
      </c>
      <c r="D386" s="139">
        <f>D16+D29+D43+D56+D65+D74+D95+D133+D159+D169+D219+D294+D314+D358+D372+D244+D211+D125</f>
        <v>13404337</v>
      </c>
      <c r="E386" s="139">
        <f>E16+E29+E43+E56+E65+E74+E95+E133+E159+E169+E219+E294+E314+E358+E372+E244+E211+E125</f>
        <v>474812</v>
      </c>
      <c r="F386" s="102">
        <f t="shared" si="7"/>
        <v>13879149</v>
      </c>
    </row>
    <row r="387" spans="1:6" ht="13.5" thickBot="1">
      <c r="A387" s="440"/>
      <c r="B387" s="440"/>
      <c r="C387" s="443" t="s">
        <v>127</v>
      </c>
      <c r="D387" s="476">
        <f>D245+D75+D315+D96+D170+D134+D44</f>
        <v>3426802</v>
      </c>
      <c r="E387" s="485">
        <f>E245+E75+E315+E96+E170+E134+E44</f>
        <v>-354239</v>
      </c>
      <c r="F387" s="388">
        <f t="shared" si="7"/>
        <v>3072563</v>
      </c>
    </row>
    <row r="388" spans="1:4" ht="12.75">
      <c r="A388" s="55"/>
      <c r="B388" s="55"/>
      <c r="C388" s="55"/>
      <c r="D388" s="55"/>
    </row>
    <row r="389" spans="1:4" ht="12.75">
      <c r="A389" s="55"/>
      <c r="B389" s="55"/>
      <c r="C389" s="55"/>
      <c r="D389" s="55"/>
    </row>
    <row r="390" spans="1:4" ht="12.75">
      <c r="A390" s="55"/>
      <c r="B390" s="55"/>
      <c r="C390" s="55"/>
      <c r="D390" s="55"/>
    </row>
    <row r="391" spans="1:6" ht="12.75">
      <c r="A391" s="55"/>
      <c r="B391" s="55"/>
      <c r="C391" s="55"/>
      <c r="D391" s="289">
        <f>SUM(D383:D386)</f>
        <v>31479000</v>
      </c>
      <c r="E391" s="289">
        <f>SUM(E383:E386)</f>
        <v>545854</v>
      </c>
      <c r="F391" s="289">
        <f>SUM(F383:F386)</f>
        <v>32024854</v>
      </c>
    </row>
    <row r="392" spans="1:4" ht="12.75">
      <c r="A392" s="55"/>
      <c r="B392" s="55"/>
      <c r="C392" s="55"/>
      <c r="D392" s="289"/>
    </row>
    <row r="393" spans="1:4" ht="12.75">
      <c r="A393" s="55"/>
      <c r="B393" s="55"/>
      <c r="C393" s="55"/>
      <c r="D393" s="289"/>
    </row>
    <row r="394" spans="1:6" ht="12.75">
      <c r="A394" s="55"/>
      <c r="B394" s="55"/>
      <c r="C394" s="55"/>
      <c r="D394" s="289">
        <f>D391+D387</f>
        <v>34905802</v>
      </c>
      <c r="E394" s="289">
        <f>E391+E387</f>
        <v>191615</v>
      </c>
      <c r="F394" s="289">
        <f>F391+F387</f>
        <v>35097417</v>
      </c>
    </row>
    <row r="395" spans="1:4" ht="12.75">
      <c r="A395" s="55"/>
      <c r="B395" s="55"/>
      <c r="C395" s="55"/>
      <c r="D395" s="55"/>
    </row>
    <row r="396" spans="1:4" ht="12.75">
      <c r="A396" s="55"/>
      <c r="B396" s="55"/>
      <c r="C396" s="289"/>
      <c r="D396" s="55"/>
    </row>
    <row r="397" spans="1:4" ht="12.75">
      <c r="A397" s="55"/>
      <c r="B397" s="55"/>
      <c r="C397" s="55"/>
      <c r="D397" s="55"/>
    </row>
    <row r="398" spans="1:4" ht="12.75">
      <c r="A398" s="55"/>
      <c r="B398" s="55"/>
      <c r="C398" s="55"/>
      <c r="D398" s="55"/>
    </row>
    <row r="399" spans="1:4" ht="12.75">
      <c r="A399" s="55"/>
      <c r="B399" s="55"/>
      <c r="C399" s="55"/>
      <c r="D399" s="55"/>
    </row>
    <row r="400" spans="1:4" ht="12.75">
      <c r="A400" s="55"/>
      <c r="B400" s="55"/>
      <c r="C400" s="55"/>
      <c r="D400" s="55"/>
    </row>
    <row r="401" spans="1:4" ht="12.75">
      <c r="A401" s="55"/>
      <c r="B401" s="55"/>
      <c r="C401" s="55"/>
      <c r="D401" s="55"/>
    </row>
    <row r="402" spans="1:4" ht="12.75">
      <c r="A402" s="55"/>
      <c r="B402" s="55"/>
      <c r="C402" s="55"/>
      <c r="D402" s="55"/>
    </row>
    <row r="403" spans="1:4" ht="12.75">
      <c r="A403" s="55"/>
      <c r="B403" s="55"/>
      <c r="C403" s="55"/>
      <c r="D403" s="55"/>
    </row>
    <row r="404" spans="1:4" ht="12.75">
      <c r="A404" s="55"/>
      <c r="B404" s="55"/>
      <c r="C404" s="55"/>
      <c r="D404" s="55"/>
    </row>
    <row r="405" spans="1:4" ht="12.75">
      <c r="A405" s="55"/>
      <c r="B405" s="55"/>
      <c r="C405" s="55"/>
      <c r="D405" s="55"/>
    </row>
    <row r="406" spans="1:4" ht="12.75">
      <c r="A406" s="55"/>
      <c r="B406" s="55"/>
      <c r="C406" s="55"/>
      <c r="D406" s="55"/>
    </row>
    <row r="407" spans="1:4" ht="12.75">
      <c r="A407" s="55"/>
      <c r="B407" s="55"/>
      <c r="C407" s="55"/>
      <c r="D407" s="55"/>
    </row>
    <row r="408" spans="1:4" ht="12.75">
      <c r="A408" s="55"/>
      <c r="B408" s="55"/>
      <c r="C408" s="55"/>
      <c r="D408" s="55"/>
    </row>
    <row r="409" spans="1:4" ht="12.75">
      <c r="A409" s="55"/>
      <c r="B409" s="55"/>
      <c r="C409" s="55"/>
      <c r="D409" s="55"/>
    </row>
    <row r="410" spans="1:4" ht="12.75">
      <c r="A410" s="55"/>
      <c r="B410" s="55"/>
      <c r="C410" s="55"/>
      <c r="D410" s="55"/>
    </row>
    <row r="411" spans="1:4" ht="12.75">
      <c r="A411" s="55"/>
      <c r="B411" s="55"/>
      <c r="C411" s="55"/>
      <c r="D411" s="55"/>
    </row>
    <row r="412" spans="1:4" ht="12.75">
      <c r="A412" s="55"/>
      <c r="B412" s="55"/>
      <c r="C412" s="55"/>
      <c r="D412" s="55"/>
    </row>
    <row r="413" spans="1:4" ht="12.75">
      <c r="A413" s="55"/>
      <c r="B413" s="55"/>
      <c r="C413" s="55"/>
      <c r="D413" s="55"/>
    </row>
    <row r="414" spans="1:4" ht="12.75">
      <c r="A414" s="55"/>
      <c r="B414" s="55"/>
      <c r="C414" s="55"/>
      <c r="D414" s="55"/>
    </row>
    <row r="415" spans="1:4" ht="12.75">
      <c r="A415" s="55"/>
      <c r="B415" s="55"/>
      <c r="C415" s="55"/>
      <c r="D415" s="55"/>
    </row>
    <row r="416" spans="1:4" ht="12.75">
      <c r="A416" s="55"/>
      <c r="B416" s="55"/>
      <c r="C416" s="55"/>
      <c r="D416" s="55"/>
    </row>
    <row r="417" spans="1:4" ht="12.75">
      <c r="A417" s="55"/>
      <c r="B417" s="55"/>
      <c r="C417" s="55"/>
      <c r="D417" s="55"/>
    </row>
    <row r="418" spans="1:4" ht="12.75">
      <c r="A418" s="55"/>
      <c r="B418" s="55"/>
      <c r="C418" s="55"/>
      <c r="D418" s="55"/>
    </row>
    <row r="419" spans="1:4" ht="12.75">
      <c r="A419" s="55"/>
      <c r="B419" s="55"/>
      <c r="C419" s="55"/>
      <c r="D419" s="55"/>
    </row>
    <row r="420" spans="1:4" ht="12.75">
      <c r="A420" s="55"/>
      <c r="B420" s="55"/>
      <c r="C420" s="55"/>
      <c r="D420" s="55"/>
    </row>
    <row r="421" spans="1:4" ht="12.75">
      <c r="A421" s="55"/>
      <c r="B421" s="55"/>
      <c r="C421" s="55"/>
      <c r="D421" s="55"/>
    </row>
    <row r="422" spans="1:4" ht="12.75">
      <c r="A422" s="55"/>
      <c r="B422" s="55"/>
      <c r="C422" s="55"/>
      <c r="D422" s="55"/>
    </row>
    <row r="423" spans="1:4" ht="12.75">
      <c r="A423" s="55"/>
      <c r="B423" s="55"/>
      <c r="C423" s="55"/>
      <c r="D423" s="55"/>
    </row>
    <row r="424" spans="1:4" ht="12.75">
      <c r="A424" s="55"/>
      <c r="B424" s="55"/>
      <c r="C424" s="55"/>
      <c r="D424" s="55"/>
    </row>
    <row r="425" spans="1:4" ht="12.75">
      <c r="A425" s="55"/>
      <c r="B425" s="55"/>
      <c r="C425" s="55"/>
      <c r="D425" s="55"/>
    </row>
    <row r="426" spans="1:4" ht="12.75">
      <c r="A426" s="55"/>
      <c r="B426" s="55"/>
      <c r="C426" s="55"/>
      <c r="D426" s="55"/>
    </row>
    <row r="427" spans="1:4" ht="12.75">
      <c r="A427" s="55"/>
      <c r="B427" s="55"/>
      <c r="C427" s="55"/>
      <c r="D427" s="55"/>
    </row>
    <row r="428" spans="1:4" ht="12.75">
      <c r="A428" s="55"/>
      <c r="B428" s="55"/>
      <c r="C428" s="55"/>
      <c r="D428" s="55"/>
    </row>
    <row r="429" spans="1:4" ht="12.75">
      <c r="A429" s="55"/>
      <c r="B429" s="55"/>
      <c r="C429" s="55"/>
      <c r="D429" s="55"/>
    </row>
    <row r="430" spans="1:4" ht="12.75">
      <c r="A430" s="55"/>
      <c r="B430" s="55"/>
      <c r="C430" s="55"/>
      <c r="D430" s="55"/>
    </row>
    <row r="431" spans="1:4" ht="12.75">
      <c r="A431" s="55"/>
      <c r="B431" s="55"/>
      <c r="C431" s="55"/>
      <c r="D431" s="55"/>
    </row>
    <row r="432" spans="1:4" ht="12.75">
      <c r="A432" s="55"/>
      <c r="B432" s="55"/>
      <c r="C432" s="55"/>
      <c r="D432" s="55"/>
    </row>
    <row r="433" spans="1:4" ht="12.75">
      <c r="A433" s="55"/>
      <c r="B433" s="55"/>
      <c r="C433" s="55"/>
      <c r="D433" s="55"/>
    </row>
    <row r="434" spans="1:4" ht="12.75">
      <c r="A434" s="55"/>
      <c r="B434" s="55"/>
      <c r="C434" s="55"/>
      <c r="D434" s="55"/>
    </row>
    <row r="435" spans="1:4" ht="12.75">
      <c r="A435" s="55"/>
      <c r="B435" s="55"/>
      <c r="C435" s="55"/>
      <c r="D435" s="55"/>
    </row>
    <row r="436" spans="1:4" ht="12.75">
      <c r="A436" s="55"/>
      <c r="B436" s="55"/>
      <c r="C436" s="55"/>
      <c r="D436" s="55"/>
    </row>
    <row r="437" spans="1:4" ht="12.75">
      <c r="A437" s="55"/>
      <c r="B437" s="55"/>
      <c r="C437" s="55"/>
      <c r="D437" s="55"/>
    </row>
    <row r="438" spans="1:4" ht="12.75">
      <c r="A438" s="55"/>
      <c r="B438" s="55"/>
      <c r="C438" s="55"/>
      <c r="D438" s="55"/>
    </row>
    <row r="439" spans="1:4" ht="12.75">
      <c r="A439" s="55"/>
      <c r="B439" s="55"/>
      <c r="C439" s="55"/>
      <c r="D439" s="55"/>
    </row>
    <row r="440" spans="1:4" ht="12.75">
      <c r="A440" s="55"/>
      <c r="B440" s="55"/>
      <c r="C440" s="55"/>
      <c r="D440" s="55"/>
    </row>
    <row r="441" spans="1:4" ht="12.75">
      <c r="A441" s="55"/>
      <c r="B441" s="55"/>
      <c r="C441" s="55"/>
      <c r="D441" s="55"/>
    </row>
    <row r="442" spans="1:4" ht="12.75">
      <c r="A442" s="55"/>
      <c r="B442" s="55"/>
      <c r="C442" s="55"/>
      <c r="D442" s="55"/>
    </row>
    <row r="443" spans="1:4" ht="12.75">
      <c r="A443" s="55"/>
      <c r="B443" s="55"/>
      <c r="C443" s="55"/>
      <c r="D443" s="55"/>
    </row>
    <row r="444" spans="1:4" ht="12.75">
      <c r="A444" s="55"/>
      <c r="B444" s="55"/>
      <c r="C444" s="55"/>
      <c r="D444" s="55"/>
    </row>
    <row r="445" spans="1:4" ht="12.75">
      <c r="A445" s="55"/>
      <c r="B445" s="55"/>
      <c r="C445" s="55"/>
      <c r="D445" s="55"/>
    </row>
    <row r="446" spans="1:4" ht="12.75">
      <c r="A446" s="55"/>
      <c r="B446" s="55"/>
      <c r="C446" s="55"/>
      <c r="D446" s="55"/>
    </row>
    <row r="447" spans="1:4" ht="12.75">
      <c r="A447" s="55"/>
      <c r="B447" s="55"/>
      <c r="C447" s="55"/>
      <c r="D447" s="55"/>
    </row>
    <row r="448" spans="1:4" ht="12.75">
      <c r="A448" s="55"/>
      <c r="B448" s="55"/>
      <c r="C448" s="55"/>
      <c r="D448" s="55"/>
    </row>
    <row r="449" spans="1:4" ht="12.75">
      <c r="A449" s="55"/>
      <c r="B449" s="55"/>
      <c r="C449" s="55"/>
      <c r="D449" s="55"/>
    </row>
    <row r="450" spans="1:4" ht="12.75">
      <c r="A450" s="55"/>
      <c r="B450" s="55"/>
      <c r="C450" s="55"/>
      <c r="D450" s="55"/>
    </row>
    <row r="451" spans="1:4" ht="12.75">
      <c r="A451" s="55"/>
      <c r="B451" s="55"/>
      <c r="C451" s="55"/>
      <c r="D451" s="55"/>
    </row>
    <row r="452" spans="1:4" ht="12.75">
      <c r="A452" s="55"/>
      <c r="B452" s="55"/>
      <c r="C452" s="55"/>
      <c r="D452" s="55"/>
    </row>
    <row r="453" spans="1:4" ht="12.75">
      <c r="A453" s="55"/>
      <c r="B453" s="55"/>
      <c r="C453" s="55"/>
      <c r="D453" s="55"/>
    </row>
    <row r="454" spans="1:4" ht="12.75">
      <c r="A454" s="55"/>
      <c r="B454" s="55"/>
      <c r="C454" s="55"/>
      <c r="D454" s="55"/>
    </row>
    <row r="455" spans="1:4" ht="12.75">
      <c r="A455" s="55"/>
      <c r="B455" s="55"/>
      <c r="C455" s="55"/>
      <c r="D455" s="55"/>
    </row>
    <row r="456" spans="1:4" ht="12.75">
      <c r="A456" s="55"/>
      <c r="B456" s="55"/>
      <c r="C456" s="55"/>
      <c r="D456" s="55"/>
    </row>
    <row r="457" spans="1:4" ht="12.75">
      <c r="A457" s="55"/>
      <c r="B457" s="55"/>
      <c r="C457" s="55"/>
      <c r="D457" s="55"/>
    </row>
    <row r="458" spans="1:4" ht="12.75">
      <c r="A458" s="55"/>
      <c r="B458" s="55"/>
      <c r="C458" s="55"/>
      <c r="D458" s="55"/>
    </row>
    <row r="459" spans="1:4" ht="12.75">
      <c r="A459" s="55"/>
      <c r="B459" s="55"/>
      <c r="C459" s="55"/>
      <c r="D459" s="55"/>
    </row>
    <row r="460" spans="1:4" ht="12.75">
      <c r="A460" s="55"/>
      <c r="B460" s="55"/>
      <c r="C460" s="55"/>
      <c r="D460" s="55"/>
    </row>
    <row r="461" spans="1:4" ht="12.75">
      <c r="A461" s="55"/>
      <c r="B461" s="55"/>
      <c r="C461" s="55"/>
      <c r="D461" s="55"/>
    </row>
    <row r="462" spans="1:4" ht="12.75">
      <c r="A462" s="55"/>
      <c r="B462" s="55"/>
      <c r="C462" s="55"/>
      <c r="D462" s="55"/>
    </row>
    <row r="463" spans="1:4" ht="12.75">
      <c r="A463" s="55"/>
      <c r="B463" s="55"/>
      <c r="C463" s="55"/>
      <c r="D463" s="55"/>
    </row>
    <row r="464" spans="1:4" ht="12.75">
      <c r="A464" s="55"/>
      <c r="B464" s="55"/>
      <c r="C464" s="55"/>
      <c r="D464" s="55"/>
    </row>
    <row r="465" spans="1:4" ht="12.75">
      <c r="A465" s="55"/>
      <c r="B465" s="55"/>
      <c r="C465" s="55"/>
      <c r="D465" s="55"/>
    </row>
    <row r="466" spans="1:4" ht="12.75">
      <c r="A466" s="55"/>
      <c r="B466" s="55"/>
      <c r="C466" s="55"/>
      <c r="D466" s="55"/>
    </row>
    <row r="467" spans="1:4" ht="12.75">
      <c r="A467" s="55"/>
      <c r="B467" s="55"/>
      <c r="C467" s="55"/>
      <c r="D467" s="55"/>
    </row>
    <row r="468" spans="1:4" ht="12.75">
      <c r="A468" s="55"/>
      <c r="B468" s="55"/>
      <c r="C468" s="55"/>
      <c r="D468" s="55"/>
    </row>
    <row r="469" spans="1:4" ht="12.75">
      <c r="A469" s="55"/>
      <c r="B469" s="55"/>
      <c r="C469" s="55"/>
      <c r="D469" s="55"/>
    </row>
    <row r="470" spans="1:4" ht="12.75">
      <c r="A470" s="55"/>
      <c r="B470" s="55"/>
      <c r="C470" s="55"/>
      <c r="D470" s="55"/>
    </row>
    <row r="471" spans="1:4" ht="12.75">
      <c r="A471" s="55"/>
      <c r="B471" s="55"/>
      <c r="C471" s="55"/>
      <c r="D471" s="55"/>
    </row>
    <row r="472" spans="1:4" ht="12.75">
      <c r="A472" s="55"/>
      <c r="B472" s="55"/>
      <c r="C472" s="55"/>
      <c r="D472" s="55"/>
    </row>
    <row r="473" spans="1:4" ht="12.75">
      <c r="A473" s="55"/>
      <c r="B473" s="55"/>
      <c r="C473" s="55"/>
      <c r="D473" s="55"/>
    </row>
    <row r="474" spans="1:4" ht="12.75">
      <c r="A474" s="55"/>
      <c r="B474" s="55"/>
      <c r="C474" s="55"/>
      <c r="D474" s="55"/>
    </row>
    <row r="475" spans="1:4" ht="12.75">
      <c r="A475" s="55"/>
      <c r="B475" s="55"/>
      <c r="C475" s="55"/>
      <c r="D475" s="55"/>
    </row>
    <row r="476" spans="1:4" ht="12.75">
      <c r="A476" s="55"/>
      <c r="B476" s="55"/>
      <c r="C476" s="55"/>
      <c r="D476" s="55"/>
    </row>
    <row r="477" spans="1:4" ht="12.75">
      <c r="A477" s="55"/>
      <c r="B477" s="55"/>
      <c r="C477" s="55"/>
      <c r="D477" s="55"/>
    </row>
    <row r="478" spans="1:4" ht="12.75">
      <c r="A478" s="55"/>
      <c r="B478" s="55"/>
      <c r="C478" s="55"/>
      <c r="D478" s="55"/>
    </row>
    <row r="479" spans="1:4" ht="12.75">
      <c r="A479" s="55"/>
      <c r="B479" s="55"/>
      <c r="C479" s="55"/>
      <c r="D479" s="55"/>
    </row>
    <row r="480" spans="1:4" ht="12.75">
      <c r="A480" s="55"/>
      <c r="B480" s="55"/>
      <c r="C480" s="55"/>
      <c r="D480" s="55"/>
    </row>
    <row r="481" spans="1:4" ht="12.75">
      <c r="A481" s="55"/>
      <c r="B481" s="55"/>
      <c r="C481" s="55"/>
      <c r="D481" s="55"/>
    </row>
    <row r="482" spans="1:4" ht="12.75">
      <c r="A482" s="55"/>
      <c r="B482" s="55"/>
      <c r="C482" s="55"/>
      <c r="D482" s="55"/>
    </row>
    <row r="483" spans="1:4" ht="12.75">
      <c r="A483" s="55"/>
      <c r="B483" s="55"/>
      <c r="C483" s="55"/>
      <c r="D483" s="55"/>
    </row>
    <row r="484" spans="1:4" ht="12.75">
      <c r="A484" s="55"/>
      <c r="B484" s="55"/>
      <c r="C484" s="55"/>
      <c r="D484" s="55"/>
    </row>
    <row r="485" spans="1:4" ht="12.75">
      <c r="A485" s="55"/>
      <c r="B485" s="55"/>
      <c r="C485" s="55"/>
      <c r="D485" s="55"/>
    </row>
    <row r="486" spans="1:4" ht="12.75">
      <c r="A486" s="55"/>
      <c r="B486" s="55"/>
      <c r="C486" s="55"/>
      <c r="D486" s="55"/>
    </row>
    <row r="487" spans="1:4" ht="12.75">
      <c r="A487" s="55"/>
      <c r="B487" s="55"/>
      <c r="C487" s="55"/>
      <c r="D487" s="55"/>
    </row>
    <row r="488" spans="1:4" ht="12.75">
      <c r="A488" s="55"/>
      <c r="B488" s="55"/>
      <c r="C488" s="55"/>
      <c r="D488" s="55"/>
    </row>
    <row r="489" spans="1:4" ht="12.75">
      <c r="A489" s="55"/>
      <c r="B489" s="55"/>
      <c r="C489" s="55"/>
      <c r="D489" s="55"/>
    </row>
    <row r="490" spans="1:4" ht="12.75">
      <c r="A490" s="55"/>
      <c r="B490" s="55"/>
      <c r="C490" s="55"/>
      <c r="D490" s="55"/>
    </row>
    <row r="491" spans="1:4" ht="12.75">
      <c r="A491" s="55"/>
      <c r="B491" s="55"/>
      <c r="C491" s="55"/>
      <c r="D491" s="55"/>
    </row>
    <row r="492" spans="1:4" ht="12.75">
      <c r="A492" s="55"/>
      <c r="B492" s="55"/>
      <c r="C492" s="55"/>
      <c r="D492" s="55"/>
    </row>
    <row r="493" spans="1:4" ht="12.75">
      <c r="A493" s="55"/>
      <c r="B493" s="55"/>
      <c r="C493" s="55"/>
      <c r="D493" s="55"/>
    </row>
    <row r="494" spans="1:4" ht="12.75">
      <c r="A494" s="55"/>
      <c r="B494" s="55"/>
      <c r="C494" s="55"/>
      <c r="D494" s="55"/>
    </row>
    <row r="495" spans="1:4" ht="12.75">
      <c r="A495" s="55"/>
      <c r="B495" s="55"/>
      <c r="C495" s="55"/>
      <c r="D495" s="55"/>
    </row>
    <row r="496" spans="1:4" ht="12.75">
      <c r="A496" s="55"/>
      <c r="B496" s="55"/>
      <c r="C496" s="55"/>
      <c r="D496" s="55"/>
    </row>
    <row r="497" spans="1:4" ht="12.75">
      <c r="A497" s="55"/>
      <c r="B497" s="55"/>
      <c r="C497" s="55"/>
      <c r="D497" s="55"/>
    </row>
    <row r="498" spans="1:4" ht="12.75">
      <c r="A498" s="55"/>
      <c r="B498" s="55"/>
      <c r="C498" s="55"/>
      <c r="D498" s="55"/>
    </row>
    <row r="499" spans="1:4" ht="12.75">
      <c r="A499" s="55"/>
      <c r="B499" s="55"/>
      <c r="C499" s="55"/>
      <c r="D499" s="55"/>
    </row>
    <row r="500" spans="1:4" ht="12.75">
      <c r="A500" s="55"/>
      <c r="B500" s="55"/>
      <c r="C500" s="55"/>
      <c r="D500" s="55"/>
    </row>
    <row r="501" spans="1:4" ht="12.75">
      <c r="A501" s="55"/>
      <c r="B501" s="55"/>
      <c r="C501" s="55"/>
      <c r="D501" s="55"/>
    </row>
    <row r="502" spans="1:4" ht="12.75">
      <c r="A502" s="55"/>
      <c r="B502" s="55"/>
      <c r="C502" s="55"/>
      <c r="D502" s="55"/>
    </row>
    <row r="503" spans="1:4" ht="12.75">
      <c r="A503" s="55"/>
      <c r="B503" s="55"/>
      <c r="C503" s="55"/>
      <c r="D503" s="55"/>
    </row>
    <row r="504" spans="1:4" ht="12.75">
      <c r="A504" s="55"/>
      <c r="B504" s="55"/>
      <c r="C504" s="55"/>
      <c r="D504" s="55"/>
    </row>
    <row r="505" spans="1:4" ht="12.75">
      <c r="A505" s="55"/>
      <c r="B505" s="55"/>
      <c r="C505" s="55"/>
      <c r="D505" s="55"/>
    </row>
    <row r="506" spans="1:4" ht="12.75">
      <c r="A506" s="55"/>
      <c r="B506" s="55"/>
      <c r="C506" s="55"/>
      <c r="D506" s="55"/>
    </row>
    <row r="507" spans="1:4" ht="12.75">
      <c r="A507" s="55"/>
      <c r="B507" s="55"/>
      <c r="C507" s="55"/>
      <c r="D507" s="55"/>
    </row>
    <row r="508" spans="1:4" ht="12.75">
      <c r="A508" s="55"/>
      <c r="B508" s="55"/>
      <c r="C508" s="55"/>
      <c r="D508" s="55"/>
    </row>
    <row r="509" spans="1:4" ht="12.75">
      <c r="A509" s="55"/>
      <c r="B509" s="55"/>
      <c r="C509" s="55"/>
      <c r="D509" s="55"/>
    </row>
    <row r="510" spans="1:4" ht="12.75">
      <c r="A510" s="55"/>
      <c r="B510" s="55"/>
      <c r="C510" s="55"/>
      <c r="D510" s="55"/>
    </row>
    <row r="511" spans="1:4" ht="12.75">
      <c r="A511" s="55"/>
      <c r="B511" s="55"/>
      <c r="C511" s="55"/>
      <c r="D511" s="55"/>
    </row>
    <row r="512" spans="1:4" ht="12.75">
      <c r="A512" s="55"/>
      <c r="B512" s="55"/>
      <c r="C512" s="55"/>
      <c r="D512" s="55"/>
    </row>
    <row r="513" spans="1:4" ht="12.75">
      <c r="A513" s="55"/>
      <c r="B513" s="55"/>
      <c r="C513" s="55"/>
      <c r="D513" s="55"/>
    </row>
    <row r="514" spans="1:4" ht="12.75">
      <c r="A514" s="55"/>
      <c r="B514" s="55"/>
      <c r="C514" s="55"/>
      <c r="D514" s="55"/>
    </row>
    <row r="515" spans="1:4" ht="12.75">
      <c r="A515" s="55"/>
      <c r="B515" s="55"/>
      <c r="C515" s="55"/>
      <c r="D515" s="55"/>
    </row>
    <row r="516" spans="1:4" ht="12.75">
      <c r="A516" s="55"/>
      <c r="B516" s="55"/>
      <c r="C516" s="55"/>
      <c r="D516" s="55"/>
    </row>
    <row r="517" spans="1:4" ht="12.75">
      <c r="A517" s="55"/>
      <c r="B517" s="55"/>
      <c r="C517" s="55"/>
      <c r="D517" s="55"/>
    </row>
    <row r="518" spans="1:4" ht="12.75">
      <c r="A518" s="55"/>
      <c r="B518" s="55"/>
      <c r="C518" s="55"/>
      <c r="D518" s="55"/>
    </row>
    <row r="519" spans="1:4" ht="12.75">
      <c r="A519" s="55"/>
      <c r="B519" s="55"/>
      <c r="C519" s="55"/>
      <c r="D519" s="55"/>
    </row>
    <row r="520" spans="1:4" ht="12.75">
      <c r="A520" s="55"/>
      <c r="B520" s="55"/>
      <c r="C520" s="55"/>
      <c r="D520" s="55"/>
    </row>
    <row r="521" spans="1:4" ht="12.75">
      <c r="A521" s="55"/>
      <c r="B521" s="55"/>
      <c r="C521" s="55"/>
      <c r="D521" s="55"/>
    </row>
    <row r="522" spans="1:4" ht="12.75">
      <c r="A522" s="55"/>
      <c r="B522" s="55"/>
      <c r="C522" s="55"/>
      <c r="D522" s="55"/>
    </row>
    <row r="523" spans="1:4" ht="12.75">
      <c r="A523" s="55"/>
      <c r="B523" s="55"/>
      <c r="C523" s="55"/>
      <c r="D523" s="55"/>
    </row>
    <row r="524" spans="1:4" ht="12.75">
      <c r="A524" s="55"/>
      <c r="B524" s="55"/>
      <c r="C524" s="55"/>
      <c r="D524" s="55"/>
    </row>
    <row r="525" spans="1:4" ht="12.75">
      <c r="A525" s="55"/>
      <c r="B525" s="55"/>
      <c r="C525" s="55"/>
      <c r="D525" s="55"/>
    </row>
    <row r="526" spans="1:4" ht="12.75">
      <c r="A526" s="55"/>
      <c r="B526" s="55"/>
      <c r="C526" s="55"/>
      <c r="D526" s="55"/>
    </row>
    <row r="527" spans="1:4" ht="12.75">
      <c r="A527" s="55"/>
      <c r="B527" s="55"/>
      <c r="C527" s="55"/>
      <c r="D527" s="55"/>
    </row>
    <row r="528" spans="1:4" ht="12.75">
      <c r="A528" s="55"/>
      <c r="B528" s="55"/>
      <c r="C528" s="55"/>
      <c r="D528" s="55"/>
    </row>
    <row r="529" spans="1:4" ht="12.75">
      <c r="A529" s="55"/>
      <c r="B529" s="55"/>
      <c r="C529" s="55"/>
      <c r="D529" s="55"/>
    </row>
    <row r="530" spans="1:4" ht="12.75">
      <c r="A530" s="55"/>
      <c r="B530" s="55"/>
      <c r="C530" s="55"/>
      <c r="D530" s="55"/>
    </row>
    <row r="531" spans="1:4" ht="12.75">
      <c r="A531" s="55"/>
      <c r="B531" s="55"/>
      <c r="C531" s="55"/>
      <c r="D531" s="55"/>
    </row>
    <row r="532" spans="1:4" ht="12.75">
      <c r="A532" s="55"/>
      <c r="B532" s="55"/>
      <c r="C532" s="55"/>
      <c r="D532" s="55"/>
    </row>
    <row r="533" spans="1:4" ht="12.75">
      <c r="A533" s="55"/>
      <c r="B533" s="55"/>
      <c r="C533" s="55"/>
      <c r="D533" s="55"/>
    </row>
    <row r="534" spans="1:4" ht="12.75">
      <c r="A534" s="55"/>
      <c r="B534" s="55"/>
      <c r="C534" s="55"/>
      <c r="D534" s="55"/>
    </row>
    <row r="535" spans="1:4" ht="12.75">
      <c r="A535" s="55"/>
      <c r="B535" s="55"/>
      <c r="C535" s="55"/>
      <c r="D535" s="55"/>
    </row>
    <row r="536" spans="1:4" ht="12.75">
      <c r="A536" s="55"/>
      <c r="B536" s="55"/>
      <c r="C536" s="55"/>
      <c r="D536" s="55"/>
    </row>
    <row r="537" spans="1:4" ht="12.75">
      <c r="A537" s="55"/>
      <c r="B537" s="55"/>
      <c r="C537" s="55"/>
      <c r="D537" s="55"/>
    </row>
    <row r="538" spans="1:4" ht="12.75">
      <c r="A538" s="55"/>
      <c r="B538" s="55"/>
      <c r="C538" s="55"/>
      <c r="D538" s="55"/>
    </row>
    <row r="539" spans="1:4" ht="12.75">
      <c r="A539" s="55"/>
      <c r="B539" s="55"/>
      <c r="C539" s="55"/>
      <c r="D539" s="55"/>
    </row>
    <row r="540" spans="1:4" ht="12.75">
      <c r="A540" s="55"/>
      <c r="B540" s="55"/>
      <c r="C540" s="55"/>
      <c r="D540" s="55"/>
    </row>
    <row r="541" spans="1:4" ht="12.75">
      <c r="A541" s="55"/>
      <c r="B541" s="55"/>
      <c r="C541" s="55"/>
      <c r="D541" s="55"/>
    </row>
    <row r="542" spans="1:4" ht="12.75">
      <c r="A542" s="55"/>
      <c r="B542" s="55"/>
      <c r="C542" s="55"/>
      <c r="D542" s="55"/>
    </row>
    <row r="543" spans="1:4" ht="12.75">
      <c r="A543" s="55"/>
      <c r="B543" s="55"/>
      <c r="C543" s="55"/>
      <c r="D543" s="55"/>
    </row>
    <row r="544" spans="1:4" ht="12.75">
      <c r="A544" s="55"/>
      <c r="B544" s="55"/>
      <c r="C544" s="55"/>
      <c r="D544" s="55"/>
    </row>
    <row r="545" spans="1:4" ht="12.75">
      <c r="A545" s="55"/>
      <c r="B545" s="55"/>
      <c r="C545" s="55"/>
      <c r="D545" s="55"/>
    </row>
    <row r="546" spans="1:4" ht="12.75">
      <c r="A546" s="55"/>
      <c r="B546" s="55"/>
      <c r="C546" s="55"/>
      <c r="D546" s="55"/>
    </row>
    <row r="547" spans="1:4" ht="12.75">
      <c r="A547" s="55"/>
      <c r="B547" s="55"/>
      <c r="C547" s="55"/>
      <c r="D547" s="55"/>
    </row>
    <row r="548" spans="1:4" ht="12.75">
      <c r="A548" s="55"/>
      <c r="B548" s="55"/>
      <c r="C548" s="55"/>
      <c r="D548" s="55"/>
    </row>
    <row r="549" spans="1:4" ht="12.75">
      <c r="A549" s="55"/>
      <c r="B549" s="55"/>
      <c r="C549" s="55"/>
      <c r="D549" s="55"/>
    </row>
    <row r="550" spans="1:4" ht="12.75">
      <c r="A550" s="55"/>
      <c r="B550" s="55"/>
      <c r="C550" s="55"/>
      <c r="D550" s="55"/>
    </row>
    <row r="551" spans="1:4" ht="12.75">
      <c r="A551" s="55"/>
      <c r="B551" s="55"/>
      <c r="C551" s="55"/>
      <c r="D551" s="55"/>
    </row>
    <row r="552" spans="1:4" ht="12.75">
      <c r="A552" s="55"/>
      <c r="B552" s="55"/>
      <c r="C552" s="55"/>
      <c r="D552" s="55"/>
    </row>
    <row r="553" spans="1:4" ht="12.75">
      <c r="A553" s="55"/>
      <c r="B553" s="55"/>
      <c r="C553" s="55"/>
      <c r="D553" s="55"/>
    </row>
    <row r="554" spans="1:4" ht="12.75">
      <c r="A554" s="55"/>
      <c r="B554" s="55"/>
      <c r="C554" s="55"/>
      <c r="D554" s="55"/>
    </row>
    <row r="555" spans="1:4" ht="12.75">
      <c r="A555" s="55"/>
      <c r="B555" s="55"/>
      <c r="C555" s="55"/>
      <c r="D555" s="55"/>
    </row>
    <row r="556" spans="1:4" ht="12.75">
      <c r="A556" s="55"/>
      <c r="B556" s="55"/>
      <c r="C556" s="55"/>
      <c r="D556" s="55"/>
    </row>
    <row r="557" spans="1:4" ht="12.75">
      <c r="A557" s="55"/>
      <c r="B557" s="55"/>
      <c r="C557" s="55"/>
      <c r="D557" s="55"/>
    </row>
    <row r="558" spans="1:4" ht="12.75">
      <c r="A558" s="55"/>
      <c r="B558" s="55"/>
      <c r="C558" s="55"/>
      <c r="D558" s="55"/>
    </row>
    <row r="559" spans="1:4" ht="12.75">
      <c r="A559" s="55"/>
      <c r="B559" s="55"/>
      <c r="C559" s="55"/>
      <c r="D559" s="55"/>
    </row>
    <row r="560" spans="1:4" ht="12.75">
      <c r="A560" s="55"/>
      <c r="B560" s="55"/>
      <c r="C560" s="55"/>
      <c r="D560" s="55"/>
    </row>
    <row r="561" spans="1:4" ht="12.75">
      <c r="A561" s="55"/>
      <c r="B561" s="55"/>
      <c r="C561" s="55"/>
      <c r="D561" s="55"/>
    </row>
    <row r="562" spans="1:4" ht="12.75">
      <c r="A562" s="55"/>
      <c r="B562" s="55"/>
      <c r="C562" s="55"/>
      <c r="D562" s="55"/>
    </row>
    <row r="563" spans="1:4" ht="12.75">
      <c r="A563" s="55"/>
      <c r="B563" s="55"/>
      <c r="C563" s="55"/>
      <c r="D563" s="55"/>
    </row>
    <row r="564" spans="1:4" ht="12.75">
      <c r="A564" s="55"/>
      <c r="B564" s="55"/>
      <c r="C564" s="55"/>
      <c r="D564" s="55"/>
    </row>
    <row r="565" spans="1:4" ht="12.75">
      <c r="A565" s="55"/>
      <c r="B565" s="55"/>
      <c r="C565" s="55"/>
      <c r="D565" s="55"/>
    </row>
    <row r="566" spans="1:4" ht="12.75">
      <c r="A566" s="55"/>
      <c r="B566" s="55"/>
      <c r="C566" s="55"/>
      <c r="D566" s="55"/>
    </row>
    <row r="567" spans="1:4" ht="12.75">
      <c r="A567" s="55"/>
      <c r="B567" s="55"/>
      <c r="C567" s="55"/>
      <c r="D567" s="55"/>
    </row>
    <row r="568" spans="1:4" ht="12.75">
      <c r="A568" s="55"/>
      <c r="B568" s="55"/>
      <c r="C568" s="55"/>
      <c r="D568" s="55"/>
    </row>
    <row r="569" spans="1:4" ht="12.75">
      <c r="A569" s="55"/>
      <c r="B569" s="55"/>
      <c r="C569" s="55"/>
      <c r="D569" s="55"/>
    </row>
    <row r="570" spans="1:4" ht="12.75">
      <c r="A570" s="55"/>
      <c r="B570" s="55"/>
      <c r="C570" s="55"/>
      <c r="D570" s="55"/>
    </row>
    <row r="571" spans="1:4" ht="12.75">
      <c r="A571" s="55"/>
      <c r="B571" s="55"/>
      <c r="C571" s="55"/>
      <c r="D571" s="55"/>
    </row>
    <row r="572" spans="1:4" ht="12.75">
      <c r="A572" s="55"/>
      <c r="B572" s="55"/>
      <c r="C572" s="55"/>
      <c r="D572" s="55"/>
    </row>
    <row r="573" spans="1:4" ht="12.75">
      <c r="A573" s="55"/>
      <c r="B573" s="55"/>
      <c r="C573" s="55"/>
      <c r="D573" s="55"/>
    </row>
    <row r="574" spans="1:4" ht="12.75">
      <c r="A574" s="55"/>
      <c r="B574" s="55"/>
      <c r="C574" s="55"/>
      <c r="D574" s="55"/>
    </row>
    <row r="575" spans="1:4" ht="12.75">
      <c r="A575" s="55"/>
      <c r="B575" s="55"/>
      <c r="C575" s="55"/>
      <c r="D575" s="55"/>
    </row>
    <row r="576" spans="1:4" ht="12.75">
      <c r="A576" s="55"/>
      <c r="B576" s="55"/>
      <c r="C576" s="55"/>
      <c r="D576" s="55"/>
    </row>
    <row r="577" spans="1:4" ht="12.75">
      <c r="A577" s="55"/>
      <c r="B577" s="55"/>
      <c r="C577" s="55"/>
      <c r="D577" s="55"/>
    </row>
    <row r="578" spans="1:4" ht="12.75">
      <c r="A578" s="55"/>
      <c r="B578" s="55"/>
      <c r="C578" s="55"/>
      <c r="D578" s="55"/>
    </row>
    <row r="579" spans="1:4" ht="12.75">
      <c r="A579" s="55"/>
      <c r="B579" s="55"/>
      <c r="C579" s="55"/>
      <c r="D579" s="55"/>
    </row>
    <row r="580" spans="1:4" ht="12.75">
      <c r="A580" s="55"/>
      <c r="B580" s="55"/>
      <c r="C580" s="55"/>
      <c r="D580" s="55"/>
    </row>
    <row r="581" spans="1:4" ht="12.75">
      <c r="A581" s="55"/>
      <c r="B581" s="55"/>
      <c r="C581" s="55"/>
      <c r="D581" s="55"/>
    </row>
    <row r="582" spans="1:4" ht="12.75">
      <c r="A582" s="55"/>
      <c r="B582" s="55"/>
      <c r="C582" s="55"/>
      <c r="D582" s="55"/>
    </row>
    <row r="583" spans="1:4" ht="12.75">
      <c r="A583" s="55"/>
      <c r="B583" s="55"/>
      <c r="C583" s="55"/>
      <c r="D583" s="55"/>
    </row>
    <row r="584" spans="1:4" ht="12.75">
      <c r="A584" s="55"/>
      <c r="B584" s="55"/>
      <c r="C584" s="55"/>
      <c r="D584" s="55"/>
    </row>
    <row r="585" spans="1:4" ht="12.75">
      <c r="A585" s="55"/>
      <c r="B585" s="55"/>
      <c r="C585" s="55"/>
      <c r="D585" s="55"/>
    </row>
    <row r="586" spans="1:4" ht="12.75">
      <c r="A586" s="55"/>
      <c r="B586" s="55"/>
      <c r="C586" s="55"/>
      <c r="D586" s="55"/>
    </row>
    <row r="587" spans="1:4" ht="12.75">
      <c r="A587" s="55"/>
      <c r="B587" s="55"/>
      <c r="C587" s="55"/>
      <c r="D587" s="55"/>
    </row>
    <row r="588" spans="1:4" ht="12.75">
      <c r="A588" s="55"/>
      <c r="B588" s="55"/>
      <c r="C588" s="55"/>
      <c r="D588" s="55"/>
    </row>
    <row r="589" spans="1:4" ht="12.75">
      <c r="A589" s="55"/>
      <c r="B589" s="55"/>
      <c r="C589" s="55"/>
      <c r="D589" s="55"/>
    </row>
    <row r="590" spans="1:4" ht="12.75">
      <c r="A590" s="55"/>
      <c r="B590" s="55"/>
      <c r="C590" s="55"/>
      <c r="D590" s="55"/>
    </row>
    <row r="591" spans="1:4" ht="12.75">
      <c r="A591" s="55"/>
      <c r="B591" s="55"/>
      <c r="C591" s="55"/>
      <c r="D591" s="55"/>
    </row>
    <row r="592" spans="1:4" ht="12.75">
      <c r="A592" s="55"/>
      <c r="B592" s="55"/>
      <c r="C592" s="55"/>
      <c r="D592" s="55"/>
    </row>
    <row r="593" spans="1:4" ht="12.75">
      <c r="A593" s="55"/>
      <c r="B593" s="55"/>
      <c r="C593" s="55"/>
      <c r="D593" s="55"/>
    </row>
    <row r="594" spans="1:4" ht="12.75">
      <c r="A594" s="55"/>
      <c r="B594" s="55"/>
      <c r="C594" s="55"/>
      <c r="D594" s="55"/>
    </row>
    <row r="595" spans="1:4" ht="12.75">
      <c r="A595" s="55"/>
      <c r="B595" s="55"/>
      <c r="C595" s="55"/>
      <c r="D595" s="55"/>
    </row>
    <row r="596" spans="1:4" ht="12.75">
      <c r="A596" s="55"/>
      <c r="B596" s="55"/>
      <c r="C596" s="55"/>
      <c r="D596" s="55"/>
    </row>
    <row r="597" spans="1:4" ht="12.75">
      <c r="A597" s="55"/>
      <c r="B597" s="55"/>
      <c r="C597" s="55"/>
      <c r="D597" s="55"/>
    </row>
    <row r="598" spans="1:4" ht="12.75">
      <c r="A598" s="55"/>
      <c r="B598" s="55"/>
      <c r="C598" s="55"/>
      <c r="D598" s="55"/>
    </row>
    <row r="599" spans="1:4" ht="12.75">
      <c r="A599" s="55"/>
      <c r="B599" s="55"/>
      <c r="C599" s="55"/>
      <c r="D599" s="55"/>
    </row>
    <row r="600" spans="1:4" ht="12.75">
      <c r="A600" s="55"/>
      <c r="B600" s="55"/>
      <c r="C600" s="55"/>
      <c r="D600" s="55"/>
    </row>
    <row r="601" spans="1:4" ht="12.75">
      <c r="A601" s="55"/>
      <c r="B601" s="55"/>
      <c r="C601" s="55"/>
      <c r="D601" s="55"/>
    </row>
    <row r="602" spans="1:4" ht="12.75">
      <c r="A602" s="55"/>
      <c r="B602" s="55"/>
      <c r="C602" s="55"/>
      <c r="D602" s="55"/>
    </row>
    <row r="603" spans="1:4" ht="12.75">
      <c r="A603" s="55"/>
      <c r="B603" s="55"/>
      <c r="C603" s="55"/>
      <c r="D603" s="55"/>
    </row>
    <row r="604" spans="1:4" ht="12.75">
      <c r="A604" s="55"/>
      <c r="B604" s="55"/>
      <c r="C604" s="55"/>
      <c r="D604" s="55"/>
    </row>
    <row r="605" spans="1:4" ht="12.75">
      <c r="A605" s="55"/>
      <c r="B605" s="55"/>
      <c r="C605" s="55"/>
      <c r="D605" s="55"/>
    </row>
    <row r="606" spans="1:4" ht="12.75">
      <c r="A606" s="55"/>
      <c r="B606" s="55"/>
      <c r="C606" s="55"/>
      <c r="D606" s="55"/>
    </row>
    <row r="607" spans="1:4" ht="12.75">
      <c r="A607" s="55"/>
      <c r="B607" s="55"/>
      <c r="C607" s="55"/>
      <c r="D607" s="55"/>
    </row>
    <row r="608" spans="1:4" ht="12.75">
      <c r="A608" s="55"/>
      <c r="B608" s="55"/>
      <c r="C608" s="55"/>
      <c r="D608" s="55"/>
    </row>
    <row r="609" spans="1:4" ht="12.75">
      <c r="A609" s="55"/>
      <c r="B609" s="55"/>
      <c r="C609" s="55"/>
      <c r="D609" s="55"/>
    </row>
    <row r="610" spans="1:4" ht="12.75">
      <c r="A610" s="55"/>
      <c r="B610" s="55"/>
      <c r="C610" s="55"/>
      <c r="D610" s="55"/>
    </row>
    <row r="611" spans="1:4" ht="12.75">
      <c r="A611" s="55"/>
      <c r="B611" s="55"/>
      <c r="C611" s="55"/>
      <c r="D611" s="55"/>
    </row>
    <row r="612" spans="1:4" ht="12.75">
      <c r="A612" s="55"/>
      <c r="B612" s="55"/>
      <c r="C612" s="55"/>
      <c r="D612" s="55"/>
    </row>
    <row r="613" spans="1:4" ht="12.75">
      <c r="A613" s="55"/>
      <c r="B613" s="55"/>
      <c r="C613" s="55"/>
      <c r="D613" s="55"/>
    </row>
    <row r="614" spans="1:4" ht="12.75">
      <c r="A614" s="55"/>
      <c r="B614" s="55"/>
      <c r="C614" s="55"/>
      <c r="D614" s="55"/>
    </row>
    <row r="615" spans="1:4" ht="12.75">
      <c r="A615" s="55"/>
      <c r="B615" s="55"/>
      <c r="C615" s="55"/>
      <c r="D615" s="55"/>
    </row>
    <row r="616" spans="1:4" ht="12.75">
      <c r="A616" s="55"/>
      <c r="B616" s="55"/>
      <c r="C616" s="55"/>
      <c r="D616" s="55"/>
    </row>
    <row r="617" spans="1:4" ht="12.75">
      <c r="A617" s="55"/>
      <c r="B617" s="55"/>
      <c r="C617" s="55"/>
      <c r="D617" s="55"/>
    </row>
    <row r="618" spans="1:4" ht="12.75">
      <c r="A618" s="55"/>
      <c r="B618" s="55"/>
      <c r="C618" s="55"/>
      <c r="D618" s="55"/>
    </row>
    <row r="619" spans="1:4" ht="12.75">
      <c r="A619" s="55"/>
      <c r="B619" s="55"/>
      <c r="C619" s="55"/>
      <c r="D619" s="55"/>
    </row>
    <row r="620" spans="1:4" ht="12.75">
      <c r="A620" s="55"/>
      <c r="B620" s="55"/>
      <c r="C620" s="55"/>
      <c r="D620" s="55"/>
    </row>
    <row r="621" spans="1:4" ht="12.75">
      <c r="A621" s="55"/>
      <c r="B621" s="55"/>
      <c r="C621" s="55"/>
      <c r="D621" s="55"/>
    </row>
    <row r="622" spans="1:4" ht="12.75">
      <c r="A622" s="55"/>
      <c r="B622" s="55"/>
      <c r="C622" s="55"/>
      <c r="D622" s="55"/>
    </row>
    <row r="623" spans="1:4" ht="12.75">
      <c r="A623" s="55"/>
      <c r="B623" s="55"/>
      <c r="C623" s="55"/>
      <c r="D623" s="55"/>
    </row>
    <row r="624" spans="1:4" ht="12.75">
      <c r="A624" s="55"/>
      <c r="B624" s="55"/>
      <c r="C624" s="55"/>
      <c r="D624" s="55"/>
    </row>
    <row r="625" spans="1:4" ht="12.75">
      <c r="A625" s="55"/>
      <c r="B625" s="55"/>
      <c r="C625" s="55"/>
      <c r="D625" s="55"/>
    </row>
    <row r="626" spans="1:4" ht="12.75">
      <c r="A626" s="55"/>
      <c r="B626" s="55"/>
      <c r="C626" s="55"/>
      <c r="D626" s="55"/>
    </row>
    <row r="627" spans="1:4" ht="12.75">
      <c r="A627" s="55"/>
      <c r="B627" s="55"/>
      <c r="C627" s="55"/>
      <c r="D627" s="55"/>
    </row>
    <row r="628" spans="1:4" ht="12.75">
      <c r="A628" s="55"/>
      <c r="B628" s="55"/>
      <c r="C628" s="55"/>
      <c r="D628" s="55"/>
    </row>
    <row r="629" spans="1:4" ht="12.75">
      <c r="A629" s="55"/>
      <c r="B629" s="55"/>
      <c r="C629" s="55"/>
      <c r="D629" s="55"/>
    </row>
    <row r="630" spans="1:4" ht="12.75">
      <c r="A630" s="55"/>
      <c r="B630" s="55"/>
      <c r="C630" s="55"/>
      <c r="D630" s="55"/>
    </row>
    <row r="631" spans="1:4" ht="12.75">
      <c r="A631" s="55"/>
      <c r="B631" s="55"/>
      <c r="C631" s="55"/>
      <c r="D631" s="55"/>
    </row>
    <row r="632" spans="1:4" ht="12.75">
      <c r="A632" s="55"/>
      <c r="B632" s="55"/>
      <c r="C632" s="55"/>
      <c r="D632" s="55"/>
    </row>
    <row r="633" spans="1:4" ht="12.75">
      <c r="A633" s="55"/>
      <c r="B633" s="55"/>
      <c r="C633" s="55"/>
      <c r="D633" s="55"/>
    </row>
    <row r="634" spans="1:4" ht="12.75">
      <c r="A634" s="55"/>
      <c r="B634" s="55"/>
      <c r="C634" s="55"/>
      <c r="D634" s="55"/>
    </row>
    <row r="635" spans="1:4" ht="12.75">
      <c r="A635" s="55"/>
      <c r="B635" s="55"/>
      <c r="C635" s="55"/>
      <c r="D635" s="55"/>
    </row>
    <row r="636" spans="1:4" ht="12.75">
      <c r="A636" s="55"/>
      <c r="B636" s="55"/>
      <c r="C636" s="55"/>
      <c r="D636" s="55"/>
    </row>
    <row r="637" spans="1:4" ht="12.75">
      <c r="A637" s="55"/>
      <c r="B637" s="55"/>
      <c r="C637" s="55"/>
      <c r="D637" s="55"/>
    </row>
    <row r="638" spans="1:4" ht="12.75">
      <c r="A638" s="55"/>
      <c r="B638" s="55"/>
      <c r="C638" s="55"/>
      <c r="D638" s="55"/>
    </row>
    <row r="639" spans="1:4" ht="12.75">
      <c r="A639" s="55"/>
      <c r="B639" s="55"/>
      <c r="C639" s="55"/>
      <c r="D639" s="55"/>
    </row>
    <row r="640" spans="1:4" ht="12.75">
      <c r="A640" s="55"/>
      <c r="B640" s="55"/>
      <c r="C640" s="55"/>
      <c r="D640" s="55"/>
    </row>
    <row r="641" spans="1:4" ht="12.75">
      <c r="A641" s="55"/>
      <c r="B641" s="55"/>
      <c r="C641" s="55"/>
      <c r="D641" s="55"/>
    </row>
    <row r="642" spans="1:4" ht="12.75">
      <c r="A642" s="55"/>
      <c r="B642" s="55"/>
      <c r="C642" s="55"/>
      <c r="D642" s="55"/>
    </row>
    <row r="643" spans="1:4" ht="12.75">
      <c r="A643" s="55"/>
      <c r="B643" s="55"/>
      <c r="C643" s="55"/>
      <c r="D643" s="55"/>
    </row>
    <row r="644" spans="1:4" ht="12.75">
      <c r="A644" s="55"/>
      <c r="B644" s="55"/>
      <c r="C644" s="55"/>
      <c r="D644" s="55"/>
    </row>
    <row r="645" spans="1:4" ht="12.75">
      <c r="A645" s="55"/>
      <c r="B645" s="55"/>
      <c r="C645" s="55"/>
      <c r="D645" s="55"/>
    </row>
    <row r="646" spans="1:4" ht="12.75">
      <c r="A646" s="55"/>
      <c r="B646" s="55"/>
      <c r="C646" s="55"/>
      <c r="D646" s="55"/>
    </row>
    <row r="647" spans="1:4" ht="12.75">
      <c r="A647" s="55"/>
      <c r="B647" s="55"/>
      <c r="C647" s="55"/>
      <c r="D647" s="55"/>
    </row>
    <row r="648" spans="1:4" ht="12.75">
      <c r="A648" s="55"/>
      <c r="B648" s="55"/>
      <c r="C648" s="55"/>
      <c r="D648" s="55"/>
    </row>
    <row r="649" spans="1:4" ht="12.75">
      <c r="A649" s="55"/>
      <c r="B649" s="55"/>
      <c r="C649" s="55"/>
      <c r="D649" s="55"/>
    </row>
    <row r="650" spans="1:4" ht="12.75">
      <c r="A650" s="55"/>
      <c r="B650" s="55"/>
      <c r="C650" s="55"/>
      <c r="D650" s="55"/>
    </row>
    <row r="651" spans="1:4" ht="12.75">
      <c r="A651" s="55"/>
      <c r="B651" s="55"/>
      <c r="C651" s="55"/>
      <c r="D651" s="55"/>
    </row>
    <row r="652" spans="1:4" ht="12.75">
      <c r="A652" s="55"/>
      <c r="B652" s="55"/>
      <c r="C652" s="55"/>
      <c r="D652" s="55"/>
    </row>
    <row r="653" spans="1:4" ht="12.75">
      <c r="A653" s="55"/>
      <c r="B653" s="55"/>
      <c r="C653" s="55"/>
      <c r="D653" s="55"/>
    </row>
    <row r="654" spans="1:4" ht="12.75">
      <c r="A654" s="55"/>
      <c r="B654" s="55"/>
      <c r="C654" s="55"/>
      <c r="D654" s="55"/>
    </row>
    <row r="655" spans="1:4" ht="12.75">
      <c r="A655" s="55"/>
      <c r="B655" s="55"/>
      <c r="C655" s="55"/>
      <c r="D655" s="55"/>
    </row>
    <row r="656" spans="1:4" ht="12.75">
      <c r="A656" s="55"/>
      <c r="B656" s="55"/>
      <c r="C656" s="55"/>
      <c r="D656" s="55"/>
    </row>
    <row r="657" spans="1:4" ht="12.75">
      <c r="A657" s="55"/>
      <c r="B657" s="55"/>
      <c r="C657" s="55"/>
      <c r="D657" s="55"/>
    </row>
    <row r="658" spans="1:4" ht="12.75">
      <c r="A658" s="55"/>
      <c r="B658" s="55"/>
      <c r="C658" s="55"/>
      <c r="D658" s="55"/>
    </row>
    <row r="659" spans="1:4" ht="12.75">
      <c r="A659" s="55"/>
      <c r="B659" s="55"/>
      <c r="C659" s="55"/>
      <c r="D659" s="55"/>
    </row>
    <row r="660" spans="1:4" ht="12.75">
      <c r="A660" s="55"/>
      <c r="B660" s="55"/>
      <c r="C660" s="55"/>
      <c r="D660" s="55"/>
    </row>
    <row r="661" spans="1:4" ht="12.75">
      <c r="A661" s="55"/>
      <c r="B661" s="55"/>
      <c r="C661" s="55"/>
      <c r="D661" s="55"/>
    </row>
    <row r="662" spans="1:4" ht="12.75">
      <c r="A662" s="55"/>
      <c r="B662" s="55"/>
      <c r="C662" s="55"/>
      <c r="D662" s="55"/>
    </row>
    <row r="663" spans="1:4" ht="12.75">
      <c r="A663" s="55"/>
      <c r="B663" s="55"/>
      <c r="C663" s="55"/>
      <c r="D663" s="55"/>
    </row>
    <row r="664" spans="1:4" ht="12.75">
      <c r="A664" s="55"/>
      <c r="B664" s="55"/>
      <c r="C664" s="55"/>
      <c r="D664" s="55"/>
    </row>
    <row r="665" spans="1:4" ht="12.75">
      <c r="A665" s="55"/>
      <c r="B665" s="55"/>
      <c r="C665" s="55"/>
      <c r="D665" s="55"/>
    </row>
    <row r="666" spans="1:4" ht="12.75">
      <c r="A666" s="55"/>
      <c r="B666" s="55"/>
      <c r="C666" s="55"/>
      <c r="D666" s="55"/>
    </row>
    <row r="667" spans="1:4" ht="12.75">
      <c r="A667" s="55"/>
      <c r="B667" s="55"/>
      <c r="C667" s="55"/>
      <c r="D667" s="55"/>
    </row>
    <row r="668" spans="1:4" ht="12.75">
      <c r="A668" s="55"/>
      <c r="B668" s="55"/>
      <c r="C668" s="55"/>
      <c r="D668" s="55"/>
    </row>
    <row r="669" spans="1:4" ht="12.75">
      <c r="A669" s="55"/>
      <c r="B669" s="55"/>
      <c r="C669" s="55"/>
      <c r="D669" s="55"/>
    </row>
    <row r="670" spans="1:4" ht="12.75">
      <c r="A670" s="55"/>
      <c r="B670" s="55"/>
      <c r="C670" s="55"/>
      <c r="D670" s="55"/>
    </row>
    <row r="671" spans="1:4" ht="12.75">
      <c r="A671" s="55"/>
      <c r="B671" s="55"/>
      <c r="C671" s="55"/>
      <c r="D671" s="55"/>
    </row>
    <row r="672" spans="1:4" ht="12.75">
      <c r="A672" s="55"/>
      <c r="B672" s="55"/>
      <c r="C672" s="55"/>
      <c r="D672" s="55"/>
    </row>
    <row r="673" spans="1:4" ht="12.75">
      <c r="A673" s="55"/>
      <c r="B673" s="55"/>
      <c r="C673" s="55"/>
      <c r="D673" s="55"/>
    </row>
    <row r="674" spans="1:4" ht="12.75">
      <c r="A674" s="55"/>
      <c r="B674" s="55"/>
      <c r="C674" s="55"/>
      <c r="D674" s="55"/>
    </row>
    <row r="675" spans="1:4" ht="12.75">
      <c r="A675" s="55"/>
      <c r="B675" s="55"/>
      <c r="C675" s="55"/>
      <c r="D675" s="55"/>
    </row>
    <row r="676" spans="1:4" ht="12.75">
      <c r="A676" s="55"/>
      <c r="B676" s="55"/>
      <c r="C676" s="55"/>
      <c r="D676" s="55"/>
    </row>
    <row r="677" spans="1:4" ht="12.75">
      <c r="A677" s="55"/>
      <c r="B677" s="55"/>
      <c r="C677" s="55"/>
      <c r="D677" s="55"/>
    </row>
    <row r="678" spans="1:4" ht="12.75">
      <c r="A678" s="55"/>
      <c r="B678" s="55"/>
      <c r="C678" s="55"/>
      <c r="D678" s="55"/>
    </row>
    <row r="679" spans="1:4" ht="12.75">
      <c r="A679" s="55"/>
      <c r="B679" s="55"/>
      <c r="C679" s="55"/>
      <c r="D679" s="55"/>
    </row>
    <row r="680" spans="1:4" ht="12.75">
      <c r="A680" s="55"/>
      <c r="B680" s="55"/>
      <c r="C680" s="55"/>
      <c r="D680" s="55"/>
    </row>
    <row r="681" spans="1:4" ht="12.75">
      <c r="A681" s="55"/>
      <c r="B681" s="55"/>
      <c r="C681" s="55"/>
      <c r="D681" s="55"/>
    </row>
    <row r="682" spans="1:4" ht="12.75">
      <c r="A682" s="55"/>
      <c r="B682" s="55"/>
      <c r="C682" s="55"/>
      <c r="D682" s="55"/>
    </row>
    <row r="683" spans="1:4" ht="12.75">
      <c r="A683" s="55"/>
      <c r="B683" s="55"/>
      <c r="C683" s="55"/>
      <c r="D683" s="55"/>
    </row>
    <row r="684" spans="1:4" ht="12.75">
      <c r="A684" s="55"/>
      <c r="B684" s="55"/>
      <c r="C684" s="55"/>
      <c r="D684" s="55"/>
    </row>
    <row r="685" spans="1:4" ht="12.75">
      <c r="A685" s="55"/>
      <c r="B685" s="55"/>
      <c r="C685" s="55"/>
      <c r="D685" s="55"/>
    </row>
    <row r="686" spans="1:4" ht="12.75">
      <c r="A686" s="55"/>
      <c r="B686" s="55"/>
      <c r="C686" s="55"/>
      <c r="D686" s="55"/>
    </row>
  </sheetData>
  <mergeCells count="13">
    <mergeCell ref="E1:F1"/>
    <mergeCell ref="A6:F6"/>
    <mergeCell ref="A8:F8"/>
    <mergeCell ref="C380:C381"/>
    <mergeCell ref="A9:A11"/>
    <mergeCell ref="B9:B11"/>
    <mergeCell ref="C9:C11"/>
    <mergeCell ref="E380:E381"/>
    <mergeCell ref="E9:E10"/>
    <mergeCell ref="F9:F10"/>
    <mergeCell ref="F380:F381"/>
    <mergeCell ref="D9:D10"/>
    <mergeCell ref="D380:D381"/>
  </mergeCells>
  <printOptions horizontalCentered="1"/>
  <pageMargins left="0.35433070866141736" right="0.31496062992125984" top="0.25" bottom="0.21" header="0.11811023622047245" footer="0.19"/>
  <pageSetup horizontalDpi="600" verticalDpi="600" orientation="portrait" paperSize="9" r:id="rId1"/>
  <rowBreaks count="6" manualBreakCount="6">
    <brk id="65" max="5" man="1"/>
    <brk id="129" max="5" man="1"/>
    <brk id="192" max="5" man="1"/>
    <brk id="255" max="5" man="1"/>
    <brk id="316" max="5" man="1"/>
    <brk id="37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71"/>
  <sheetViews>
    <sheetView workbookViewId="0" topLeftCell="A82">
      <selection activeCell="E115" sqref="E115"/>
    </sheetView>
  </sheetViews>
  <sheetFormatPr defaultColWidth="9.00390625" defaultRowHeight="12.75"/>
  <cols>
    <col min="1" max="1" width="4.125" style="306" customWidth="1"/>
    <col min="2" max="2" width="6.00390625" style="306" customWidth="1"/>
    <col min="3" max="3" width="5.00390625" style="306" customWidth="1"/>
    <col min="4" max="4" width="44.875" style="306" customWidth="1"/>
    <col min="5" max="5" width="13.25390625" style="306" customWidth="1"/>
    <col min="6" max="6" width="10.25390625" style="306" customWidth="1"/>
    <col min="7" max="7" width="13.25390625" style="645" customWidth="1"/>
    <col min="8" max="8" width="7.875" style="646" customWidth="1"/>
    <col min="9" max="9" width="12.00390625" style="646" customWidth="1"/>
    <col min="10" max="10" width="9.875" style="306" customWidth="1"/>
    <col min="11" max="16384" width="9.125" style="306" customWidth="1"/>
  </cols>
  <sheetData>
    <row r="1" ht="12.75">
      <c r="F1" s="556" t="s">
        <v>470</v>
      </c>
    </row>
    <row r="2" ht="12.75">
      <c r="F2" s="556" t="s">
        <v>206</v>
      </c>
    </row>
    <row r="3" spans="2:6" ht="12.75">
      <c r="B3" s="647"/>
      <c r="C3" s="647"/>
      <c r="D3" s="647"/>
      <c r="F3" s="556" t="s">
        <v>207</v>
      </c>
    </row>
    <row r="4" ht="12.75">
      <c r="F4" s="556" t="s">
        <v>653</v>
      </c>
    </row>
    <row r="7" spans="1:7" ht="12.75">
      <c r="A7" s="752" t="s">
        <v>638</v>
      </c>
      <c r="B7" s="752"/>
      <c r="C7" s="752"/>
      <c r="D7" s="752"/>
      <c r="E7" s="752"/>
      <c r="F7" s="752"/>
      <c r="G7" s="752"/>
    </row>
    <row r="8" spans="3:4" ht="10.5" customHeight="1">
      <c r="C8" s="647"/>
      <c r="D8" s="648"/>
    </row>
    <row r="9" spans="1:7" ht="12" customHeight="1" thickBot="1">
      <c r="A9" s="751" t="s">
        <v>114</v>
      </c>
      <c r="B9" s="751"/>
      <c r="C9" s="751"/>
      <c r="D9" s="751"/>
      <c r="E9" s="751"/>
      <c r="F9" s="751"/>
      <c r="G9" s="751"/>
    </row>
    <row r="10" spans="1:7" ht="12.75" customHeight="1">
      <c r="A10" s="759" t="s">
        <v>63</v>
      </c>
      <c r="B10" s="762" t="s">
        <v>47</v>
      </c>
      <c r="C10" s="762" t="s">
        <v>0</v>
      </c>
      <c r="D10" s="762" t="s">
        <v>64</v>
      </c>
      <c r="E10" s="753" t="s">
        <v>531</v>
      </c>
      <c r="F10" s="756" t="s">
        <v>640</v>
      </c>
      <c r="G10" s="748" t="s">
        <v>678</v>
      </c>
    </row>
    <row r="11" spans="1:7" ht="12.75">
      <c r="A11" s="760"/>
      <c r="B11" s="763"/>
      <c r="C11" s="763"/>
      <c r="D11" s="763"/>
      <c r="E11" s="754"/>
      <c r="F11" s="757"/>
      <c r="G11" s="749"/>
    </row>
    <row r="12" spans="1:7" ht="12" customHeight="1" thickBot="1">
      <c r="A12" s="761"/>
      <c r="B12" s="764"/>
      <c r="C12" s="764"/>
      <c r="D12" s="764"/>
      <c r="E12" s="755"/>
      <c r="F12" s="758"/>
      <c r="G12" s="750"/>
    </row>
    <row r="13" spans="1:9" s="653" customFormat="1" ht="9.75" customHeight="1" thickBot="1">
      <c r="A13" s="649">
        <v>1</v>
      </c>
      <c r="B13" s="444">
        <v>2</v>
      </c>
      <c r="C13" s="650">
        <v>3</v>
      </c>
      <c r="D13" s="650">
        <v>4</v>
      </c>
      <c r="E13" s="444">
        <v>5</v>
      </c>
      <c r="F13" s="651">
        <v>6</v>
      </c>
      <c r="G13" s="468">
        <v>7</v>
      </c>
      <c r="H13" s="652"/>
      <c r="I13" s="652"/>
    </row>
    <row r="14" spans="1:7" ht="12.75">
      <c r="A14" s="654"/>
      <c r="B14" s="655"/>
      <c r="C14" s="655"/>
      <c r="D14" s="656"/>
      <c r="E14" s="445"/>
      <c r="F14" s="657"/>
      <c r="G14" s="321"/>
    </row>
    <row r="15" spans="1:7" ht="13.5" thickBot="1">
      <c r="A15" s="658" t="s">
        <v>1</v>
      </c>
      <c r="B15" s="659"/>
      <c r="C15" s="659"/>
      <c r="D15" s="660" t="s">
        <v>2</v>
      </c>
      <c r="E15" s="446">
        <f>E16+E19</f>
        <v>60540</v>
      </c>
      <c r="F15" s="446">
        <f>F16+F19</f>
        <v>0</v>
      </c>
      <c r="G15" s="320">
        <f aca="true" t="shared" si="0" ref="G15:G25">E15+F15</f>
        <v>60540</v>
      </c>
    </row>
    <row r="16" spans="1:7" ht="12.75">
      <c r="A16" s="661"/>
      <c r="B16" s="662" t="s">
        <v>3</v>
      </c>
      <c r="C16" s="663"/>
      <c r="D16" s="664" t="s">
        <v>69</v>
      </c>
      <c r="E16" s="448">
        <f>E17</f>
        <v>50000</v>
      </c>
      <c r="F16" s="448">
        <f>F17</f>
        <v>0</v>
      </c>
      <c r="G16" s="322">
        <f t="shared" si="0"/>
        <v>50000</v>
      </c>
    </row>
    <row r="17" spans="1:7" ht="12.75">
      <c r="A17" s="661"/>
      <c r="B17" s="611"/>
      <c r="C17" s="309" t="s">
        <v>208</v>
      </c>
      <c r="D17" s="76" t="s">
        <v>209</v>
      </c>
      <c r="E17" s="447">
        <v>50000</v>
      </c>
      <c r="F17" s="467"/>
      <c r="G17" s="321">
        <f t="shared" si="0"/>
        <v>50000</v>
      </c>
    </row>
    <row r="18" spans="1:7" ht="12.75">
      <c r="A18" s="661"/>
      <c r="B18" s="665"/>
      <c r="C18" s="309"/>
      <c r="D18" s="76"/>
      <c r="E18" s="447"/>
      <c r="F18" s="467"/>
      <c r="G18" s="321"/>
    </row>
    <row r="19" spans="1:7" ht="12.75">
      <c r="A19" s="661"/>
      <c r="B19" s="662" t="s">
        <v>501</v>
      </c>
      <c r="C19" s="666"/>
      <c r="D19" s="80" t="s">
        <v>502</v>
      </c>
      <c r="E19" s="448">
        <f>SUM(E20:E22)</f>
        <v>10540</v>
      </c>
      <c r="F19" s="448">
        <f>SUM(F20:F22)</f>
        <v>0</v>
      </c>
      <c r="G19" s="322">
        <f t="shared" si="0"/>
        <v>10540</v>
      </c>
    </row>
    <row r="20" spans="1:7" ht="12.75">
      <c r="A20" s="661"/>
      <c r="B20" s="309"/>
      <c r="C20" s="309" t="s">
        <v>655</v>
      </c>
      <c r="D20" s="76" t="s">
        <v>656</v>
      </c>
      <c r="E20" s="447">
        <v>5540</v>
      </c>
      <c r="F20" s="467"/>
      <c r="G20" s="321">
        <f>F20+E20</f>
        <v>5540</v>
      </c>
    </row>
    <row r="21" spans="1:7" ht="12.75">
      <c r="A21" s="661"/>
      <c r="B21" s="309"/>
      <c r="C21" s="309"/>
      <c r="D21" s="76" t="s">
        <v>657</v>
      </c>
      <c r="E21" s="447"/>
      <c r="F21" s="467"/>
      <c r="G21" s="321"/>
    </row>
    <row r="22" spans="1:10" ht="12.75">
      <c r="A22" s="661"/>
      <c r="B22" s="611"/>
      <c r="C22" s="309" t="s">
        <v>208</v>
      </c>
      <c r="D22" s="76" t="s">
        <v>209</v>
      </c>
      <c r="E22" s="447">
        <v>5000</v>
      </c>
      <c r="F22" s="467"/>
      <c r="G22" s="321">
        <f t="shared" si="0"/>
        <v>5000</v>
      </c>
      <c r="I22" s="76"/>
      <c r="J22" s="657"/>
    </row>
    <row r="23" spans="1:10" ht="12.75">
      <c r="A23" s="661"/>
      <c r="B23" s="611"/>
      <c r="C23" s="309"/>
      <c r="D23" s="76"/>
      <c r="E23" s="447"/>
      <c r="F23" s="467"/>
      <c r="G23" s="321"/>
      <c r="I23" s="76"/>
      <c r="J23" s="657"/>
    </row>
    <row r="24" spans="1:10" ht="13.5" thickBot="1">
      <c r="A24" s="658" t="s">
        <v>21</v>
      </c>
      <c r="B24" s="659"/>
      <c r="C24" s="659"/>
      <c r="D24" s="312" t="s">
        <v>22</v>
      </c>
      <c r="E24" s="446">
        <f>E28+E25</f>
        <v>188414</v>
      </c>
      <c r="F24" s="446">
        <f>F28+F25</f>
        <v>4922</v>
      </c>
      <c r="G24" s="320">
        <f t="shared" si="0"/>
        <v>193336</v>
      </c>
      <c r="I24" s="667"/>
      <c r="J24" s="657"/>
    </row>
    <row r="25" spans="1:10" ht="12.75">
      <c r="A25" s="668"/>
      <c r="B25" s="662" t="s">
        <v>44</v>
      </c>
      <c r="C25" s="663"/>
      <c r="D25" s="80" t="s">
        <v>72</v>
      </c>
      <c r="E25" s="448">
        <f>SUM(E26)</f>
        <v>183714</v>
      </c>
      <c r="F25" s="448">
        <f>SUM(F26)</f>
        <v>4922</v>
      </c>
      <c r="G25" s="322">
        <f t="shared" si="0"/>
        <v>188636</v>
      </c>
      <c r="I25" s="76"/>
      <c r="J25" s="657"/>
    </row>
    <row r="26" spans="1:7" ht="12.75">
      <c r="A26" s="668"/>
      <c r="B26" s="669"/>
      <c r="C26" s="670">
        <v>3030</v>
      </c>
      <c r="D26" s="96" t="s">
        <v>210</v>
      </c>
      <c r="E26" s="447">
        <v>183714</v>
      </c>
      <c r="F26" s="467">
        <v>4922</v>
      </c>
      <c r="G26" s="321">
        <f aca="true" t="shared" si="1" ref="G26:G33">E26+F26</f>
        <v>188636</v>
      </c>
    </row>
    <row r="27" spans="1:7" ht="12.75">
      <c r="A27" s="668"/>
      <c r="B27" s="671"/>
      <c r="C27" s="671"/>
      <c r="D27" s="311"/>
      <c r="E27" s="447"/>
      <c r="F27" s="467"/>
      <c r="G27" s="321"/>
    </row>
    <row r="28" spans="1:7" ht="12.75">
      <c r="A28" s="672"/>
      <c r="B28" s="662" t="s">
        <v>23</v>
      </c>
      <c r="C28" s="673"/>
      <c r="D28" s="80" t="s">
        <v>72</v>
      </c>
      <c r="E28" s="448">
        <f>E29</f>
        <v>4700</v>
      </c>
      <c r="F28" s="448">
        <f>F29</f>
        <v>0</v>
      </c>
      <c r="G28" s="322">
        <f t="shared" si="1"/>
        <v>4700</v>
      </c>
    </row>
    <row r="29" spans="1:7" ht="12.75">
      <c r="A29" s="672"/>
      <c r="B29" s="674"/>
      <c r="C29" s="309" t="s">
        <v>208</v>
      </c>
      <c r="D29" s="76" t="s">
        <v>209</v>
      </c>
      <c r="E29" s="447">
        <v>4700</v>
      </c>
      <c r="F29" s="467"/>
      <c r="G29" s="321">
        <f t="shared" si="1"/>
        <v>4700</v>
      </c>
    </row>
    <row r="30" spans="1:7" ht="12.75">
      <c r="A30" s="672"/>
      <c r="B30" s="674"/>
      <c r="C30" s="309"/>
      <c r="D30" s="76"/>
      <c r="E30" s="447"/>
      <c r="F30" s="467"/>
      <c r="G30" s="321"/>
    </row>
    <row r="31" spans="1:7" ht="13.5" thickBot="1">
      <c r="A31" s="675">
        <v>600</v>
      </c>
      <c r="B31" s="659"/>
      <c r="C31" s="659"/>
      <c r="D31" s="312" t="s">
        <v>32</v>
      </c>
      <c r="E31" s="446">
        <f>E32</f>
        <v>3293500</v>
      </c>
      <c r="F31" s="446">
        <f>F32</f>
        <v>-94329</v>
      </c>
      <c r="G31" s="320">
        <f t="shared" si="1"/>
        <v>3199171</v>
      </c>
    </row>
    <row r="32" spans="1:7" ht="12.75">
      <c r="A32" s="672"/>
      <c r="B32" s="676">
        <v>60014</v>
      </c>
      <c r="C32" s="663"/>
      <c r="D32" s="415" t="s">
        <v>33</v>
      </c>
      <c r="E32" s="448">
        <f>SUM(E33:E52)</f>
        <v>3293500</v>
      </c>
      <c r="F32" s="448">
        <f>SUM(F33:F52)</f>
        <v>-94329</v>
      </c>
      <c r="G32" s="322">
        <f t="shared" si="1"/>
        <v>3199171</v>
      </c>
    </row>
    <row r="33" spans="1:7" ht="12.75">
      <c r="A33" s="672"/>
      <c r="B33" s="611"/>
      <c r="C33" s="611">
        <v>2310</v>
      </c>
      <c r="D33" s="311" t="s">
        <v>521</v>
      </c>
      <c r="E33" s="447">
        <v>28423</v>
      </c>
      <c r="F33" s="467"/>
      <c r="G33" s="321">
        <f t="shared" si="1"/>
        <v>28423</v>
      </c>
    </row>
    <row r="34" spans="1:9" ht="12.75">
      <c r="A34" s="672"/>
      <c r="B34" s="611"/>
      <c r="C34" s="611">
        <v>3020</v>
      </c>
      <c r="D34" s="76" t="s">
        <v>212</v>
      </c>
      <c r="E34" s="447">
        <v>15500</v>
      </c>
      <c r="F34" s="467">
        <f>2242+11505</f>
        <v>13747</v>
      </c>
      <c r="G34" s="321">
        <f>E34+F34</f>
        <v>29247</v>
      </c>
      <c r="I34" s="645">
        <f>SUM(G35:G38)</f>
        <v>1126428</v>
      </c>
    </row>
    <row r="35" spans="1:7" ht="12.75">
      <c r="A35" s="672"/>
      <c r="B35" s="611"/>
      <c r="C35" s="611">
        <v>4010</v>
      </c>
      <c r="D35" s="76" t="s">
        <v>213</v>
      </c>
      <c r="E35" s="447">
        <v>853944</v>
      </c>
      <c r="F35" s="467">
        <v>31233</v>
      </c>
      <c r="G35" s="321">
        <f aca="true" t="shared" si="2" ref="G35:G99">E35+F35</f>
        <v>885177</v>
      </c>
    </row>
    <row r="36" spans="1:7" ht="12.75">
      <c r="A36" s="672"/>
      <c r="B36" s="611"/>
      <c r="C36" s="611">
        <v>4040</v>
      </c>
      <c r="D36" s="76" t="s">
        <v>214</v>
      </c>
      <c r="E36" s="447">
        <v>54654</v>
      </c>
      <c r="F36" s="467"/>
      <c r="G36" s="321">
        <f t="shared" si="2"/>
        <v>54654</v>
      </c>
    </row>
    <row r="37" spans="1:7" ht="12.75">
      <c r="A37" s="672"/>
      <c r="B37" s="611"/>
      <c r="C37" s="611">
        <v>4110</v>
      </c>
      <c r="D37" s="76" t="s">
        <v>215</v>
      </c>
      <c r="E37" s="447">
        <v>165643</v>
      </c>
      <c r="F37" s="467">
        <f>-1752</f>
        <v>-1752</v>
      </c>
      <c r="G37" s="321">
        <f t="shared" si="2"/>
        <v>163891</v>
      </c>
    </row>
    <row r="38" spans="1:7" ht="12.75">
      <c r="A38" s="672"/>
      <c r="B38" s="611"/>
      <c r="C38" s="611">
        <v>4120</v>
      </c>
      <c r="D38" s="76" t="s">
        <v>216</v>
      </c>
      <c r="E38" s="447">
        <v>18879</v>
      </c>
      <c r="F38" s="467">
        <f>3296+531</f>
        <v>3827</v>
      </c>
      <c r="G38" s="321">
        <f t="shared" si="2"/>
        <v>22706</v>
      </c>
    </row>
    <row r="39" spans="1:7" ht="12.75">
      <c r="A39" s="672"/>
      <c r="B39" s="611"/>
      <c r="C39" s="611">
        <v>4210</v>
      </c>
      <c r="D39" s="76" t="s">
        <v>217</v>
      </c>
      <c r="E39" s="447">
        <v>420500</v>
      </c>
      <c r="F39" s="467">
        <f>44900+132900</f>
        <v>177800</v>
      </c>
      <c r="G39" s="321">
        <f t="shared" si="2"/>
        <v>598300</v>
      </c>
    </row>
    <row r="40" spans="1:10" ht="12.75">
      <c r="A40" s="672"/>
      <c r="B40" s="611"/>
      <c r="C40" s="611">
        <v>4260</v>
      </c>
      <c r="D40" s="76" t="s">
        <v>218</v>
      </c>
      <c r="E40" s="447">
        <v>55100</v>
      </c>
      <c r="F40" s="467">
        <f>-11967</f>
        <v>-11967</v>
      </c>
      <c r="G40" s="321">
        <f t="shared" si="2"/>
        <v>43133</v>
      </c>
      <c r="J40" s="314">
        <f>SUM(G34:G52)</f>
        <v>3170748</v>
      </c>
    </row>
    <row r="41" spans="1:7" ht="12.75">
      <c r="A41" s="672"/>
      <c r="B41" s="611"/>
      <c r="C41" s="611">
        <v>4270</v>
      </c>
      <c r="D41" s="76" t="s">
        <v>219</v>
      </c>
      <c r="E41" s="447">
        <v>497192</v>
      </c>
      <c r="F41" s="467">
        <f>40857-16513</f>
        <v>24344</v>
      </c>
      <c r="G41" s="321">
        <f t="shared" si="2"/>
        <v>521536</v>
      </c>
    </row>
    <row r="42" spans="1:7" ht="12.75">
      <c r="A42" s="672"/>
      <c r="B42" s="611"/>
      <c r="C42" s="611">
        <v>4280</v>
      </c>
      <c r="D42" s="76" t="s">
        <v>220</v>
      </c>
      <c r="E42" s="447">
        <v>2000</v>
      </c>
      <c r="F42" s="467">
        <v>-1150</v>
      </c>
      <c r="G42" s="321">
        <f t="shared" si="2"/>
        <v>850</v>
      </c>
    </row>
    <row r="43" spans="1:7" ht="12.75">
      <c r="A43" s="672"/>
      <c r="B43" s="611"/>
      <c r="C43" s="611">
        <v>4300</v>
      </c>
      <c r="D43" s="76" t="s">
        <v>209</v>
      </c>
      <c r="E43" s="447">
        <v>72100</v>
      </c>
      <c r="F43" s="467">
        <v>-1958</v>
      </c>
      <c r="G43" s="321">
        <f t="shared" si="2"/>
        <v>70142</v>
      </c>
    </row>
    <row r="44" spans="1:7" ht="12.75">
      <c r="A44" s="672"/>
      <c r="B44" s="611"/>
      <c r="C44" s="611">
        <v>4410</v>
      </c>
      <c r="D44" s="76" t="s">
        <v>221</v>
      </c>
      <c r="E44" s="447">
        <v>6000</v>
      </c>
      <c r="F44" s="467">
        <v>-853</v>
      </c>
      <c r="G44" s="321">
        <f t="shared" si="2"/>
        <v>5147</v>
      </c>
    </row>
    <row r="45" spans="1:7" ht="12.75">
      <c r="A45" s="672"/>
      <c r="B45" s="611"/>
      <c r="C45" s="611">
        <v>4430</v>
      </c>
      <c r="D45" s="76" t="s">
        <v>222</v>
      </c>
      <c r="E45" s="447">
        <v>36000</v>
      </c>
      <c r="F45" s="467">
        <v>-5536</v>
      </c>
      <c r="G45" s="321">
        <f t="shared" si="2"/>
        <v>30464</v>
      </c>
    </row>
    <row r="46" spans="1:7" ht="12.75">
      <c r="A46" s="672"/>
      <c r="B46" s="611"/>
      <c r="C46" s="611">
        <v>4440</v>
      </c>
      <c r="D46" s="76" t="s">
        <v>223</v>
      </c>
      <c r="E46" s="447">
        <v>32465</v>
      </c>
      <c r="F46" s="467"/>
      <c r="G46" s="321">
        <f t="shared" si="2"/>
        <v>32465</v>
      </c>
    </row>
    <row r="47" spans="1:7" ht="12.75">
      <c r="A47" s="672"/>
      <c r="B47" s="611"/>
      <c r="C47" s="611">
        <v>4480</v>
      </c>
      <c r="D47" s="76" t="s">
        <v>224</v>
      </c>
      <c r="E47" s="447">
        <v>27200</v>
      </c>
      <c r="F47" s="467">
        <v>-1772</v>
      </c>
      <c r="G47" s="321">
        <f t="shared" si="2"/>
        <v>25428</v>
      </c>
    </row>
    <row r="48" spans="1:7" ht="12.75">
      <c r="A48" s="672"/>
      <c r="B48" s="611"/>
      <c r="C48" s="611">
        <v>4510</v>
      </c>
      <c r="D48" s="76" t="s">
        <v>225</v>
      </c>
      <c r="E48" s="447">
        <v>2900</v>
      </c>
      <c r="F48" s="467">
        <v>-71</v>
      </c>
      <c r="G48" s="321">
        <f t="shared" si="2"/>
        <v>2829</v>
      </c>
    </row>
    <row r="49" spans="1:7" ht="12.75">
      <c r="A49" s="672"/>
      <c r="B49" s="611"/>
      <c r="C49" s="611">
        <v>4520</v>
      </c>
      <c r="D49" s="76" t="s">
        <v>466</v>
      </c>
      <c r="E49" s="447">
        <v>2000</v>
      </c>
      <c r="F49" s="467">
        <v>-379</v>
      </c>
      <c r="G49" s="321">
        <f t="shared" si="2"/>
        <v>1621</v>
      </c>
    </row>
    <row r="50" spans="1:7" ht="12.75">
      <c r="A50" s="672"/>
      <c r="B50" s="611"/>
      <c r="C50" s="611">
        <v>4580</v>
      </c>
      <c r="D50" s="76" t="s">
        <v>88</v>
      </c>
      <c r="E50" s="447">
        <v>3000</v>
      </c>
      <c r="F50" s="467">
        <v>-2985</v>
      </c>
      <c r="G50" s="321">
        <f t="shared" si="2"/>
        <v>15</v>
      </c>
    </row>
    <row r="51" spans="1:7" ht="12.75">
      <c r="A51" s="672"/>
      <c r="B51" s="611"/>
      <c r="C51" s="611">
        <v>6050</v>
      </c>
      <c r="D51" s="76" t="s">
        <v>226</v>
      </c>
      <c r="E51" s="447">
        <v>890000</v>
      </c>
      <c r="F51" s="467">
        <v>-298357</v>
      </c>
      <c r="G51" s="321">
        <f t="shared" si="2"/>
        <v>591643</v>
      </c>
    </row>
    <row r="52" spans="1:7" ht="12.75">
      <c r="A52" s="672"/>
      <c r="B52" s="611"/>
      <c r="C52" s="611">
        <v>6060</v>
      </c>
      <c r="D52" s="76" t="s">
        <v>534</v>
      </c>
      <c r="E52" s="447">
        <v>110000</v>
      </c>
      <c r="F52" s="467">
        <v>-18500</v>
      </c>
      <c r="G52" s="321">
        <f t="shared" si="2"/>
        <v>91500</v>
      </c>
    </row>
    <row r="53" spans="1:7" ht="12.75">
      <c r="A53" s="672"/>
      <c r="B53" s="611"/>
      <c r="C53" s="611"/>
      <c r="D53" s="76"/>
      <c r="E53" s="447"/>
      <c r="F53" s="467"/>
      <c r="G53" s="321"/>
    </row>
    <row r="54" spans="1:7" ht="13.5" thickBot="1">
      <c r="A54" s="675">
        <v>630</v>
      </c>
      <c r="B54" s="659"/>
      <c r="C54" s="677"/>
      <c r="D54" s="312" t="s">
        <v>227</v>
      </c>
      <c r="E54" s="446">
        <f>E55</f>
        <v>3000</v>
      </c>
      <c r="F54" s="446">
        <f>F55</f>
        <v>0</v>
      </c>
      <c r="G54" s="320">
        <f t="shared" si="2"/>
        <v>3000</v>
      </c>
    </row>
    <row r="55" spans="1:7" ht="12.75">
      <c r="A55" s="672"/>
      <c r="B55" s="676">
        <v>63003</v>
      </c>
      <c r="C55" s="666"/>
      <c r="D55" s="80" t="s">
        <v>228</v>
      </c>
      <c r="E55" s="448">
        <f>SUM(E56:E59)</f>
        <v>3000</v>
      </c>
      <c r="F55" s="448">
        <f>SUM(F56:F59)</f>
        <v>0</v>
      </c>
      <c r="G55" s="322">
        <f t="shared" si="2"/>
        <v>3000</v>
      </c>
    </row>
    <row r="56" spans="1:8" ht="12.75">
      <c r="A56" s="672"/>
      <c r="B56" s="674"/>
      <c r="C56" s="309" t="s">
        <v>522</v>
      </c>
      <c r="D56" s="76" t="s">
        <v>523</v>
      </c>
      <c r="E56" s="447">
        <v>1000</v>
      </c>
      <c r="F56" s="467"/>
      <c r="G56" s="321">
        <f t="shared" si="2"/>
        <v>1000</v>
      </c>
      <c r="H56" s="645"/>
    </row>
    <row r="57" spans="1:8" ht="12.75">
      <c r="A57" s="672"/>
      <c r="B57" s="674"/>
      <c r="C57" s="309"/>
      <c r="D57" s="76" t="s">
        <v>524</v>
      </c>
      <c r="E57" s="447"/>
      <c r="F57" s="467"/>
      <c r="G57" s="321"/>
      <c r="H57" s="645"/>
    </row>
    <row r="58" spans="1:7" ht="12.75">
      <c r="A58" s="672"/>
      <c r="B58" s="674"/>
      <c r="C58" s="309" t="s">
        <v>229</v>
      </c>
      <c r="D58" s="76" t="s">
        <v>217</v>
      </c>
      <c r="E58" s="447">
        <v>1000</v>
      </c>
      <c r="F58" s="467">
        <v>195</v>
      </c>
      <c r="G58" s="321">
        <f t="shared" si="2"/>
        <v>1195</v>
      </c>
    </row>
    <row r="59" spans="1:7" ht="12.75">
      <c r="A59" s="672"/>
      <c r="B59" s="674"/>
      <c r="C59" s="309" t="s">
        <v>208</v>
      </c>
      <c r="D59" s="76" t="s">
        <v>209</v>
      </c>
      <c r="E59" s="447">
        <v>1000</v>
      </c>
      <c r="F59" s="467">
        <v>-195</v>
      </c>
      <c r="G59" s="321">
        <f t="shared" si="2"/>
        <v>805</v>
      </c>
    </row>
    <row r="60" spans="1:7" ht="12.75">
      <c r="A60" s="672"/>
      <c r="B60" s="674"/>
      <c r="C60" s="309"/>
      <c r="D60" s="76"/>
      <c r="E60" s="447"/>
      <c r="F60" s="467"/>
      <c r="G60" s="321"/>
    </row>
    <row r="61" spans="1:7" ht="13.5" thickBot="1">
      <c r="A61" s="675">
        <v>700</v>
      </c>
      <c r="B61" s="659"/>
      <c r="C61" s="659"/>
      <c r="D61" s="312" t="s">
        <v>5</v>
      </c>
      <c r="E61" s="446">
        <f>E62</f>
        <v>129260</v>
      </c>
      <c r="F61" s="446">
        <f>F62</f>
        <v>0</v>
      </c>
      <c r="G61" s="320">
        <f t="shared" si="2"/>
        <v>129260</v>
      </c>
    </row>
    <row r="62" spans="1:7" ht="12.75">
      <c r="A62" s="672"/>
      <c r="B62" s="676">
        <v>70005</v>
      </c>
      <c r="C62" s="663"/>
      <c r="D62" s="80" t="s">
        <v>7</v>
      </c>
      <c r="E62" s="448">
        <f>SUM(E63:E68)</f>
        <v>129260</v>
      </c>
      <c r="F62" s="448">
        <f>SUM(F63:F68)</f>
        <v>0</v>
      </c>
      <c r="G62" s="322">
        <f t="shared" si="2"/>
        <v>129260</v>
      </c>
    </row>
    <row r="63" spans="1:7" ht="12.75">
      <c r="A63" s="672"/>
      <c r="B63" s="611"/>
      <c r="C63" s="611">
        <v>4210</v>
      </c>
      <c r="D63" s="76" t="s">
        <v>217</v>
      </c>
      <c r="E63" s="447">
        <v>0</v>
      </c>
      <c r="F63" s="467">
        <v>213</v>
      </c>
      <c r="G63" s="321">
        <f>F63+E63</f>
        <v>213</v>
      </c>
    </row>
    <row r="64" spans="1:7" ht="12.75">
      <c r="A64" s="672"/>
      <c r="B64" s="611"/>
      <c r="C64" s="611">
        <v>4260</v>
      </c>
      <c r="D64" s="76" t="s">
        <v>218</v>
      </c>
      <c r="E64" s="447">
        <f>10000</f>
        <v>10000</v>
      </c>
      <c r="F64" s="467"/>
      <c r="G64" s="321">
        <f t="shared" si="2"/>
        <v>10000</v>
      </c>
    </row>
    <row r="65" spans="1:7" ht="12.75">
      <c r="A65" s="672"/>
      <c r="B65" s="611"/>
      <c r="C65" s="611">
        <v>4270</v>
      </c>
      <c r="D65" s="76" t="s">
        <v>219</v>
      </c>
      <c r="E65" s="447">
        <v>25000</v>
      </c>
      <c r="F65" s="467">
        <v>-338</v>
      </c>
      <c r="G65" s="321">
        <f t="shared" si="2"/>
        <v>24662</v>
      </c>
    </row>
    <row r="66" spans="1:7" ht="12.75">
      <c r="A66" s="672"/>
      <c r="B66" s="611"/>
      <c r="C66" s="309" t="s">
        <v>208</v>
      </c>
      <c r="D66" s="76" t="s">
        <v>209</v>
      </c>
      <c r="E66" s="447">
        <v>82476</v>
      </c>
      <c r="F66" s="467">
        <v>403</v>
      </c>
      <c r="G66" s="321">
        <f t="shared" si="2"/>
        <v>82879</v>
      </c>
    </row>
    <row r="67" spans="1:7" ht="12.75">
      <c r="A67" s="672"/>
      <c r="B67" s="611"/>
      <c r="C67" s="309" t="s">
        <v>230</v>
      </c>
      <c r="D67" s="76" t="s">
        <v>224</v>
      </c>
      <c r="E67" s="447">
        <v>10784</v>
      </c>
      <c r="F67" s="467"/>
      <c r="G67" s="321">
        <f t="shared" si="2"/>
        <v>10784</v>
      </c>
    </row>
    <row r="68" spans="1:7" ht="12.75">
      <c r="A68" s="672"/>
      <c r="B68" s="611"/>
      <c r="C68" s="309" t="s">
        <v>231</v>
      </c>
      <c r="D68" s="76" t="s">
        <v>232</v>
      </c>
      <c r="E68" s="447">
        <v>1000</v>
      </c>
      <c r="F68" s="467">
        <v>-278</v>
      </c>
      <c r="G68" s="321">
        <f t="shared" si="2"/>
        <v>722</v>
      </c>
    </row>
    <row r="69" spans="1:7" ht="14.25" customHeight="1">
      <c r="A69" s="672"/>
      <c r="B69" s="611"/>
      <c r="C69" s="611"/>
      <c r="D69" s="76"/>
      <c r="E69" s="447"/>
      <c r="F69" s="678"/>
      <c r="G69" s="321"/>
    </row>
    <row r="70" spans="1:7" ht="13.5" thickBot="1">
      <c r="A70" s="675">
        <v>710</v>
      </c>
      <c r="B70" s="659"/>
      <c r="C70" s="677"/>
      <c r="D70" s="312" t="s">
        <v>9</v>
      </c>
      <c r="E70" s="446">
        <f>E71+E74+E77</f>
        <v>203256</v>
      </c>
      <c r="F70" s="446">
        <f>F71+F74+F77</f>
        <v>0</v>
      </c>
      <c r="G70" s="320">
        <f t="shared" si="2"/>
        <v>203256</v>
      </c>
    </row>
    <row r="71" spans="1:7" ht="12.75">
      <c r="A71" s="672"/>
      <c r="B71" s="676">
        <v>71013</v>
      </c>
      <c r="C71" s="666"/>
      <c r="D71" s="80" t="s">
        <v>233</v>
      </c>
      <c r="E71" s="448">
        <f>E72</f>
        <v>40000</v>
      </c>
      <c r="F71" s="448">
        <f>F72</f>
        <v>0</v>
      </c>
      <c r="G71" s="322">
        <f t="shared" si="2"/>
        <v>40000</v>
      </c>
    </row>
    <row r="72" spans="1:7" ht="12.75">
      <c r="A72" s="672"/>
      <c r="B72" s="611"/>
      <c r="C72" s="309" t="s">
        <v>208</v>
      </c>
      <c r="D72" s="76" t="s">
        <v>209</v>
      </c>
      <c r="E72" s="447">
        <v>40000</v>
      </c>
      <c r="F72" s="467"/>
      <c r="G72" s="321">
        <f t="shared" si="2"/>
        <v>40000</v>
      </c>
    </row>
    <row r="73" spans="1:7" ht="12.75">
      <c r="A73" s="672"/>
      <c r="B73" s="611"/>
      <c r="C73" s="309"/>
      <c r="D73" s="76"/>
      <c r="E73" s="447"/>
      <c r="F73" s="467"/>
      <c r="G73" s="321"/>
    </row>
    <row r="74" spans="1:7" ht="12.75">
      <c r="A74" s="672"/>
      <c r="B74" s="676">
        <v>71014</v>
      </c>
      <c r="C74" s="666"/>
      <c r="D74" s="80" t="s">
        <v>12</v>
      </c>
      <c r="E74" s="448">
        <f>E75</f>
        <v>6000</v>
      </c>
      <c r="F74" s="448">
        <f>F75</f>
        <v>0</v>
      </c>
      <c r="G74" s="322">
        <f t="shared" si="2"/>
        <v>6000</v>
      </c>
    </row>
    <row r="75" spans="1:7" ht="12.75">
      <c r="A75" s="672"/>
      <c r="B75" s="611"/>
      <c r="C75" s="309" t="s">
        <v>208</v>
      </c>
      <c r="D75" s="76" t="s">
        <v>209</v>
      </c>
      <c r="E75" s="447">
        <v>6000</v>
      </c>
      <c r="F75" s="467"/>
      <c r="G75" s="321">
        <f t="shared" si="2"/>
        <v>6000</v>
      </c>
    </row>
    <row r="76" spans="1:7" ht="12.75">
      <c r="A76" s="672"/>
      <c r="B76" s="611"/>
      <c r="C76" s="309"/>
      <c r="D76" s="76"/>
      <c r="E76" s="447"/>
      <c r="F76" s="467"/>
      <c r="G76" s="321"/>
    </row>
    <row r="77" spans="1:7" ht="12.75">
      <c r="A77" s="672"/>
      <c r="B77" s="676">
        <v>71015</v>
      </c>
      <c r="C77" s="663"/>
      <c r="D77" s="80" t="s">
        <v>14</v>
      </c>
      <c r="E77" s="448">
        <f>SUM(E78:E88)</f>
        <v>157256</v>
      </c>
      <c r="F77" s="448">
        <f>SUM(F78:F88)</f>
        <v>0</v>
      </c>
      <c r="G77" s="322">
        <f t="shared" si="2"/>
        <v>157256</v>
      </c>
    </row>
    <row r="78" spans="1:9" ht="12.75">
      <c r="A78" s="672"/>
      <c r="B78" s="611"/>
      <c r="C78" s="611">
        <v>4010</v>
      </c>
      <c r="D78" s="76" t="s">
        <v>213</v>
      </c>
      <c r="E78" s="447">
        <v>102204</v>
      </c>
      <c r="F78" s="467">
        <v>-128</v>
      </c>
      <c r="G78" s="321">
        <f t="shared" si="2"/>
        <v>102076</v>
      </c>
      <c r="I78" s="645"/>
    </row>
    <row r="79" spans="1:8" ht="12.75">
      <c r="A79" s="672"/>
      <c r="B79" s="611"/>
      <c r="C79" s="611">
        <v>4040</v>
      </c>
      <c r="D79" s="76" t="s">
        <v>214</v>
      </c>
      <c r="E79" s="447">
        <v>7882</v>
      </c>
      <c r="F79" s="467">
        <v>-95</v>
      </c>
      <c r="G79" s="321">
        <f t="shared" si="2"/>
        <v>7787</v>
      </c>
      <c r="H79" s="645"/>
    </row>
    <row r="80" spans="1:9" ht="12.75">
      <c r="A80" s="672"/>
      <c r="B80" s="611"/>
      <c r="C80" s="611">
        <v>4110</v>
      </c>
      <c r="D80" s="76" t="s">
        <v>215</v>
      </c>
      <c r="E80" s="447">
        <v>19022</v>
      </c>
      <c r="F80" s="467">
        <v>183</v>
      </c>
      <c r="G80" s="321">
        <f t="shared" si="2"/>
        <v>19205</v>
      </c>
      <c r="I80" s="645">
        <f>SUM(G78:G82)</f>
        <v>132355</v>
      </c>
    </row>
    <row r="81" spans="1:7" ht="12.75">
      <c r="A81" s="672"/>
      <c r="B81" s="611"/>
      <c r="C81" s="611">
        <v>4120</v>
      </c>
      <c r="D81" s="76" t="s">
        <v>216</v>
      </c>
      <c r="E81" s="447">
        <v>2562</v>
      </c>
      <c r="F81" s="467">
        <v>25</v>
      </c>
      <c r="G81" s="321">
        <f t="shared" si="2"/>
        <v>2587</v>
      </c>
    </row>
    <row r="82" spans="1:7" ht="12.75">
      <c r="A82" s="672"/>
      <c r="B82" s="611"/>
      <c r="C82" s="611">
        <v>4170</v>
      </c>
      <c r="D82" s="76" t="s">
        <v>605</v>
      </c>
      <c r="E82" s="447">
        <v>700</v>
      </c>
      <c r="F82" s="467"/>
      <c r="G82" s="321">
        <f t="shared" si="2"/>
        <v>700</v>
      </c>
    </row>
    <row r="83" spans="1:9" ht="12.75">
      <c r="A83" s="672"/>
      <c r="B83" s="611"/>
      <c r="C83" s="611">
        <v>4210</v>
      </c>
      <c r="D83" s="76" t="s">
        <v>217</v>
      </c>
      <c r="E83" s="447">
        <v>5219</v>
      </c>
      <c r="F83" s="467">
        <v>743</v>
      </c>
      <c r="G83" s="321">
        <f t="shared" si="2"/>
        <v>5962</v>
      </c>
      <c r="I83" s="645"/>
    </row>
    <row r="84" spans="1:9" ht="12.75">
      <c r="A84" s="672"/>
      <c r="B84" s="611"/>
      <c r="C84" s="611">
        <v>4280</v>
      </c>
      <c r="D84" s="76" t="s">
        <v>220</v>
      </c>
      <c r="E84" s="447">
        <v>250</v>
      </c>
      <c r="F84" s="467">
        <v>-1</v>
      </c>
      <c r="G84" s="321">
        <f t="shared" si="2"/>
        <v>249</v>
      </c>
      <c r="I84" s="645"/>
    </row>
    <row r="85" spans="1:9" ht="12.75">
      <c r="A85" s="672"/>
      <c r="B85" s="611"/>
      <c r="C85" s="611">
        <v>4300</v>
      </c>
      <c r="D85" s="76" t="s">
        <v>209</v>
      </c>
      <c r="E85" s="447">
        <v>10117</v>
      </c>
      <c r="F85" s="467">
        <v>-500</v>
      </c>
      <c r="G85" s="321">
        <f t="shared" si="2"/>
        <v>9617</v>
      </c>
      <c r="I85" s="645"/>
    </row>
    <row r="86" spans="1:7" ht="12.75">
      <c r="A86" s="672"/>
      <c r="B86" s="611"/>
      <c r="C86" s="611">
        <v>4430</v>
      </c>
      <c r="D86" s="76" t="s">
        <v>222</v>
      </c>
      <c r="E86" s="447">
        <v>1500</v>
      </c>
      <c r="F86" s="467">
        <v>-135</v>
      </c>
      <c r="G86" s="321">
        <f t="shared" si="2"/>
        <v>1365</v>
      </c>
    </row>
    <row r="87" spans="1:7" ht="12.75">
      <c r="A87" s="672"/>
      <c r="B87" s="611"/>
      <c r="C87" s="611">
        <v>4440</v>
      </c>
      <c r="D87" s="76" t="s">
        <v>223</v>
      </c>
      <c r="E87" s="447">
        <v>3300</v>
      </c>
      <c r="F87" s="467">
        <v>-92</v>
      </c>
      <c r="G87" s="321">
        <f t="shared" si="2"/>
        <v>3208</v>
      </c>
    </row>
    <row r="88" spans="1:9" ht="12.75">
      <c r="A88" s="672"/>
      <c r="B88" s="611"/>
      <c r="C88" s="611">
        <v>6060</v>
      </c>
      <c r="D88" s="76" t="s">
        <v>276</v>
      </c>
      <c r="E88" s="447">
        <v>4500</v>
      </c>
      <c r="F88" s="467"/>
      <c r="G88" s="321">
        <f t="shared" si="2"/>
        <v>4500</v>
      </c>
      <c r="I88" s="645"/>
    </row>
    <row r="89" spans="1:7" ht="12" customHeight="1">
      <c r="A89" s="672"/>
      <c r="B89" s="611"/>
      <c r="C89" s="611"/>
      <c r="D89" s="76"/>
      <c r="E89" s="447"/>
      <c r="F89" s="467"/>
      <c r="G89" s="321"/>
    </row>
    <row r="90" spans="1:7" ht="13.5" thickBot="1">
      <c r="A90" s="675">
        <v>750</v>
      </c>
      <c r="B90" s="659"/>
      <c r="C90" s="659"/>
      <c r="D90" s="312" t="s">
        <v>15</v>
      </c>
      <c r="E90" s="446">
        <f>E91+E106+E113+E134+E143</f>
        <v>4257533</v>
      </c>
      <c r="F90" s="446">
        <f>F91+F106+F113+F134+F143</f>
        <v>33714</v>
      </c>
      <c r="G90" s="320">
        <f t="shared" si="2"/>
        <v>4291247</v>
      </c>
    </row>
    <row r="91" spans="1:7" ht="12.75">
      <c r="A91" s="672"/>
      <c r="B91" s="676">
        <v>75011</v>
      </c>
      <c r="C91" s="663"/>
      <c r="D91" s="80" t="s">
        <v>16</v>
      </c>
      <c r="E91" s="448">
        <f>SUM(E92:E104)</f>
        <v>205761</v>
      </c>
      <c r="F91" s="448">
        <f>SUM(F92:F104)</f>
        <v>7075</v>
      </c>
      <c r="G91" s="322">
        <f t="shared" si="2"/>
        <v>212836</v>
      </c>
    </row>
    <row r="92" spans="1:7" ht="12.75">
      <c r="A92" s="672"/>
      <c r="B92" s="611"/>
      <c r="C92" s="611">
        <v>3020</v>
      </c>
      <c r="D92" s="76" t="s">
        <v>212</v>
      </c>
      <c r="E92" s="447">
        <v>107</v>
      </c>
      <c r="F92" s="467">
        <v>-107</v>
      </c>
      <c r="G92" s="321">
        <f t="shared" si="2"/>
        <v>0</v>
      </c>
    </row>
    <row r="93" spans="1:7" ht="12.75">
      <c r="A93" s="672"/>
      <c r="B93" s="611"/>
      <c r="C93" s="611">
        <v>4010</v>
      </c>
      <c r="D93" s="76" t="s">
        <v>213</v>
      </c>
      <c r="E93" s="447">
        <v>122460</v>
      </c>
      <c r="F93" s="467">
        <v>7062</v>
      </c>
      <c r="G93" s="321">
        <f t="shared" si="2"/>
        <v>129522</v>
      </c>
    </row>
    <row r="94" spans="1:9" ht="12.75">
      <c r="A94" s="672"/>
      <c r="B94" s="611"/>
      <c r="C94" s="611">
        <v>4040</v>
      </c>
      <c r="D94" s="76" t="s">
        <v>214</v>
      </c>
      <c r="E94" s="447">
        <v>9243</v>
      </c>
      <c r="F94" s="467"/>
      <c r="G94" s="321">
        <f t="shared" si="2"/>
        <v>9243</v>
      </c>
      <c r="I94" s="645">
        <f>SUM(G93:G97)</f>
        <v>172772</v>
      </c>
    </row>
    <row r="95" spans="1:7" ht="12.75">
      <c r="A95" s="672"/>
      <c r="B95" s="611"/>
      <c r="C95" s="611">
        <v>4110</v>
      </c>
      <c r="D95" s="76" t="s">
        <v>215</v>
      </c>
      <c r="E95" s="447">
        <v>28615</v>
      </c>
      <c r="F95" s="467">
        <v>-3515</v>
      </c>
      <c r="G95" s="321">
        <f t="shared" si="2"/>
        <v>25100</v>
      </c>
    </row>
    <row r="96" spans="1:7" ht="12.75">
      <c r="A96" s="672"/>
      <c r="B96" s="611"/>
      <c r="C96" s="611">
        <v>4120</v>
      </c>
      <c r="D96" s="76" t="s">
        <v>216</v>
      </c>
      <c r="E96" s="447">
        <v>3465</v>
      </c>
      <c r="F96" s="467">
        <v>-49</v>
      </c>
      <c r="G96" s="321">
        <f t="shared" si="2"/>
        <v>3416</v>
      </c>
    </row>
    <row r="97" spans="1:7" ht="12.75">
      <c r="A97" s="672"/>
      <c r="B97" s="611"/>
      <c r="C97" s="611">
        <v>4170</v>
      </c>
      <c r="D97" s="76" t="s">
        <v>605</v>
      </c>
      <c r="E97" s="447">
        <v>5652</v>
      </c>
      <c r="F97" s="467">
        <v>-161</v>
      </c>
      <c r="G97" s="321">
        <f>F97+E97</f>
        <v>5491</v>
      </c>
    </row>
    <row r="98" spans="1:7" ht="12.75">
      <c r="A98" s="672"/>
      <c r="B98" s="611"/>
      <c r="C98" s="611">
        <v>4210</v>
      </c>
      <c r="D98" s="76" t="s">
        <v>217</v>
      </c>
      <c r="E98" s="447">
        <v>7519</v>
      </c>
      <c r="F98" s="467">
        <v>-2047</v>
      </c>
      <c r="G98" s="321">
        <f t="shared" si="2"/>
        <v>5472</v>
      </c>
    </row>
    <row r="99" spans="1:7" ht="12.75">
      <c r="A99" s="672"/>
      <c r="B99" s="611"/>
      <c r="C99" s="611">
        <v>4260</v>
      </c>
      <c r="D99" s="76" t="s">
        <v>218</v>
      </c>
      <c r="E99" s="447">
        <v>7425</v>
      </c>
      <c r="F99" s="467">
        <v>1884</v>
      </c>
      <c r="G99" s="321">
        <f t="shared" si="2"/>
        <v>9309</v>
      </c>
    </row>
    <row r="100" spans="1:7" ht="12.75">
      <c r="A100" s="672"/>
      <c r="B100" s="611"/>
      <c r="C100" s="611">
        <v>4270</v>
      </c>
      <c r="D100" s="76" t="s">
        <v>219</v>
      </c>
      <c r="E100" s="447">
        <f>1000</f>
        <v>1000</v>
      </c>
      <c r="F100" s="467"/>
      <c r="G100" s="321">
        <f aca="true" t="shared" si="3" ref="G100:G178">E100+F100</f>
        <v>1000</v>
      </c>
    </row>
    <row r="101" spans="1:7" ht="12.75">
      <c r="A101" s="672"/>
      <c r="B101" s="611"/>
      <c r="C101" s="611">
        <v>4280</v>
      </c>
      <c r="D101" s="76" t="s">
        <v>220</v>
      </c>
      <c r="E101" s="447">
        <f>70+100</f>
        <v>170</v>
      </c>
      <c r="F101" s="467">
        <v>-82</v>
      </c>
      <c r="G101" s="321">
        <f t="shared" si="3"/>
        <v>88</v>
      </c>
    </row>
    <row r="102" spans="1:7" ht="12.75">
      <c r="A102" s="672"/>
      <c r="B102" s="611"/>
      <c r="C102" s="611">
        <v>4300</v>
      </c>
      <c r="D102" s="76" t="s">
        <v>209</v>
      </c>
      <c r="E102" s="447">
        <v>14889</v>
      </c>
      <c r="F102" s="467">
        <f>4080+152</f>
        <v>4232</v>
      </c>
      <c r="G102" s="321">
        <f t="shared" si="3"/>
        <v>19121</v>
      </c>
    </row>
    <row r="103" spans="1:7" ht="12.75">
      <c r="A103" s="672"/>
      <c r="B103" s="611"/>
      <c r="C103" s="611">
        <v>4410</v>
      </c>
      <c r="D103" s="76" t="s">
        <v>221</v>
      </c>
      <c r="E103" s="447">
        <v>1000</v>
      </c>
      <c r="F103" s="467">
        <v>-142</v>
      </c>
      <c r="G103" s="321">
        <f t="shared" si="3"/>
        <v>858</v>
      </c>
    </row>
    <row r="104" spans="1:7" ht="12.75">
      <c r="A104" s="672"/>
      <c r="B104" s="611"/>
      <c r="C104" s="611">
        <v>4440</v>
      </c>
      <c r="D104" s="76" t="s">
        <v>223</v>
      </c>
      <c r="E104" s="447">
        <v>4216</v>
      </c>
      <c r="F104" s="467"/>
      <c r="G104" s="321">
        <f t="shared" si="3"/>
        <v>4216</v>
      </c>
    </row>
    <row r="105" spans="1:7" ht="12.75">
      <c r="A105" s="672"/>
      <c r="B105" s="611"/>
      <c r="C105" s="611"/>
      <c r="D105" s="76"/>
      <c r="E105" s="447"/>
      <c r="F105" s="467"/>
      <c r="G105" s="321"/>
    </row>
    <row r="106" spans="1:7" ht="12.75">
      <c r="A106" s="672"/>
      <c r="B106" s="676">
        <v>75019</v>
      </c>
      <c r="C106" s="666"/>
      <c r="D106" s="80" t="s">
        <v>234</v>
      </c>
      <c r="E106" s="448">
        <f>SUM(E107:E111)</f>
        <v>239692</v>
      </c>
      <c r="F106" s="448">
        <f>SUM(F107:F111)</f>
        <v>1887</v>
      </c>
      <c r="G106" s="322">
        <f t="shared" si="3"/>
        <v>241579</v>
      </c>
    </row>
    <row r="107" spans="1:7" ht="12.75">
      <c r="A107" s="672"/>
      <c r="B107" s="611"/>
      <c r="C107" s="611">
        <v>3030</v>
      </c>
      <c r="D107" s="76" t="s">
        <v>235</v>
      </c>
      <c r="E107" s="447">
        <v>224168</v>
      </c>
      <c r="F107" s="467">
        <v>1887</v>
      </c>
      <c r="G107" s="321">
        <f t="shared" si="3"/>
        <v>226055</v>
      </c>
    </row>
    <row r="108" spans="1:7" ht="12.75">
      <c r="A108" s="672"/>
      <c r="B108" s="611"/>
      <c r="C108" s="611">
        <v>4210</v>
      </c>
      <c r="D108" s="76" t="s">
        <v>217</v>
      </c>
      <c r="E108" s="447">
        <v>5954</v>
      </c>
      <c r="F108" s="467"/>
      <c r="G108" s="321">
        <f t="shared" si="3"/>
        <v>5954</v>
      </c>
    </row>
    <row r="109" spans="1:7" ht="12.75">
      <c r="A109" s="672"/>
      <c r="B109" s="611"/>
      <c r="C109" s="611">
        <v>4300</v>
      </c>
      <c r="D109" s="76" t="s">
        <v>209</v>
      </c>
      <c r="E109" s="447">
        <v>8000</v>
      </c>
      <c r="F109" s="467"/>
      <c r="G109" s="321">
        <f t="shared" si="3"/>
        <v>8000</v>
      </c>
    </row>
    <row r="110" spans="1:7" ht="12.75">
      <c r="A110" s="672"/>
      <c r="B110" s="611"/>
      <c r="C110" s="611">
        <v>4410</v>
      </c>
      <c r="D110" s="76" t="s">
        <v>221</v>
      </c>
      <c r="E110" s="447">
        <v>1000</v>
      </c>
      <c r="F110" s="467">
        <v>-13</v>
      </c>
      <c r="G110" s="321">
        <f t="shared" si="3"/>
        <v>987</v>
      </c>
    </row>
    <row r="111" spans="1:7" ht="12.75">
      <c r="A111" s="672"/>
      <c r="B111" s="611"/>
      <c r="C111" s="611">
        <v>4420</v>
      </c>
      <c r="D111" s="76" t="s">
        <v>236</v>
      </c>
      <c r="E111" s="447">
        <v>570</v>
      </c>
      <c r="F111" s="467">
        <v>13</v>
      </c>
      <c r="G111" s="321">
        <f t="shared" si="3"/>
        <v>583</v>
      </c>
    </row>
    <row r="112" spans="1:7" ht="12.75">
      <c r="A112" s="672"/>
      <c r="B112" s="611"/>
      <c r="C112" s="611"/>
      <c r="D112" s="76"/>
      <c r="E112" s="447"/>
      <c r="F112" s="467"/>
      <c r="G112" s="321"/>
    </row>
    <row r="113" spans="1:7" ht="12.75">
      <c r="A113" s="672"/>
      <c r="B113" s="676">
        <v>75020</v>
      </c>
      <c r="C113" s="663"/>
      <c r="D113" s="80" t="s">
        <v>31</v>
      </c>
      <c r="E113" s="448">
        <f>SUM(E114:E132)</f>
        <v>3780921</v>
      </c>
      <c r="F113" s="448">
        <f>SUM(F114:F132)</f>
        <v>18726</v>
      </c>
      <c r="G113" s="322">
        <f t="shared" si="3"/>
        <v>3799647</v>
      </c>
    </row>
    <row r="114" spans="1:7" ht="12.75">
      <c r="A114" s="672"/>
      <c r="B114" s="611"/>
      <c r="C114" s="611">
        <v>3020</v>
      </c>
      <c r="D114" s="76" t="s">
        <v>212</v>
      </c>
      <c r="E114" s="447">
        <v>1965</v>
      </c>
      <c r="F114" s="467">
        <v>-739</v>
      </c>
      <c r="G114" s="321">
        <f t="shared" si="3"/>
        <v>1226</v>
      </c>
    </row>
    <row r="115" spans="1:9" ht="12.75">
      <c r="A115" s="672"/>
      <c r="B115" s="679"/>
      <c r="C115" s="611">
        <v>4010</v>
      </c>
      <c r="D115" s="76" t="s">
        <v>213</v>
      </c>
      <c r="E115" s="447">
        <v>1759972</v>
      </c>
      <c r="F115" s="467">
        <v>-45972</v>
      </c>
      <c r="G115" s="321">
        <f t="shared" si="3"/>
        <v>1714000</v>
      </c>
      <c r="I115" s="645">
        <f>SUM(G115:G119)</f>
        <v>2201659</v>
      </c>
    </row>
    <row r="116" spans="1:7" ht="12.75">
      <c r="A116" s="672"/>
      <c r="B116" s="679"/>
      <c r="C116" s="611">
        <v>4040</v>
      </c>
      <c r="D116" s="76" t="s">
        <v>214</v>
      </c>
      <c r="E116" s="447">
        <v>108815</v>
      </c>
      <c r="F116" s="467"/>
      <c r="G116" s="321">
        <f t="shared" si="3"/>
        <v>108815</v>
      </c>
    </row>
    <row r="117" spans="1:7" ht="12.75">
      <c r="A117" s="672"/>
      <c r="B117" s="611"/>
      <c r="C117" s="611">
        <v>4110</v>
      </c>
      <c r="D117" s="76" t="s">
        <v>215</v>
      </c>
      <c r="E117" s="447">
        <v>307113</v>
      </c>
      <c r="F117" s="467">
        <v>-14113</v>
      </c>
      <c r="G117" s="321">
        <f t="shared" si="3"/>
        <v>293000</v>
      </c>
    </row>
    <row r="118" spans="1:7" ht="12.75">
      <c r="A118" s="672"/>
      <c r="B118" s="611"/>
      <c r="C118" s="611">
        <v>4120</v>
      </c>
      <c r="D118" s="76" t="s">
        <v>216</v>
      </c>
      <c r="E118" s="447">
        <v>44224</v>
      </c>
      <c r="F118" s="467">
        <v>-2000</v>
      </c>
      <c r="G118" s="321">
        <f t="shared" si="3"/>
        <v>42224</v>
      </c>
    </row>
    <row r="119" spans="1:7" ht="12.75">
      <c r="A119" s="672"/>
      <c r="B119" s="611"/>
      <c r="C119" s="611">
        <v>4170</v>
      </c>
      <c r="D119" s="76" t="s">
        <v>605</v>
      </c>
      <c r="E119" s="447">
        <v>43620</v>
      </c>
      <c r="F119" s="467"/>
      <c r="G119" s="321">
        <f t="shared" si="3"/>
        <v>43620</v>
      </c>
    </row>
    <row r="120" spans="1:7" ht="12.75">
      <c r="A120" s="672"/>
      <c r="B120" s="611"/>
      <c r="C120" s="611">
        <v>4210</v>
      </c>
      <c r="D120" s="76" t="s">
        <v>217</v>
      </c>
      <c r="E120" s="447">
        <v>109478</v>
      </c>
      <c r="F120" s="467">
        <f>5522+5000</f>
        <v>10522</v>
      </c>
      <c r="G120" s="321">
        <f t="shared" si="3"/>
        <v>120000</v>
      </c>
    </row>
    <row r="121" spans="1:7" ht="12.75">
      <c r="A121" s="672"/>
      <c r="B121" s="611"/>
      <c r="C121" s="611">
        <v>4260</v>
      </c>
      <c r="D121" s="76" t="s">
        <v>218</v>
      </c>
      <c r="E121" s="447">
        <v>45872</v>
      </c>
      <c r="F121" s="467">
        <v>4128</v>
      </c>
      <c r="G121" s="321">
        <f t="shared" si="3"/>
        <v>50000</v>
      </c>
    </row>
    <row r="122" spans="1:7" ht="12.75">
      <c r="A122" s="672"/>
      <c r="B122" s="611"/>
      <c r="C122" s="611">
        <v>4270</v>
      </c>
      <c r="D122" s="76" t="s">
        <v>219</v>
      </c>
      <c r="E122" s="447">
        <v>11200</v>
      </c>
      <c r="F122" s="467"/>
      <c r="G122" s="321">
        <f t="shared" si="3"/>
        <v>11200</v>
      </c>
    </row>
    <row r="123" spans="1:7" ht="12.75">
      <c r="A123" s="672"/>
      <c r="B123" s="611"/>
      <c r="C123" s="611">
        <v>4280</v>
      </c>
      <c r="D123" s="76" t="s">
        <v>220</v>
      </c>
      <c r="E123" s="447">
        <v>2000</v>
      </c>
      <c r="F123" s="467">
        <v>400</v>
      </c>
      <c r="G123" s="321">
        <f t="shared" si="3"/>
        <v>2400</v>
      </c>
    </row>
    <row r="124" spans="1:7" ht="12.75">
      <c r="A124" s="672"/>
      <c r="B124" s="611"/>
      <c r="C124" s="611">
        <v>4300</v>
      </c>
      <c r="D124" s="76" t="s">
        <v>209</v>
      </c>
      <c r="E124" s="447">
        <v>669568</v>
      </c>
      <c r="F124" s="467">
        <f>90432-5000</f>
        <v>85432</v>
      </c>
      <c r="G124" s="321">
        <f t="shared" si="3"/>
        <v>755000</v>
      </c>
    </row>
    <row r="125" spans="1:7" ht="12.75">
      <c r="A125" s="672"/>
      <c r="B125" s="611"/>
      <c r="C125" s="611">
        <v>4350</v>
      </c>
      <c r="D125" s="76" t="s">
        <v>606</v>
      </c>
      <c r="E125" s="447">
        <v>6677</v>
      </c>
      <c r="F125" s="467">
        <v>200</v>
      </c>
      <c r="G125" s="321">
        <f t="shared" si="3"/>
        <v>6877</v>
      </c>
    </row>
    <row r="126" spans="1:7" ht="12.75">
      <c r="A126" s="672"/>
      <c r="B126" s="611"/>
      <c r="C126" s="611">
        <v>4410</v>
      </c>
      <c r="D126" s="76" t="s">
        <v>221</v>
      </c>
      <c r="E126" s="447">
        <v>8300</v>
      </c>
      <c r="F126" s="467">
        <v>1700</v>
      </c>
      <c r="G126" s="321">
        <f t="shared" si="3"/>
        <v>10000</v>
      </c>
    </row>
    <row r="127" spans="1:7" ht="12.75">
      <c r="A127" s="672"/>
      <c r="B127" s="611"/>
      <c r="C127" s="611">
        <v>4420</v>
      </c>
      <c r="D127" s="76" t="s">
        <v>236</v>
      </c>
      <c r="E127" s="447">
        <v>1000</v>
      </c>
      <c r="F127" s="467">
        <v>-149</v>
      </c>
      <c r="G127" s="321">
        <f t="shared" si="3"/>
        <v>851</v>
      </c>
    </row>
    <row r="128" spans="1:7" ht="12.75">
      <c r="A128" s="672"/>
      <c r="B128" s="611"/>
      <c r="C128" s="611">
        <v>4430</v>
      </c>
      <c r="D128" s="76" t="s">
        <v>222</v>
      </c>
      <c r="E128" s="447">
        <v>5230</v>
      </c>
      <c r="F128" s="467"/>
      <c r="G128" s="321">
        <f t="shared" si="3"/>
        <v>5230</v>
      </c>
    </row>
    <row r="129" spans="1:7" ht="12.75">
      <c r="A129" s="672"/>
      <c r="B129" s="611"/>
      <c r="C129" s="611">
        <v>4440</v>
      </c>
      <c r="D129" s="76" t="s">
        <v>223</v>
      </c>
      <c r="E129" s="447">
        <v>50093</v>
      </c>
      <c r="F129" s="467"/>
      <c r="G129" s="321">
        <f t="shared" si="3"/>
        <v>50093</v>
      </c>
    </row>
    <row r="130" spans="1:7" ht="12.75">
      <c r="A130" s="672"/>
      <c r="B130" s="611"/>
      <c r="C130" s="611">
        <v>4530</v>
      </c>
      <c r="D130" s="76" t="s">
        <v>717</v>
      </c>
      <c r="E130" s="447">
        <v>50000</v>
      </c>
      <c r="F130" s="467">
        <v>-20683</v>
      </c>
      <c r="G130" s="321">
        <f t="shared" si="3"/>
        <v>29317</v>
      </c>
    </row>
    <row r="131" spans="1:7" ht="12.75">
      <c r="A131" s="672"/>
      <c r="B131" s="611"/>
      <c r="C131" s="611">
        <v>6050</v>
      </c>
      <c r="D131" s="76" t="s">
        <v>226</v>
      </c>
      <c r="E131" s="447">
        <v>494522</v>
      </c>
      <c r="F131" s="467">
        <v>46946</v>
      </c>
      <c r="G131" s="321">
        <f t="shared" si="3"/>
        <v>541468</v>
      </c>
    </row>
    <row r="132" spans="1:7" ht="12.75">
      <c r="A132" s="672"/>
      <c r="B132" s="611"/>
      <c r="C132" s="611">
        <v>6060</v>
      </c>
      <c r="D132" s="76" t="s">
        <v>705</v>
      </c>
      <c r="E132" s="447">
        <v>61272</v>
      </c>
      <c r="F132" s="467">
        <v>-46946</v>
      </c>
      <c r="G132" s="321">
        <f>F132+E132</f>
        <v>14326</v>
      </c>
    </row>
    <row r="133" spans="1:7" ht="12.75">
      <c r="A133" s="672"/>
      <c r="B133" s="611"/>
      <c r="C133" s="611"/>
      <c r="D133" s="76"/>
      <c r="E133" s="447"/>
      <c r="F133" s="467"/>
      <c r="G133" s="321"/>
    </row>
    <row r="134" spans="1:7" ht="12.75">
      <c r="A134" s="672"/>
      <c r="B134" s="676">
        <v>75045</v>
      </c>
      <c r="C134" s="663"/>
      <c r="D134" s="80" t="s">
        <v>17</v>
      </c>
      <c r="E134" s="448">
        <f>SUM(E135:E141)</f>
        <v>16000</v>
      </c>
      <c r="F134" s="448">
        <f>SUM(F135:F141)</f>
        <v>0</v>
      </c>
      <c r="G134" s="322">
        <f t="shared" si="3"/>
        <v>16000</v>
      </c>
    </row>
    <row r="135" spans="1:7" ht="12.75">
      <c r="A135" s="672"/>
      <c r="B135" s="611"/>
      <c r="C135" s="611">
        <v>3030</v>
      </c>
      <c r="D135" s="76" t="s">
        <v>235</v>
      </c>
      <c r="E135" s="447">
        <v>1890</v>
      </c>
      <c r="F135" s="467"/>
      <c r="G135" s="321">
        <f t="shared" si="3"/>
        <v>1890</v>
      </c>
    </row>
    <row r="136" spans="1:9" ht="12.75">
      <c r="A136" s="672"/>
      <c r="B136" s="611"/>
      <c r="C136" s="611">
        <v>4110</v>
      </c>
      <c r="D136" s="76" t="s">
        <v>215</v>
      </c>
      <c r="E136" s="447">
        <v>1137</v>
      </c>
      <c r="F136" s="467"/>
      <c r="G136" s="321">
        <f t="shared" si="3"/>
        <v>1137</v>
      </c>
      <c r="I136" s="645">
        <f>SUM(G136:G138)</f>
        <v>9649</v>
      </c>
    </row>
    <row r="137" spans="1:7" ht="12.75">
      <c r="A137" s="672"/>
      <c r="B137" s="611"/>
      <c r="C137" s="611">
        <v>4120</v>
      </c>
      <c r="D137" s="76" t="s">
        <v>216</v>
      </c>
      <c r="E137" s="447">
        <v>162</v>
      </c>
      <c r="F137" s="467"/>
      <c r="G137" s="321">
        <f t="shared" si="3"/>
        <v>162</v>
      </c>
    </row>
    <row r="138" spans="1:7" ht="12.75">
      <c r="A138" s="672"/>
      <c r="B138" s="611"/>
      <c r="C138" s="611">
        <v>4170</v>
      </c>
      <c r="D138" s="76" t="s">
        <v>605</v>
      </c>
      <c r="E138" s="447">
        <v>8350</v>
      </c>
      <c r="F138" s="467"/>
      <c r="G138" s="321">
        <f t="shared" si="3"/>
        <v>8350</v>
      </c>
    </row>
    <row r="139" spans="1:7" ht="12.75">
      <c r="A139" s="672"/>
      <c r="B139" s="611"/>
      <c r="C139" s="611">
        <v>4210</v>
      </c>
      <c r="D139" s="76" t="s">
        <v>217</v>
      </c>
      <c r="E139" s="447">
        <v>1380</v>
      </c>
      <c r="F139" s="467"/>
      <c r="G139" s="321">
        <f t="shared" si="3"/>
        <v>1380</v>
      </c>
    </row>
    <row r="140" spans="1:7" ht="12.75">
      <c r="A140" s="672"/>
      <c r="B140" s="611"/>
      <c r="C140" s="611">
        <v>4300</v>
      </c>
      <c r="D140" s="76" t="s">
        <v>209</v>
      </c>
      <c r="E140" s="447">
        <v>3081</v>
      </c>
      <c r="F140" s="467"/>
      <c r="G140" s="321">
        <f t="shared" si="3"/>
        <v>3081</v>
      </c>
    </row>
    <row r="141" spans="1:7" ht="12.75">
      <c r="A141" s="672"/>
      <c r="B141" s="611"/>
      <c r="C141" s="611">
        <v>4410</v>
      </c>
      <c r="D141" s="76" t="s">
        <v>221</v>
      </c>
      <c r="E141" s="447">
        <v>0</v>
      </c>
      <c r="F141" s="467"/>
      <c r="G141" s="321">
        <f t="shared" si="3"/>
        <v>0</v>
      </c>
    </row>
    <row r="142" spans="1:7" ht="12.75">
      <c r="A142" s="672"/>
      <c r="B142" s="611"/>
      <c r="C142" s="611"/>
      <c r="D142" s="76"/>
      <c r="E142" s="447"/>
      <c r="F142" s="467"/>
      <c r="G142" s="321"/>
    </row>
    <row r="143" spans="1:7" ht="12.75">
      <c r="A143" s="672"/>
      <c r="B143" s="676">
        <v>75095</v>
      </c>
      <c r="C143" s="663"/>
      <c r="D143" s="80" t="s">
        <v>25</v>
      </c>
      <c r="E143" s="448">
        <f>SUM(E145:E148)</f>
        <v>15159</v>
      </c>
      <c r="F143" s="448">
        <f>SUM(F145:F148)</f>
        <v>6026</v>
      </c>
      <c r="G143" s="322">
        <f t="shared" si="3"/>
        <v>21185</v>
      </c>
    </row>
    <row r="144" spans="1:7" ht="12.75">
      <c r="A144" s="672"/>
      <c r="B144" s="611"/>
      <c r="C144" s="611">
        <v>2330</v>
      </c>
      <c r="D144" s="76" t="s">
        <v>667</v>
      </c>
      <c r="E144" s="447"/>
      <c r="F144" s="467"/>
      <c r="G144" s="321"/>
    </row>
    <row r="145" spans="1:7" ht="12.75">
      <c r="A145" s="672"/>
      <c r="B145" s="611"/>
      <c r="C145" s="611"/>
      <c r="D145" s="76" t="s">
        <v>668</v>
      </c>
      <c r="E145" s="447">
        <v>5059</v>
      </c>
      <c r="F145" s="467"/>
      <c r="G145" s="321">
        <f>F145+E145</f>
        <v>5059</v>
      </c>
    </row>
    <row r="146" spans="1:7" ht="12.75">
      <c r="A146" s="672"/>
      <c r="B146" s="611"/>
      <c r="C146" s="309" t="s">
        <v>522</v>
      </c>
      <c r="D146" s="76" t="s">
        <v>523</v>
      </c>
      <c r="E146" s="447"/>
      <c r="F146" s="467"/>
      <c r="G146" s="321"/>
    </row>
    <row r="147" spans="1:7" ht="12.75">
      <c r="A147" s="672"/>
      <c r="B147" s="611"/>
      <c r="C147" s="309"/>
      <c r="D147" s="76" t="s">
        <v>524</v>
      </c>
      <c r="E147" s="447">
        <v>6900</v>
      </c>
      <c r="F147" s="467"/>
      <c r="G147" s="321">
        <f>F147+E147</f>
        <v>6900</v>
      </c>
    </row>
    <row r="148" spans="1:7" ht="12.75">
      <c r="A148" s="672"/>
      <c r="B148" s="611"/>
      <c r="C148" s="611">
        <v>4430</v>
      </c>
      <c r="D148" s="76" t="s">
        <v>222</v>
      </c>
      <c r="E148" s="447">
        <v>3200</v>
      </c>
      <c r="F148" s="467">
        <v>6026</v>
      </c>
      <c r="G148" s="321">
        <f t="shared" si="3"/>
        <v>9226</v>
      </c>
    </row>
    <row r="149" spans="1:7" ht="12.75">
      <c r="A149" s="672"/>
      <c r="B149" s="611"/>
      <c r="C149" s="611"/>
      <c r="D149" s="76"/>
      <c r="E149" s="447"/>
      <c r="F149" s="467"/>
      <c r="G149" s="321"/>
    </row>
    <row r="150" spans="1:7" ht="13.5" thickBot="1">
      <c r="A150" s="675">
        <v>752</v>
      </c>
      <c r="B150" s="659"/>
      <c r="C150" s="659"/>
      <c r="D150" s="312" t="s">
        <v>766</v>
      </c>
      <c r="E150" s="446">
        <f>E151</f>
        <v>0</v>
      </c>
      <c r="F150" s="492">
        <f>F151</f>
        <v>697</v>
      </c>
      <c r="G150" s="320">
        <f>F150+E150</f>
        <v>697</v>
      </c>
    </row>
    <row r="151" spans="1:7" ht="12.75">
      <c r="A151" s="672"/>
      <c r="B151" s="680">
        <v>75212</v>
      </c>
      <c r="C151" s="681"/>
      <c r="D151" s="629" t="s">
        <v>767</v>
      </c>
      <c r="E151" s="449">
        <f>SUM(E152:E153)</f>
        <v>0</v>
      </c>
      <c r="F151" s="682">
        <f>SUM(F152:F153)</f>
        <v>697</v>
      </c>
      <c r="G151" s="683">
        <f>F151+E151</f>
        <v>697</v>
      </c>
    </row>
    <row r="152" spans="1:7" ht="12.75">
      <c r="A152" s="672"/>
      <c r="B152" s="611"/>
      <c r="C152" s="611">
        <v>4210</v>
      </c>
      <c r="D152" s="76" t="s">
        <v>217</v>
      </c>
      <c r="E152" s="447">
        <v>0</v>
      </c>
      <c r="F152" s="467">
        <v>141</v>
      </c>
      <c r="G152" s="321">
        <f>F152+E152</f>
        <v>141</v>
      </c>
    </row>
    <row r="153" spans="1:7" ht="12.75">
      <c r="A153" s="672"/>
      <c r="B153" s="611"/>
      <c r="C153" s="611">
        <v>4300</v>
      </c>
      <c r="D153" s="76" t="s">
        <v>209</v>
      </c>
      <c r="E153" s="447">
        <v>0</v>
      </c>
      <c r="F153" s="467">
        <v>556</v>
      </c>
      <c r="G153" s="321">
        <f>F153+E153</f>
        <v>556</v>
      </c>
    </row>
    <row r="154" spans="1:7" ht="12.75">
      <c r="A154" s="672"/>
      <c r="B154" s="611"/>
      <c r="C154" s="611"/>
      <c r="D154" s="76"/>
      <c r="E154" s="447"/>
      <c r="F154" s="467"/>
      <c r="G154" s="321"/>
    </row>
    <row r="155" spans="1:7" ht="13.5" thickBot="1">
      <c r="A155" s="675">
        <v>754</v>
      </c>
      <c r="B155" s="659"/>
      <c r="C155" s="659"/>
      <c r="D155" s="312" t="s">
        <v>237</v>
      </c>
      <c r="E155" s="446">
        <f>E159+E156</f>
        <v>23300</v>
      </c>
      <c r="F155" s="446">
        <f>F159+F156</f>
        <v>0</v>
      </c>
      <c r="G155" s="320">
        <f t="shared" si="3"/>
        <v>23300</v>
      </c>
    </row>
    <row r="156" spans="1:7" ht="12.75">
      <c r="A156" s="661"/>
      <c r="B156" s="680">
        <v>75414</v>
      </c>
      <c r="C156" s="681"/>
      <c r="D156" s="629" t="s">
        <v>545</v>
      </c>
      <c r="E156" s="449">
        <f>E157</f>
        <v>23000</v>
      </c>
      <c r="F156" s="449">
        <f>F157</f>
        <v>0</v>
      </c>
      <c r="G156" s="322">
        <f t="shared" si="3"/>
        <v>23000</v>
      </c>
    </row>
    <row r="157" spans="1:7" ht="12.75">
      <c r="A157" s="661"/>
      <c r="B157" s="611"/>
      <c r="C157" s="611">
        <v>6060</v>
      </c>
      <c r="D157" s="76" t="s">
        <v>534</v>
      </c>
      <c r="E157" s="447">
        <v>23000</v>
      </c>
      <c r="F157" s="467"/>
      <c r="G157" s="321">
        <f t="shared" si="3"/>
        <v>23000</v>
      </c>
    </row>
    <row r="158" spans="1:7" ht="12.75">
      <c r="A158" s="661"/>
      <c r="B158" s="611"/>
      <c r="C158" s="611"/>
      <c r="D158" s="76"/>
      <c r="E158" s="447"/>
      <c r="F158" s="467"/>
      <c r="G158" s="321"/>
    </row>
    <row r="159" spans="1:7" ht="12.75">
      <c r="A159" s="672"/>
      <c r="B159" s="676">
        <v>75495</v>
      </c>
      <c r="C159" s="663"/>
      <c r="D159" s="80" t="s">
        <v>25</v>
      </c>
      <c r="E159" s="448">
        <f>SUM(E160:E160)</f>
        <v>300</v>
      </c>
      <c r="F159" s="448">
        <f>SUM(F160:F160)</f>
        <v>0</v>
      </c>
      <c r="G159" s="322">
        <f t="shared" si="3"/>
        <v>300</v>
      </c>
    </row>
    <row r="160" spans="1:7" ht="12.75">
      <c r="A160" s="672"/>
      <c r="B160" s="611"/>
      <c r="C160" s="611">
        <v>4410</v>
      </c>
      <c r="D160" s="76" t="s">
        <v>221</v>
      </c>
      <c r="E160" s="447">
        <v>300</v>
      </c>
      <c r="F160" s="467"/>
      <c r="G160" s="321">
        <f t="shared" si="3"/>
        <v>300</v>
      </c>
    </row>
    <row r="161" spans="1:7" ht="12.75">
      <c r="A161" s="672"/>
      <c r="B161" s="611"/>
      <c r="C161" s="611"/>
      <c r="D161" s="76"/>
      <c r="E161" s="447"/>
      <c r="F161" s="467"/>
      <c r="G161" s="321"/>
    </row>
    <row r="162" spans="1:7" ht="13.5" thickBot="1">
      <c r="A162" s="675">
        <v>757</v>
      </c>
      <c r="B162" s="659"/>
      <c r="C162" s="659"/>
      <c r="D162" s="312" t="s">
        <v>238</v>
      </c>
      <c r="E162" s="446">
        <f>E163+E168</f>
        <v>821049</v>
      </c>
      <c r="F162" s="446">
        <f>F163+F168</f>
        <v>0</v>
      </c>
      <c r="G162" s="320">
        <f t="shared" si="3"/>
        <v>821049</v>
      </c>
    </row>
    <row r="163" spans="1:7" ht="12.75">
      <c r="A163" s="672"/>
      <c r="B163" s="676">
        <v>75702</v>
      </c>
      <c r="C163" s="663"/>
      <c r="D163" s="415" t="s">
        <v>162</v>
      </c>
      <c r="E163" s="448">
        <f>SUM(E164:E165)</f>
        <v>821049</v>
      </c>
      <c r="F163" s="448">
        <f>SUM(F164:F165)</f>
        <v>0</v>
      </c>
      <c r="G163" s="322">
        <f t="shared" si="3"/>
        <v>821049</v>
      </c>
    </row>
    <row r="164" spans="1:7" ht="12.75">
      <c r="A164" s="672"/>
      <c r="B164" s="611"/>
      <c r="C164" s="611">
        <v>8010</v>
      </c>
      <c r="D164" s="311" t="s">
        <v>525</v>
      </c>
      <c r="E164" s="447">
        <v>0</v>
      </c>
      <c r="F164" s="467"/>
      <c r="G164" s="321">
        <f t="shared" si="3"/>
        <v>0</v>
      </c>
    </row>
    <row r="165" spans="1:7" ht="12.75">
      <c r="A165" s="672"/>
      <c r="B165" s="611"/>
      <c r="C165" s="611">
        <v>8070</v>
      </c>
      <c r="D165" s="76" t="s">
        <v>239</v>
      </c>
      <c r="E165" s="447">
        <v>821049</v>
      </c>
      <c r="F165" s="467"/>
      <c r="G165" s="321">
        <f t="shared" si="3"/>
        <v>821049</v>
      </c>
    </row>
    <row r="166" spans="1:7" ht="12.75">
      <c r="A166" s="672"/>
      <c r="B166" s="611"/>
      <c r="C166" s="611"/>
      <c r="D166" s="76"/>
      <c r="E166" s="447"/>
      <c r="F166" s="467"/>
      <c r="G166" s="321"/>
    </row>
    <row r="167" spans="1:7" ht="12.75">
      <c r="A167" s="672"/>
      <c r="B167" s="611">
        <v>75704</v>
      </c>
      <c r="C167" s="611"/>
      <c r="D167" s="76" t="s">
        <v>663</v>
      </c>
      <c r="E167" s="447"/>
      <c r="F167" s="467"/>
      <c r="G167" s="321"/>
    </row>
    <row r="168" spans="1:7" ht="12.75">
      <c r="A168" s="672"/>
      <c r="B168" s="676"/>
      <c r="C168" s="663"/>
      <c r="D168" s="80" t="s">
        <v>664</v>
      </c>
      <c r="E168" s="448">
        <f>E169</f>
        <v>0</v>
      </c>
      <c r="F168" s="684">
        <f>F169</f>
        <v>0</v>
      </c>
      <c r="G168" s="322">
        <f>F168+E168</f>
        <v>0</v>
      </c>
    </row>
    <row r="169" spans="1:7" ht="12.75">
      <c r="A169" s="672"/>
      <c r="B169" s="611"/>
      <c r="C169" s="611">
        <v>4810</v>
      </c>
      <c r="D169" s="76" t="s">
        <v>241</v>
      </c>
      <c r="E169" s="447">
        <v>0</v>
      </c>
      <c r="F169" s="467"/>
      <c r="G169" s="321">
        <f>F169+E169</f>
        <v>0</v>
      </c>
    </row>
    <row r="170" spans="1:7" ht="12.75">
      <c r="A170" s="672"/>
      <c r="B170" s="611"/>
      <c r="C170" s="611"/>
      <c r="D170" s="76"/>
      <c r="E170" s="447"/>
      <c r="F170" s="467"/>
      <c r="G170" s="321"/>
    </row>
    <row r="171" spans="1:7" ht="13.5" thickBot="1">
      <c r="A171" s="675">
        <v>758</v>
      </c>
      <c r="B171" s="659"/>
      <c r="C171" s="659"/>
      <c r="D171" s="312" t="s">
        <v>34</v>
      </c>
      <c r="E171" s="446">
        <f>E172</f>
        <v>0</v>
      </c>
      <c r="F171" s="446">
        <f>F172</f>
        <v>0</v>
      </c>
      <c r="G171" s="320">
        <f t="shared" si="3"/>
        <v>0</v>
      </c>
    </row>
    <row r="172" spans="1:7" ht="12.75">
      <c r="A172" s="672"/>
      <c r="B172" s="676">
        <v>75818</v>
      </c>
      <c r="C172" s="663"/>
      <c r="D172" s="80" t="s">
        <v>240</v>
      </c>
      <c r="E172" s="448">
        <f>E173</f>
        <v>0</v>
      </c>
      <c r="F172" s="448">
        <f>F173</f>
        <v>0</v>
      </c>
      <c r="G172" s="322">
        <f t="shared" si="3"/>
        <v>0</v>
      </c>
    </row>
    <row r="173" spans="1:9" ht="12.75">
      <c r="A173" s="672"/>
      <c r="B173" s="611"/>
      <c r="C173" s="611">
        <v>4810</v>
      </c>
      <c r="D173" s="76" t="s">
        <v>241</v>
      </c>
      <c r="E173" s="447">
        <v>0</v>
      </c>
      <c r="F173" s="467"/>
      <c r="G173" s="321">
        <f t="shared" si="3"/>
        <v>0</v>
      </c>
      <c r="I173" s="646">
        <v>523591</v>
      </c>
    </row>
    <row r="174" spans="1:7" ht="12.75">
      <c r="A174" s="672"/>
      <c r="B174" s="611"/>
      <c r="C174" s="611"/>
      <c r="D174" s="76"/>
      <c r="E174" s="447"/>
      <c r="F174" s="467"/>
      <c r="G174" s="321"/>
    </row>
    <row r="175" spans="1:7" ht="13.5" thickBot="1">
      <c r="A175" s="675">
        <v>801</v>
      </c>
      <c r="B175" s="659"/>
      <c r="C175" s="659"/>
      <c r="D175" s="312" t="s">
        <v>24</v>
      </c>
      <c r="E175" s="446">
        <f>E176+E190+E204+E222+E230+E252+E256</f>
        <v>8245487</v>
      </c>
      <c r="F175" s="446">
        <f>F176+F190+F204+F222+F230+F252+F256</f>
        <v>130173</v>
      </c>
      <c r="G175" s="320">
        <f t="shared" si="3"/>
        <v>8375660</v>
      </c>
    </row>
    <row r="176" spans="1:7" ht="12.75">
      <c r="A176" s="672"/>
      <c r="B176" s="676">
        <v>80101</v>
      </c>
      <c r="C176" s="663"/>
      <c r="D176" s="80" t="s">
        <v>242</v>
      </c>
      <c r="E176" s="448">
        <f>SUM(E177:E188)</f>
        <v>74249</v>
      </c>
      <c r="F176" s="448">
        <f>SUM(F177:F188)</f>
        <v>0</v>
      </c>
      <c r="G176" s="683">
        <f t="shared" si="3"/>
        <v>74249</v>
      </c>
    </row>
    <row r="177" spans="1:7" ht="12.75">
      <c r="A177" s="672"/>
      <c r="B177" s="611"/>
      <c r="C177" s="611">
        <v>3020</v>
      </c>
      <c r="D177" s="76" t="s">
        <v>212</v>
      </c>
      <c r="E177" s="447">
        <v>6422</v>
      </c>
      <c r="F177" s="467">
        <v>-62</v>
      </c>
      <c r="G177" s="321">
        <f t="shared" si="3"/>
        <v>6360</v>
      </c>
    </row>
    <row r="178" spans="1:9" ht="12.75">
      <c r="A178" s="672"/>
      <c r="B178" s="611"/>
      <c r="C178" s="611">
        <v>4010</v>
      </c>
      <c r="D178" s="76" t="s">
        <v>213</v>
      </c>
      <c r="E178" s="447">
        <v>46124</v>
      </c>
      <c r="F178" s="467"/>
      <c r="G178" s="321">
        <f t="shared" si="3"/>
        <v>46124</v>
      </c>
      <c r="I178" s="645">
        <f>SUM(G178:G181)</f>
        <v>62055</v>
      </c>
    </row>
    <row r="179" spans="1:7" ht="12.75">
      <c r="A179" s="672"/>
      <c r="B179" s="611"/>
      <c r="C179" s="611">
        <v>4040</v>
      </c>
      <c r="D179" s="76" t="s">
        <v>214</v>
      </c>
      <c r="E179" s="447">
        <v>5217</v>
      </c>
      <c r="F179" s="467"/>
      <c r="G179" s="321">
        <f aca="true" t="shared" si="4" ref="G179:G245">E179+F179</f>
        <v>5217</v>
      </c>
    </row>
    <row r="180" spans="1:7" ht="12.75">
      <c r="A180" s="672"/>
      <c r="B180" s="611"/>
      <c r="C180" s="611">
        <v>4110</v>
      </c>
      <c r="D180" s="76" t="s">
        <v>215</v>
      </c>
      <c r="E180" s="447">
        <v>9375</v>
      </c>
      <c r="F180" s="467"/>
      <c r="G180" s="321">
        <f t="shared" si="4"/>
        <v>9375</v>
      </c>
    </row>
    <row r="181" spans="1:7" ht="12.75">
      <c r="A181" s="672"/>
      <c r="B181" s="611"/>
      <c r="C181" s="611">
        <v>4120</v>
      </c>
      <c r="D181" s="76" t="s">
        <v>216</v>
      </c>
      <c r="E181" s="447">
        <v>1339</v>
      </c>
      <c r="F181" s="467"/>
      <c r="G181" s="321">
        <f t="shared" si="4"/>
        <v>1339</v>
      </c>
    </row>
    <row r="182" spans="1:7" ht="12.75">
      <c r="A182" s="672"/>
      <c r="B182" s="611"/>
      <c r="C182" s="611">
        <v>4210</v>
      </c>
      <c r="D182" s="76" t="s">
        <v>217</v>
      </c>
      <c r="E182" s="447">
        <v>200</v>
      </c>
      <c r="F182" s="467"/>
      <c r="G182" s="321">
        <f t="shared" si="4"/>
        <v>200</v>
      </c>
    </row>
    <row r="183" spans="1:7" ht="12.75">
      <c r="A183" s="672"/>
      <c r="B183" s="611"/>
      <c r="C183" s="611">
        <v>4240</v>
      </c>
      <c r="D183" s="76" t="s">
        <v>243</v>
      </c>
      <c r="E183" s="447">
        <v>993</v>
      </c>
      <c r="F183" s="467">
        <v>-81</v>
      </c>
      <c r="G183" s="321">
        <f t="shared" si="4"/>
        <v>912</v>
      </c>
    </row>
    <row r="184" spans="1:7" ht="12.75">
      <c r="A184" s="672"/>
      <c r="B184" s="611"/>
      <c r="C184" s="611">
        <v>4260</v>
      </c>
      <c r="D184" s="76" t="s">
        <v>218</v>
      </c>
      <c r="E184" s="447">
        <v>200</v>
      </c>
      <c r="F184" s="467"/>
      <c r="G184" s="321">
        <f t="shared" si="4"/>
        <v>200</v>
      </c>
    </row>
    <row r="185" spans="1:7" ht="12.75">
      <c r="A185" s="672"/>
      <c r="B185" s="611"/>
      <c r="C185" s="611">
        <v>4270</v>
      </c>
      <c r="D185" s="76" t="s">
        <v>219</v>
      </c>
      <c r="E185" s="447">
        <v>200</v>
      </c>
      <c r="F185" s="467">
        <v>15</v>
      </c>
      <c r="G185" s="321">
        <f t="shared" si="4"/>
        <v>215</v>
      </c>
    </row>
    <row r="186" spans="1:7" ht="12.75">
      <c r="A186" s="672"/>
      <c r="B186" s="611"/>
      <c r="C186" s="611">
        <v>4300</v>
      </c>
      <c r="D186" s="76" t="s">
        <v>209</v>
      </c>
      <c r="E186" s="447">
        <v>300</v>
      </c>
      <c r="F186" s="467">
        <f>-15+143</f>
        <v>128</v>
      </c>
      <c r="G186" s="321">
        <f t="shared" si="4"/>
        <v>428</v>
      </c>
    </row>
    <row r="187" spans="1:7" ht="12.75">
      <c r="A187" s="672"/>
      <c r="B187" s="611"/>
      <c r="C187" s="611">
        <v>4410</v>
      </c>
      <c r="D187" s="76" t="s">
        <v>221</v>
      </c>
      <c r="E187" s="447">
        <v>100</v>
      </c>
      <c r="F187" s="467"/>
      <c r="G187" s="321">
        <f t="shared" si="4"/>
        <v>100</v>
      </c>
    </row>
    <row r="188" spans="1:7" ht="12.75">
      <c r="A188" s="672"/>
      <c r="B188" s="611"/>
      <c r="C188" s="611">
        <v>4440</v>
      </c>
      <c r="D188" s="76" t="s">
        <v>223</v>
      </c>
      <c r="E188" s="447">
        <v>3779</v>
      </c>
      <c r="F188" s="467"/>
      <c r="G188" s="321">
        <f t="shared" si="4"/>
        <v>3779</v>
      </c>
    </row>
    <row r="189" spans="1:7" ht="12.75">
      <c r="A189" s="672"/>
      <c r="B189" s="611"/>
      <c r="C189" s="611"/>
      <c r="D189" s="76"/>
      <c r="E189" s="447"/>
      <c r="F189" s="467"/>
      <c r="G189" s="321"/>
    </row>
    <row r="190" spans="1:7" ht="12.75">
      <c r="A190" s="685"/>
      <c r="B190" s="676">
        <v>80110</v>
      </c>
      <c r="C190" s="663"/>
      <c r="D190" s="80" t="s">
        <v>244</v>
      </c>
      <c r="E190" s="448">
        <f>SUM(E191:E202)</f>
        <v>296415</v>
      </c>
      <c r="F190" s="448">
        <f>SUM(F191:F202)</f>
        <v>3550</v>
      </c>
      <c r="G190" s="322">
        <f t="shared" si="4"/>
        <v>299965</v>
      </c>
    </row>
    <row r="191" spans="1:7" ht="12.75">
      <c r="A191" s="685"/>
      <c r="B191" s="611"/>
      <c r="C191" s="611">
        <v>3020</v>
      </c>
      <c r="D191" s="76" t="s">
        <v>212</v>
      </c>
      <c r="E191" s="447">
        <v>9221</v>
      </c>
      <c r="F191" s="467"/>
      <c r="G191" s="321">
        <f t="shared" si="4"/>
        <v>9221</v>
      </c>
    </row>
    <row r="192" spans="1:9" ht="12.75">
      <c r="A192" s="685"/>
      <c r="B192" s="611"/>
      <c r="C192" s="611">
        <v>4010</v>
      </c>
      <c r="D192" s="76" t="s">
        <v>213</v>
      </c>
      <c r="E192" s="447">
        <v>197840</v>
      </c>
      <c r="F192" s="467">
        <f>2979+35</f>
        <v>3014</v>
      </c>
      <c r="G192" s="321">
        <f t="shared" si="4"/>
        <v>200854</v>
      </c>
      <c r="I192" s="645">
        <f>SUM(G192:G195)</f>
        <v>259313</v>
      </c>
    </row>
    <row r="193" spans="1:7" ht="12.75">
      <c r="A193" s="685"/>
      <c r="B193" s="611"/>
      <c r="C193" s="611">
        <v>4040</v>
      </c>
      <c r="D193" s="76" t="s">
        <v>214</v>
      </c>
      <c r="E193" s="447">
        <v>16529</v>
      </c>
      <c r="F193" s="467"/>
      <c r="G193" s="321">
        <f t="shared" si="4"/>
        <v>16529</v>
      </c>
    </row>
    <row r="194" spans="1:7" ht="12.75">
      <c r="A194" s="685"/>
      <c r="B194" s="611"/>
      <c r="C194" s="611">
        <v>4110</v>
      </c>
      <c r="D194" s="76" t="s">
        <v>215</v>
      </c>
      <c r="E194" s="447">
        <v>36402</v>
      </c>
      <c r="F194" s="467">
        <v>488</v>
      </c>
      <c r="G194" s="321">
        <f t="shared" si="4"/>
        <v>36890</v>
      </c>
    </row>
    <row r="195" spans="1:7" ht="12.75">
      <c r="A195" s="685"/>
      <c r="B195" s="611"/>
      <c r="C195" s="611">
        <v>4120</v>
      </c>
      <c r="D195" s="76" t="s">
        <v>216</v>
      </c>
      <c r="E195" s="447">
        <v>4992</v>
      </c>
      <c r="F195" s="467">
        <f>83-35</f>
        <v>48</v>
      </c>
      <c r="G195" s="321">
        <f t="shared" si="4"/>
        <v>5040</v>
      </c>
    </row>
    <row r="196" spans="1:7" ht="12.75">
      <c r="A196" s="685"/>
      <c r="B196" s="611"/>
      <c r="C196" s="611">
        <v>4210</v>
      </c>
      <c r="D196" s="76" t="s">
        <v>217</v>
      </c>
      <c r="E196" s="447">
        <v>3000</v>
      </c>
      <c r="F196" s="467"/>
      <c r="G196" s="321">
        <f t="shared" si="4"/>
        <v>3000</v>
      </c>
    </row>
    <row r="197" spans="1:7" ht="12.75">
      <c r="A197" s="685"/>
      <c r="B197" s="611"/>
      <c r="C197" s="611">
        <v>4240</v>
      </c>
      <c r="D197" s="76" t="s">
        <v>245</v>
      </c>
      <c r="E197" s="447">
        <v>3000</v>
      </c>
      <c r="F197" s="467">
        <v>-900</v>
      </c>
      <c r="G197" s="321">
        <f t="shared" si="4"/>
        <v>2100</v>
      </c>
    </row>
    <row r="198" spans="1:7" ht="12.75">
      <c r="A198" s="685"/>
      <c r="B198" s="611"/>
      <c r="C198" s="611">
        <v>4260</v>
      </c>
      <c r="D198" s="76" t="s">
        <v>218</v>
      </c>
      <c r="E198" s="447">
        <v>3000</v>
      </c>
      <c r="F198" s="467"/>
      <c r="G198" s="321">
        <f t="shared" si="4"/>
        <v>3000</v>
      </c>
    </row>
    <row r="199" spans="1:7" ht="12.75">
      <c r="A199" s="685"/>
      <c r="B199" s="611"/>
      <c r="C199" s="611">
        <v>4270</v>
      </c>
      <c r="D199" s="76" t="s">
        <v>219</v>
      </c>
      <c r="E199" s="447">
        <v>2300</v>
      </c>
      <c r="F199" s="467">
        <v>-1155</v>
      </c>
      <c r="G199" s="321">
        <f t="shared" si="4"/>
        <v>1145</v>
      </c>
    </row>
    <row r="200" spans="1:7" ht="12.75">
      <c r="A200" s="685"/>
      <c r="B200" s="611"/>
      <c r="C200" s="611">
        <v>4300</v>
      </c>
      <c r="D200" s="76" t="s">
        <v>209</v>
      </c>
      <c r="E200" s="447">
        <v>4756</v>
      </c>
      <c r="F200" s="467">
        <v>2235</v>
      </c>
      <c r="G200" s="321">
        <f t="shared" si="4"/>
        <v>6991</v>
      </c>
    </row>
    <row r="201" spans="1:7" ht="12.75">
      <c r="A201" s="685"/>
      <c r="B201" s="611"/>
      <c r="C201" s="611">
        <v>4410</v>
      </c>
      <c r="D201" s="76" t="s">
        <v>221</v>
      </c>
      <c r="E201" s="447">
        <v>500</v>
      </c>
      <c r="F201" s="467">
        <v>-180</v>
      </c>
      <c r="G201" s="321">
        <f t="shared" si="4"/>
        <v>320</v>
      </c>
    </row>
    <row r="202" spans="1:7" ht="12.75">
      <c r="A202" s="685"/>
      <c r="B202" s="611"/>
      <c r="C202" s="611">
        <v>4440</v>
      </c>
      <c r="D202" s="76" t="s">
        <v>223</v>
      </c>
      <c r="E202" s="447">
        <v>14875</v>
      </c>
      <c r="F202" s="467"/>
      <c r="G202" s="321">
        <f t="shared" si="4"/>
        <v>14875</v>
      </c>
    </row>
    <row r="203" spans="1:7" ht="12.75">
      <c r="A203" s="685"/>
      <c r="B203" s="611"/>
      <c r="C203" s="611"/>
      <c r="D203" s="76"/>
      <c r="E203" s="447"/>
      <c r="F203" s="467"/>
      <c r="G203" s="321"/>
    </row>
    <row r="204" spans="1:7" ht="12.75">
      <c r="A204" s="685"/>
      <c r="B204" s="676">
        <v>80120</v>
      </c>
      <c r="C204" s="663"/>
      <c r="D204" s="80" t="s">
        <v>36</v>
      </c>
      <c r="E204" s="448">
        <f>SUM(E205:E220)</f>
        <v>3346896</v>
      </c>
      <c r="F204" s="448">
        <f>SUM(F205:F220)</f>
        <v>54482</v>
      </c>
      <c r="G204" s="322">
        <f t="shared" si="4"/>
        <v>3401378</v>
      </c>
    </row>
    <row r="205" spans="1:7" ht="12.75">
      <c r="A205" s="685"/>
      <c r="B205" s="611"/>
      <c r="C205" s="611">
        <v>3020</v>
      </c>
      <c r="D205" s="76" t="s">
        <v>212</v>
      </c>
      <c r="E205" s="447">
        <v>3117</v>
      </c>
      <c r="F205" s="467">
        <v>8154</v>
      </c>
      <c r="G205" s="321">
        <f t="shared" si="4"/>
        <v>11271</v>
      </c>
    </row>
    <row r="206" spans="1:9" ht="12.75">
      <c r="A206" s="685"/>
      <c r="B206" s="611"/>
      <c r="C206" s="611">
        <v>4010</v>
      </c>
      <c r="D206" s="76" t="s">
        <v>213</v>
      </c>
      <c r="E206" s="447">
        <v>1304482</v>
      </c>
      <c r="F206" s="467">
        <f>2110-143</f>
        <v>1967</v>
      </c>
      <c r="G206" s="321">
        <f t="shared" si="4"/>
        <v>1306449</v>
      </c>
      <c r="I206" s="645">
        <f>SUM(G206:G209)</f>
        <v>1672135</v>
      </c>
    </row>
    <row r="207" spans="1:7" ht="12.75">
      <c r="A207" s="685"/>
      <c r="B207" s="611"/>
      <c r="C207" s="611">
        <v>4040</v>
      </c>
      <c r="D207" s="76" t="s">
        <v>214</v>
      </c>
      <c r="E207" s="447">
        <v>89483</v>
      </c>
      <c r="F207" s="467"/>
      <c r="G207" s="321">
        <f t="shared" si="4"/>
        <v>89483</v>
      </c>
    </row>
    <row r="208" spans="1:7" ht="12.75">
      <c r="A208" s="685"/>
      <c r="B208" s="611"/>
      <c r="C208" s="611">
        <v>4110</v>
      </c>
      <c r="D208" s="76" t="s">
        <v>215</v>
      </c>
      <c r="E208" s="447">
        <v>243943</v>
      </c>
      <c r="F208" s="467">
        <f>379-932</f>
        <v>-553</v>
      </c>
      <c r="G208" s="321">
        <f t="shared" si="4"/>
        <v>243390</v>
      </c>
    </row>
    <row r="209" spans="1:7" ht="12.75">
      <c r="A209" s="685"/>
      <c r="B209" s="611"/>
      <c r="C209" s="611">
        <v>4120</v>
      </c>
      <c r="D209" s="76" t="s">
        <v>216</v>
      </c>
      <c r="E209" s="447">
        <v>33370</v>
      </c>
      <c r="F209" s="467">
        <v>-557</v>
      </c>
      <c r="G209" s="321">
        <f t="shared" si="4"/>
        <v>32813</v>
      </c>
    </row>
    <row r="210" spans="1:7" ht="12.75">
      <c r="A210" s="685"/>
      <c r="B210" s="611"/>
      <c r="C210" s="611">
        <v>4170</v>
      </c>
      <c r="D210" s="76" t="s">
        <v>605</v>
      </c>
      <c r="E210" s="447">
        <v>355</v>
      </c>
      <c r="F210" s="467">
        <v>1000</v>
      </c>
      <c r="G210" s="321">
        <f t="shared" si="4"/>
        <v>1355</v>
      </c>
    </row>
    <row r="211" spans="1:7" ht="12.75">
      <c r="A211" s="685"/>
      <c r="B211" s="611"/>
      <c r="C211" s="611">
        <v>4210</v>
      </c>
      <c r="D211" s="76" t="s">
        <v>217</v>
      </c>
      <c r="E211" s="447">
        <v>16548</v>
      </c>
      <c r="F211" s="467">
        <f>469+29542+23667-29542</f>
        <v>24136</v>
      </c>
      <c r="G211" s="321">
        <f t="shared" si="4"/>
        <v>40684</v>
      </c>
    </row>
    <row r="212" spans="1:7" ht="12.75">
      <c r="A212" s="685"/>
      <c r="B212" s="611"/>
      <c r="C212" s="611">
        <v>4260</v>
      </c>
      <c r="D212" s="76" t="s">
        <v>218</v>
      </c>
      <c r="E212" s="447">
        <v>66604</v>
      </c>
      <c r="F212" s="467"/>
      <c r="G212" s="321">
        <f t="shared" si="4"/>
        <v>66604</v>
      </c>
    </row>
    <row r="213" spans="1:7" ht="12.75">
      <c r="A213" s="685"/>
      <c r="B213" s="611"/>
      <c r="C213" s="611">
        <v>4270</v>
      </c>
      <c r="D213" s="76" t="s">
        <v>219</v>
      </c>
      <c r="E213" s="447">
        <v>66656</v>
      </c>
      <c r="F213" s="467">
        <v>20101</v>
      </c>
      <c r="G213" s="321">
        <f t="shared" si="4"/>
        <v>86757</v>
      </c>
    </row>
    <row r="214" spans="1:7" ht="12.75">
      <c r="A214" s="685"/>
      <c r="B214" s="611"/>
      <c r="C214" s="611">
        <v>4280</v>
      </c>
      <c r="D214" s="76" t="s">
        <v>220</v>
      </c>
      <c r="E214" s="447">
        <v>800</v>
      </c>
      <c r="F214" s="467"/>
      <c r="G214" s="321">
        <f t="shared" si="4"/>
        <v>800</v>
      </c>
    </row>
    <row r="215" spans="1:7" ht="12.75">
      <c r="A215" s="685"/>
      <c r="B215" s="434"/>
      <c r="C215" s="611">
        <v>4300</v>
      </c>
      <c r="D215" s="76" t="s">
        <v>209</v>
      </c>
      <c r="E215" s="447">
        <v>9455</v>
      </c>
      <c r="F215" s="467"/>
      <c r="G215" s="321">
        <f t="shared" si="4"/>
        <v>9455</v>
      </c>
    </row>
    <row r="216" spans="1:7" ht="12.75">
      <c r="A216" s="685"/>
      <c r="B216" s="434"/>
      <c r="C216" s="611">
        <v>4350</v>
      </c>
      <c r="D216" s="76" t="s">
        <v>606</v>
      </c>
      <c r="E216" s="447">
        <v>200</v>
      </c>
      <c r="F216" s="467"/>
      <c r="G216" s="321">
        <f t="shared" si="4"/>
        <v>200</v>
      </c>
    </row>
    <row r="217" spans="1:7" ht="12.75">
      <c r="A217" s="685"/>
      <c r="B217" s="434"/>
      <c r="C217" s="611">
        <v>4410</v>
      </c>
      <c r="D217" s="76" t="s">
        <v>221</v>
      </c>
      <c r="E217" s="447">
        <v>3500</v>
      </c>
      <c r="F217" s="467">
        <v>-1509</v>
      </c>
      <c r="G217" s="321">
        <f t="shared" si="4"/>
        <v>1991</v>
      </c>
    </row>
    <row r="218" spans="1:7" ht="12.75">
      <c r="A218" s="685"/>
      <c r="B218" s="434"/>
      <c r="C218" s="611">
        <v>4430</v>
      </c>
      <c r="D218" s="76" t="s">
        <v>222</v>
      </c>
      <c r="E218" s="447">
        <v>10000</v>
      </c>
      <c r="F218" s="467">
        <v>-2644</v>
      </c>
      <c r="G218" s="321">
        <f t="shared" si="4"/>
        <v>7356</v>
      </c>
    </row>
    <row r="219" spans="1:7" ht="12.75">
      <c r="A219" s="685"/>
      <c r="B219" s="434"/>
      <c r="C219" s="611">
        <v>4440</v>
      </c>
      <c r="D219" s="76" t="s">
        <v>223</v>
      </c>
      <c r="E219" s="447">
        <v>83383</v>
      </c>
      <c r="F219" s="467">
        <v>4387</v>
      </c>
      <c r="G219" s="321">
        <f t="shared" si="4"/>
        <v>87770</v>
      </c>
    </row>
    <row r="220" spans="1:7" ht="12.75">
      <c r="A220" s="685"/>
      <c r="B220" s="434"/>
      <c r="C220" s="611">
        <v>6050</v>
      </c>
      <c r="D220" s="76" t="s">
        <v>226</v>
      </c>
      <c r="E220" s="447">
        <v>1415000</v>
      </c>
      <c r="F220" s="467"/>
      <c r="G220" s="321">
        <f t="shared" si="4"/>
        <v>1415000</v>
      </c>
    </row>
    <row r="221" spans="1:7" ht="12.75">
      <c r="A221" s="685"/>
      <c r="B221" s="434"/>
      <c r="C221" s="611"/>
      <c r="D221" s="76"/>
      <c r="E221" s="447"/>
      <c r="F221" s="467"/>
      <c r="G221" s="321"/>
    </row>
    <row r="222" spans="1:7" ht="12.75">
      <c r="A222" s="685"/>
      <c r="B222" s="676">
        <v>80123</v>
      </c>
      <c r="C222" s="663"/>
      <c r="D222" s="80" t="s">
        <v>246</v>
      </c>
      <c r="E222" s="448">
        <f>SUM(E223:E228)</f>
        <v>76480</v>
      </c>
      <c r="F222" s="448">
        <f>SUM(F223:F228)</f>
        <v>0</v>
      </c>
      <c r="G222" s="322">
        <f t="shared" si="4"/>
        <v>76480</v>
      </c>
    </row>
    <row r="223" spans="1:7" ht="12.75">
      <c r="A223" s="685"/>
      <c r="B223" s="611"/>
      <c r="C223" s="611">
        <v>3020</v>
      </c>
      <c r="D223" s="76" t="s">
        <v>212</v>
      </c>
      <c r="E223" s="447">
        <v>95</v>
      </c>
      <c r="F223" s="467"/>
      <c r="G223" s="321">
        <f t="shared" si="4"/>
        <v>95</v>
      </c>
    </row>
    <row r="224" spans="1:9" ht="12.75">
      <c r="A224" s="685"/>
      <c r="B224" s="611"/>
      <c r="C224" s="611">
        <v>4010</v>
      </c>
      <c r="D224" s="76" t="s">
        <v>213</v>
      </c>
      <c r="E224" s="447">
        <v>54541</v>
      </c>
      <c r="F224" s="467"/>
      <c r="G224" s="321">
        <f t="shared" si="4"/>
        <v>54541</v>
      </c>
      <c r="I224" s="645">
        <f>SUM(G224:G227)</f>
        <v>71346</v>
      </c>
    </row>
    <row r="225" spans="1:7" ht="12.75">
      <c r="A225" s="685"/>
      <c r="B225" s="611"/>
      <c r="C225" s="611">
        <v>4040</v>
      </c>
      <c r="D225" s="76" t="s">
        <v>214</v>
      </c>
      <c r="E225" s="447">
        <v>4599</v>
      </c>
      <c r="F225" s="467"/>
      <c r="G225" s="321">
        <f t="shared" si="4"/>
        <v>4599</v>
      </c>
    </row>
    <row r="226" spans="1:7" ht="12.75">
      <c r="A226" s="685"/>
      <c r="B226" s="611"/>
      <c r="C226" s="611">
        <v>4110</v>
      </c>
      <c r="D226" s="76" t="s">
        <v>215</v>
      </c>
      <c r="E226" s="447">
        <v>10719</v>
      </c>
      <c r="F226" s="467"/>
      <c r="G226" s="321">
        <f t="shared" si="4"/>
        <v>10719</v>
      </c>
    </row>
    <row r="227" spans="1:7" ht="12.75">
      <c r="A227" s="685"/>
      <c r="B227" s="611"/>
      <c r="C227" s="611">
        <v>4120</v>
      </c>
      <c r="D227" s="76" t="s">
        <v>216</v>
      </c>
      <c r="E227" s="447">
        <v>1487</v>
      </c>
      <c r="F227" s="467"/>
      <c r="G227" s="321">
        <f t="shared" si="4"/>
        <v>1487</v>
      </c>
    </row>
    <row r="228" spans="1:7" ht="12.75">
      <c r="A228" s="685"/>
      <c r="B228" s="611"/>
      <c r="C228" s="611">
        <v>4440</v>
      </c>
      <c r="D228" s="76" t="s">
        <v>223</v>
      </c>
      <c r="E228" s="447">
        <v>5039</v>
      </c>
      <c r="F228" s="467"/>
      <c r="G228" s="321">
        <f t="shared" si="4"/>
        <v>5039</v>
      </c>
    </row>
    <row r="229" spans="1:7" ht="12.75">
      <c r="A229" s="685"/>
      <c r="B229" s="611"/>
      <c r="C229" s="611"/>
      <c r="D229" s="76"/>
      <c r="E229" s="447"/>
      <c r="F229" s="467"/>
      <c r="G229" s="321"/>
    </row>
    <row r="230" spans="1:7" ht="12.75">
      <c r="A230" s="685"/>
      <c r="B230" s="676">
        <v>80130</v>
      </c>
      <c r="C230" s="663"/>
      <c r="D230" s="80" t="s">
        <v>37</v>
      </c>
      <c r="E230" s="448">
        <f>SUM(E231:E250)</f>
        <v>4296827</v>
      </c>
      <c r="F230" s="448">
        <f>SUM(F231:F250)</f>
        <v>80418</v>
      </c>
      <c r="G230" s="322">
        <f t="shared" si="4"/>
        <v>4377245</v>
      </c>
    </row>
    <row r="231" spans="1:7" ht="12.75">
      <c r="A231" s="685"/>
      <c r="B231" s="434"/>
      <c r="C231" s="611">
        <v>3020</v>
      </c>
      <c r="D231" s="76" t="s">
        <v>212</v>
      </c>
      <c r="E231" s="447">
        <v>37069</v>
      </c>
      <c r="F231" s="467">
        <f>414+71</f>
        <v>485</v>
      </c>
      <c r="G231" s="321">
        <f t="shared" si="4"/>
        <v>37554</v>
      </c>
    </row>
    <row r="232" spans="1:9" ht="12.75">
      <c r="A232" s="685"/>
      <c r="B232" s="434"/>
      <c r="C232" s="611">
        <v>4010</v>
      </c>
      <c r="D232" s="76" t="s">
        <v>213</v>
      </c>
      <c r="E232" s="447">
        <v>2431912</v>
      </c>
      <c r="F232" s="467">
        <f>-8048-13034+1403</f>
        <v>-19679</v>
      </c>
      <c r="G232" s="321">
        <f t="shared" si="4"/>
        <v>2412233</v>
      </c>
      <c r="I232" s="645">
        <f>SUM(G232:G236)</f>
        <v>3155296</v>
      </c>
    </row>
    <row r="233" spans="1:7" ht="12.75">
      <c r="A233" s="685"/>
      <c r="B233" s="434"/>
      <c r="C233" s="611">
        <v>4040</v>
      </c>
      <c r="D233" s="76" t="s">
        <v>214</v>
      </c>
      <c r="E233" s="447">
        <v>182424</v>
      </c>
      <c r="F233" s="467">
        <v>-942</v>
      </c>
      <c r="G233" s="321">
        <f t="shared" si="4"/>
        <v>181482</v>
      </c>
    </row>
    <row r="234" spans="1:7" ht="12.75">
      <c r="A234" s="685"/>
      <c r="B234" s="434"/>
      <c r="C234" s="611">
        <v>4110</v>
      </c>
      <c r="D234" s="76" t="s">
        <v>215</v>
      </c>
      <c r="E234" s="447">
        <v>469225</v>
      </c>
      <c r="F234" s="467">
        <f>-307+2190-4094-180</f>
        <v>-2391</v>
      </c>
      <c r="G234" s="321">
        <f t="shared" si="4"/>
        <v>466834</v>
      </c>
    </row>
    <row r="235" spans="1:7" ht="12.75">
      <c r="A235" s="685"/>
      <c r="B235" s="434"/>
      <c r="C235" s="611">
        <v>4120</v>
      </c>
      <c r="D235" s="76" t="s">
        <v>216</v>
      </c>
      <c r="E235" s="447">
        <v>63988</v>
      </c>
      <c r="F235" s="467">
        <f>-91+100-159-25</f>
        <v>-175</v>
      </c>
      <c r="G235" s="321">
        <f t="shared" si="4"/>
        <v>63813</v>
      </c>
    </row>
    <row r="236" spans="1:7" ht="12.75">
      <c r="A236" s="685"/>
      <c r="B236" s="434"/>
      <c r="C236" s="611">
        <v>4170</v>
      </c>
      <c r="D236" s="76" t="s">
        <v>605</v>
      </c>
      <c r="E236" s="447">
        <v>30934</v>
      </c>
      <c r="F236" s="467"/>
      <c r="G236" s="321">
        <f t="shared" si="4"/>
        <v>30934</v>
      </c>
    </row>
    <row r="237" spans="1:7" ht="12.75">
      <c r="A237" s="685"/>
      <c r="B237" s="434"/>
      <c r="C237" s="611">
        <v>4210</v>
      </c>
      <c r="D237" s="76" t="s">
        <v>217</v>
      </c>
      <c r="E237" s="447">
        <v>309683</v>
      </c>
      <c r="F237" s="467">
        <f>12381+2903+4380+4780+575+987</f>
        <v>26006</v>
      </c>
      <c r="G237" s="321">
        <f t="shared" si="4"/>
        <v>335689</v>
      </c>
    </row>
    <row r="238" spans="1:7" ht="12.75">
      <c r="A238" s="685"/>
      <c r="B238" s="434"/>
      <c r="C238" s="611">
        <v>4240</v>
      </c>
      <c r="D238" s="76" t="s">
        <v>245</v>
      </c>
      <c r="E238" s="447">
        <v>40416</v>
      </c>
      <c r="F238" s="467">
        <f>1197+9196</f>
        <v>10393</v>
      </c>
      <c r="G238" s="321">
        <f t="shared" si="4"/>
        <v>50809</v>
      </c>
    </row>
    <row r="239" spans="1:7" ht="12.75">
      <c r="A239" s="685"/>
      <c r="B239" s="434"/>
      <c r="C239" s="611">
        <v>4260</v>
      </c>
      <c r="D239" s="76" t="s">
        <v>218</v>
      </c>
      <c r="E239" s="447">
        <v>109604</v>
      </c>
      <c r="F239" s="467">
        <f>10000+205</f>
        <v>10205</v>
      </c>
      <c r="G239" s="321">
        <f t="shared" si="4"/>
        <v>119809</v>
      </c>
    </row>
    <row r="240" spans="1:7" ht="12.75">
      <c r="A240" s="685"/>
      <c r="B240" s="434"/>
      <c r="C240" s="611">
        <v>4270</v>
      </c>
      <c r="D240" s="76" t="s">
        <v>219</v>
      </c>
      <c r="E240" s="447">
        <v>190193</v>
      </c>
      <c r="F240" s="467">
        <f>66852+7450-3947</f>
        <v>70355</v>
      </c>
      <c r="G240" s="321">
        <f t="shared" si="4"/>
        <v>260548</v>
      </c>
    </row>
    <row r="241" spans="1:7" ht="12.75">
      <c r="A241" s="685"/>
      <c r="B241" s="434"/>
      <c r="C241" s="611">
        <v>4280</v>
      </c>
      <c r="D241" s="76" t="s">
        <v>220</v>
      </c>
      <c r="E241" s="447">
        <v>1900</v>
      </c>
      <c r="F241" s="467">
        <f>230-100-130</f>
        <v>0</v>
      </c>
      <c r="G241" s="321">
        <f t="shared" si="4"/>
        <v>1900</v>
      </c>
    </row>
    <row r="242" spans="1:7" ht="12.75">
      <c r="A242" s="685"/>
      <c r="B242" s="434"/>
      <c r="C242" s="611">
        <v>4300</v>
      </c>
      <c r="D242" s="76" t="s">
        <v>209</v>
      </c>
      <c r="E242" s="447">
        <v>97245</v>
      </c>
      <c r="F242" s="467">
        <f>-475-4743</f>
        <v>-5218</v>
      </c>
      <c r="G242" s="321">
        <f t="shared" si="4"/>
        <v>92027</v>
      </c>
    </row>
    <row r="243" spans="1:7" ht="12.75">
      <c r="A243" s="685"/>
      <c r="B243" s="434"/>
      <c r="C243" s="611">
        <v>4350</v>
      </c>
      <c r="D243" s="76" t="s">
        <v>606</v>
      </c>
      <c r="E243" s="447">
        <v>3665</v>
      </c>
      <c r="F243" s="467">
        <f>660-148-83</f>
        <v>429</v>
      </c>
      <c r="G243" s="321">
        <f t="shared" si="4"/>
        <v>4094</v>
      </c>
    </row>
    <row r="244" spans="1:7" ht="12.75">
      <c r="A244" s="685"/>
      <c r="B244" s="434"/>
      <c r="C244" s="611">
        <v>4410</v>
      </c>
      <c r="D244" s="308" t="s">
        <v>221</v>
      </c>
      <c r="E244" s="686">
        <v>4100</v>
      </c>
      <c r="F244" s="76">
        <f>-556-371</f>
        <v>-927</v>
      </c>
      <c r="G244" s="321">
        <f t="shared" si="4"/>
        <v>3173</v>
      </c>
    </row>
    <row r="245" spans="1:7" ht="12.75">
      <c r="A245" s="685"/>
      <c r="B245" s="434"/>
      <c r="C245" s="611">
        <v>4420</v>
      </c>
      <c r="D245" s="308" t="s">
        <v>236</v>
      </c>
      <c r="E245" s="686">
        <v>0</v>
      </c>
      <c r="F245" s="467">
        <v>1800</v>
      </c>
      <c r="G245" s="321">
        <f t="shared" si="4"/>
        <v>1800</v>
      </c>
    </row>
    <row r="246" spans="1:7" ht="12.75">
      <c r="A246" s="685"/>
      <c r="B246" s="434"/>
      <c r="C246" s="611">
        <v>4430</v>
      </c>
      <c r="D246" s="76" t="s">
        <v>222</v>
      </c>
      <c r="E246" s="447">
        <v>21680</v>
      </c>
      <c r="F246" s="467">
        <f>80-9500-503</f>
        <v>-9923</v>
      </c>
      <c r="G246" s="321">
        <f aca="true" t="shared" si="5" ref="G246:G335">E246+F246</f>
        <v>11757</v>
      </c>
    </row>
    <row r="247" spans="1:7" ht="12.75">
      <c r="A247" s="685"/>
      <c r="B247" s="434"/>
      <c r="C247" s="611">
        <v>4440</v>
      </c>
      <c r="D247" s="76" t="s">
        <v>223</v>
      </c>
      <c r="E247" s="447">
        <v>162607</v>
      </c>
      <c r="F247" s="467"/>
      <c r="G247" s="321">
        <f t="shared" si="5"/>
        <v>162607</v>
      </c>
    </row>
    <row r="248" spans="1:7" ht="12.75">
      <c r="A248" s="685"/>
      <c r="B248" s="434"/>
      <c r="C248" s="611">
        <v>4530</v>
      </c>
      <c r="D248" s="76" t="s">
        <v>247</v>
      </c>
      <c r="E248" s="447">
        <v>1000</v>
      </c>
      <c r="F248" s="467"/>
      <c r="G248" s="321">
        <f t="shared" si="5"/>
        <v>1000</v>
      </c>
    </row>
    <row r="249" spans="1:7" ht="12.75">
      <c r="A249" s="685"/>
      <c r="B249" s="434"/>
      <c r="C249" s="611">
        <v>6050</v>
      </c>
      <c r="D249" s="76" t="s">
        <v>226</v>
      </c>
      <c r="E249" s="447">
        <v>139182</v>
      </c>
      <c r="F249" s="467"/>
      <c r="G249" s="321">
        <f t="shared" si="5"/>
        <v>139182</v>
      </c>
    </row>
    <row r="250" spans="1:7" ht="12.75">
      <c r="A250" s="685"/>
      <c r="B250" s="434"/>
      <c r="C250" s="611">
        <v>6060</v>
      </c>
      <c r="D250" s="76" t="s">
        <v>534</v>
      </c>
      <c r="E250" s="447">
        <v>0</v>
      </c>
      <c r="F250" s="467"/>
      <c r="G250" s="321">
        <f t="shared" si="5"/>
        <v>0</v>
      </c>
    </row>
    <row r="251" spans="1:7" ht="12.75">
      <c r="A251" s="685"/>
      <c r="B251" s="434"/>
      <c r="C251" s="611"/>
      <c r="D251" s="76"/>
      <c r="E251" s="447"/>
      <c r="F251" s="467"/>
      <c r="G251" s="321"/>
    </row>
    <row r="252" spans="1:7" ht="12.75">
      <c r="A252" s="685"/>
      <c r="B252" s="676">
        <v>80146</v>
      </c>
      <c r="C252" s="663"/>
      <c r="D252" s="80" t="s">
        <v>175</v>
      </c>
      <c r="E252" s="448">
        <f>SUM(E253:E254)</f>
        <v>37395</v>
      </c>
      <c r="F252" s="448">
        <f>SUM(F253:F254)</f>
        <v>-8277</v>
      </c>
      <c r="G252" s="322">
        <f t="shared" si="5"/>
        <v>29118</v>
      </c>
    </row>
    <row r="253" spans="1:7" ht="12.75">
      <c r="A253" s="685"/>
      <c r="B253" s="611"/>
      <c r="C253" s="611">
        <v>4300</v>
      </c>
      <c r="D253" s="76" t="s">
        <v>209</v>
      </c>
      <c r="E253" s="447">
        <v>36195</v>
      </c>
      <c r="F253" s="467">
        <f>-391-372+3054-2369-7529</f>
        <v>-7607</v>
      </c>
      <c r="G253" s="321">
        <f t="shared" si="5"/>
        <v>28588</v>
      </c>
    </row>
    <row r="254" spans="1:7" ht="12.75">
      <c r="A254" s="685"/>
      <c r="B254" s="611"/>
      <c r="C254" s="611">
        <v>4410</v>
      </c>
      <c r="D254" s="76" t="s">
        <v>221</v>
      </c>
      <c r="E254" s="447">
        <v>1200</v>
      </c>
      <c r="F254" s="467">
        <v>-670</v>
      </c>
      <c r="G254" s="321">
        <f t="shared" si="5"/>
        <v>530</v>
      </c>
    </row>
    <row r="255" spans="1:7" ht="12.75">
      <c r="A255" s="685"/>
      <c r="B255" s="611"/>
      <c r="C255" s="611"/>
      <c r="D255" s="76"/>
      <c r="E255" s="447"/>
      <c r="F255" s="467"/>
      <c r="G255" s="321"/>
    </row>
    <row r="256" spans="1:7" ht="12.75">
      <c r="A256" s="685"/>
      <c r="B256" s="676">
        <v>80195</v>
      </c>
      <c r="C256" s="663"/>
      <c r="D256" s="80" t="s">
        <v>25</v>
      </c>
      <c r="E256" s="448">
        <f>SUM(E257:E264)</f>
        <v>117225</v>
      </c>
      <c r="F256" s="448">
        <f>SUM(F257:F264)</f>
        <v>0</v>
      </c>
      <c r="G256" s="322">
        <f t="shared" si="5"/>
        <v>117225</v>
      </c>
    </row>
    <row r="257" spans="1:7" ht="12.75">
      <c r="A257" s="685"/>
      <c r="B257" s="611"/>
      <c r="C257" s="611">
        <v>2820</v>
      </c>
      <c r="D257" s="76" t="s">
        <v>527</v>
      </c>
      <c r="E257" s="447">
        <v>0</v>
      </c>
      <c r="F257" s="467"/>
      <c r="G257" s="321">
        <f t="shared" si="5"/>
        <v>0</v>
      </c>
    </row>
    <row r="258" spans="1:7" ht="12.75">
      <c r="A258" s="685"/>
      <c r="B258" s="611"/>
      <c r="C258" s="611"/>
      <c r="D258" s="76" t="s">
        <v>528</v>
      </c>
      <c r="E258" s="447"/>
      <c r="F258" s="467"/>
      <c r="G258" s="321"/>
    </row>
    <row r="259" spans="1:7" ht="12.75">
      <c r="A259" s="685"/>
      <c r="B259" s="611"/>
      <c r="C259" s="611">
        <v>3030</v>
      </c>
      <c r="D259" s="76" t="s">
        <v>235</v>
      </c>
      <c r="E259" s="447">
        <v>1300</v>
      </c>
      <c r="F259" s="467"/>
      <c r="G259" s="321">
        <f>F259+E259</f>
        <v>1300</v>
      </c>
    </row>
    <row r="260" spans="1:7" ht="12.75">
      <c r="A260" s="685"/>
      <c r="B260" s="611"/>
      <c r="C260" s="611">
        <v>4010</v>
      </c>
      <c r="D260" s="76" t="s">
        <v>213</v>
      </c>
      <c r="E260" s="447">
        <v>9920</v>
      </c>
      <c r="F260" s="467"/>
      <c r="G260" s="321">
        <f>F260+E260</f>
        <v>9920</v>
      </c>
    </row>
    <row r="261" spans="1:7" ht="12.75">
      <c r="A261" s="685"/>
      <c r="B261" s="611"/>
      <c r="C261" s="611">
        <v>4110</v>
      </c>
      <c r="D261" s="76" t="s">
        <v>215</v>
      </c>
      <c r="E261" s="447">
        <v>1785</v>
      </c>
      <c r="F261" s="467"/>
      <c r="G261" s="321">
        <f>F261+E261</f>
        <v>1785</v>
      </c>
    </row>
    <row r="262" spans="1:7" ht="12.75">
      <c r="A262" s="685"/>
      <c r="B262" s="611"/>
      <c r="C262" s="611">
        <v>4120</v>
      </c>
      <c r="D262" s="76" t="s">
        <v>216</v>
      </c>
      <c r="E262" s="447">
        <v>243</v>
      </c>
      <c r="F262" s="467"/>
      <c r="G262" s="321">
        <f>F262+E262</f>
        <v>243</v>
      </c>
    </row>
    <row r="263" spans="1:7" ht="12.75">
      <c r="A263" s="685"/>
      <c r="B263" s="611"/>
      <c r="C263" s="611">
        <v>4300</v>
      </c>
      <c r="D263" s="76" t="s">
        <v>209</v>
      </c>
      <c r="E263" s="447">
        <v>7056</v>
      </c>
      <c r="F263" s="467"/>
      <c r="G263" s="321">
        <f t="shared" si="5"/>
        <v>7056</v>
      </c>
    </row>
    <row r="264" spans="1:7" ht="12.75">
      <c r="A264" s="685"/>
      <c r="B264" s="611"/>
      <c r="C264" s="611">
        <v>4440</v>
      </c>
      <c r="D264" s="76" t="s">
        <v>223</v>
      </c>
      <c r="E264" s="447">
        <v>96921</v>
      </c>
      <c r="F264" s="467"/>
      <c r="G264" s="321">
        <f>F264+E264</f>
        <v>96921</v>
      </c>
    </row>
    <row r="265" spans="1:7" ht="12.75">
      <c r="A265" s="685"/>
      <c r="B265" s="611"/>
      <c r="C265" s="611"/>
      <c r="D265" s="76"/>
      <c r="E265" s="447"/>
      <c r="F265" s="467"/>
      <c r="G265" s="321"/>
    </row>
    <row r="266" spans="1:7" ht="13.5" thickBot="1">
      <c r="A266" s="687">
        <v>803</v>
      </c>
      <c r="B266" s="659"/>
      <c r="C266" s="659"/>
      <c r="D266" s="312" t="s">
        <v>670</v>
      </c>
      <c r="E266" s="446">
        <f>E267</f>
        <v>146040</v>
      </c>
      <c r="F266" s="492">
        <f>F267</f>
        <v>0</v>
      </c>
      <c r="G266" s="320">
        <f aca="true" t="shared" si="6" ref="G266:G276">F266+E266</f>
        <v>146040</v>
      </c>
    </row>
    <row r="267" spans="1:7" ht="12.75">
      <c r="A267" s="685"/>
      <c r="B267" s="676">
        <v>80309</v>
      </c>
      <c r="C267" s="663"/>
      <c r="D267" s="80" t="s">
        <v>671</v>
      </c>
      <c r="E267" s="448">
        <f>SUM(E268:E276)</f>
        <v>146040</v>
      </c>
      <c r="F267" s="684">
        <f>SUM(F268:F276)</f>
        <v>0</v>
      </c>
      <c r="G267" s="322">
        <f t="shared" si="6"/>
        <v>146040</v>
      </c>
    </row>
    <row r="268" spans="1:7" ht="12.75">
      <c r="A268" s="685"/>
      <c r="B268" s="611"/>
      <c r="C268" s="611">
        <v>3210</v>
      </c>
      <c r="D268" s="76" t="s">
        <v>672</v>
      </c>
      <c r="E268" s="447">
        <v>1081</v>
      </c>
      <c r="F268" s="467"/>
      <c r="G268" s="321">
        <f t="shared" si="6"/>
        <v>1081</v>
      </c>
    </row>
    <row r="269" spans="1:7" ht="12.75">
      <c r="A269" s="685"/>
      <c r="B269" s="611"/>
      <c r="C269" s="611">
        <v>3218</v>
      </c>
      <c r="D269" s="76" t="s">
        <v>672</v>
      </c>
      <c r="E269" s="447">
        <v>105389</v>
      </c>
      <c r="F269" s="467"/>
      <c r="G269" s="321">
        <f t="shared" si="6"/>
        <v>105389</v>
      </c>
    </row>
    <row r="270" spans="1:7" ht="12.75">
      <c r="A270" s="685"/>
      <c r="B270" s="611"/>
      <c r="C270" s="611">
        <v>3219</v>
      </c>
      <c r="D270" s="76" t="s">
        <v>672</v>
      </c>
      <c r="E270" s="447">
        <v>35130</v>
      </c>
      <c r="F270" s="467"/>
      <c r="G270" s="321">
        <f t="shared" si="6"/>
        <v>35130</v>
      </c>
    </row>
    <row r="271" spans="1:7" ht="12.75">
      <c r="A271" s="685"/>
      <c r="B271" s="611"/>
      <c r="C271" s="611">
        <v>4110</v>
      </c>
      <c r="D271" s="76" t="s">
        <v>215</v>
      </c>
      <c r="E271" s="447">
        <v>0</v>
      </c>
      <c r="F271" s="467">
        <v>0</v>
      </c>
      <c r="G271" s="321">
        <f t="shared" si="6"/>
        <v>0</v>
      </c>
    </row>
    <row r="272" spans="1:7" ht="12.75">
      <c r="A272" s="685"/>
      <c r="B272" s="611"/>
      <c r="C272" s="611">
        <v>4120</v>
      </c>
      <c r="D272" s="76" t="s">
        <v>216</v>
      </c>
      <c r="E272" s="447">
        <v>0</v>
      </c>
      <c r="F272" s="467">
        <v>0</v>
      </c>
      <c r="G272" s="321">
        <f t="shared" si="6"/>
        <v>0</v>
      </c>
    </row>
    <row r="273" spans="1:7" ht="12.75">
      <c r="A273" s="685"/>
      <c r="B273" s="611"/>
      <c r="C273" s="611">
        <v>4218</v>
      </c>
      <c r="D273" s="76" t="s">
        <v>217</v>
      </c>
      <c r="E273" s="447">
        <v>225</v>
      </c>
      <c r="F273" s="467"/>
      <c r="G273" s="321">
        <f t="shared" si="6"/>
        <v>225</v>
      </c>
    </row>
    <row r="274" spans="1:7" ht="12.75">
      <c r="A274" s="685"/>
      <c r="B274" s="611"/>
      <c r="C274" s="611">
        <v>4219</v>
      </c>
      <c r="D274" s="76" t="s">
        <v>217</v>
      </c>
      <c r="E274" s="447">
        <v>75</v>
      </c>
      <c r="F274" s="467"/>
      <c r="G274" s="321">
        <f>F274+E274</f>
        <v>75</v>
      </c>
    </row>
    <row r="275" spans="1:7" ht="12.75">
      <c r="A275" s="685"/>
      <c r="B275" s="611"/>
      <c r="C275" s="611">
        <v>4308</v>
      </c>
      <c r="D275" s="76" t="s">
        <v>209</v>
      </c>
      <c r="E275" s="447">
        <v>3105</v>
      </c>
      <c r="F275" s="467"/>
      <c r="G275" s="321">
        <f>F275+E275</f>
        <v>3105</v>
      </c>
    </row>
    <row r="276" spans="1:7" ht="12.75">
      <c r="A276" s="685"/>
      <c r="B276" s="611"/>
      <c r="C276" s="611">
        <v>4309</v>
      </c>
      <c r="D276" s="76" t="s">
        <v>209</v>
      </c>
      <c r="E276" s="447">
        <v>1035</v>
      </c>
      <c r="F276" s="467"/>
      <c r="G276" s="321">
        <f t="shared" si="6"/>
        <v>1035</v>
      </c>
    </row>
    <row r="277" spans="1:7" ht="12.75">
      <c r="A277" s="685"/>
      <c r="B277" s="611"/>
      <c r="C277" s="611"/>
      <c r="D277" s="76"/>
      <c r="E277" s="447"/>
      <c r="F277" s="467"/>
      <c r="G277" s="321"/>
    </row>
    <row r="278" spans="1:7" ht="13.5" thickBot="1">
      <c r="A278" s="688">
        <v>851</v>
      </c>
      <c r="B278" s="689"/>
      <c r="C278" s="690"/>
      <c r="D278" s="417" t="s">
        <v>18</v>
      </c>
      <c r="E278" s="446">
        <f>E287+E290+E283+E279</f>
        <v>2815399</v>
      </c>
      <c r="F278" s="446">
        <f>F287+F290+F283+F279</f>
        <v>2000</v>
      </c>
      <c r="G278" s="320">
        <f t="shared" si="5"/>
        <v>2817399</v>
      </c>
    </row>
    <row r="279" spans="1:7" ht="12.75">
      <c r="A279" s="691"/>
      <c r="B279" s="680">
        <v>85111</v>
      </c>
      <c r="C279" s="692"/>
      <c r="D279" s="693" t="s">
        <v>734</v>
      </c>
      <c r="E279" s="449">
        <f>E280</f>
        <v>15000</v>
      </c>
      <c r="F279" s="449">
        <f>F280</f>
        <v>5000</v>
      </c>
      <c r="G279" s="683">
        <f>F279+E279</f>
        <v>20000</v>
      </c>
    </row>
    <row r="280" spans="1:7" ht="12.75">
      <c r="A280" s="691"/>
      <c r="B280" s="665"/>
      <c r="C280" s="429">
        <v>2560</v>
      </c>
      <c r="D280" s="308" t="s">
        <v>740</v>
      </c>
      <c r="E280" s="447">
        <v>15000</v>
      </c>
      <c r="F280" s="447">
        <v>5000</v>
      </c>
      <c r="G280" s="321">
        <f>F280+E280</f>
        <v>20000</v>
      </c>
    </row>
    <row r="281" spans="1:7" ht="12.75">
      <c r="A281" s="691"/>
      <c r="B281" s="665"/>
      <c r="C281" s="429"/>
      <c r="D281" s="308" t="s">
        <v>741</v>
      </c>
      <c r="E281" s="447"/>
      <c r="F281" s="447"/>
      <c r="G281" s="321"/>
    </row>
    <row r="282" spans="1:7" ht="12.75">
      <c r="A282" s="691"/>
      <c r="B282" s="694"/>
      <c r="C282" s="695"/>
      <c r="D282" s="696"/>
      <c r="E282" s="500"/>
      <c r="F282" s="500"/>
      <c r="G282" s="697"/>
    </row>
    <row r="283" spans="1:7" ht="12.75">
      <c r="A283" s="691"/>
      <c r="B283" s="676">
        <v>85149</v>
      </c>
      <c r="C283" s="676"/>
      <c r="D283" s="71" t="s">
        <v>472</v>
      </c>
      <c r="E283" s="448">
        <f>SUM(E284:E285)</f>
        <v>3000</v>
      </c>
      <c r="F283" s="448">
        <f>SUM(F284:F285)</f>
        <v>-3000</v>
      </c>
      <c r="G283" s="322">
        <f t="shared" si="5"/>
        <v>0</v>
      </c>
    </row>
    <row r="284" spans="1:7" ht="12.75">
      <c r="A284" s="691"/>
      <c r="B284" s="665"/>
      <c r="C284" s="665">
        <v>2560</v>
      </c>
      <c r="D284" s="308" t="s">
        <v>535</v>
      </c>
      <c r="E284" s="447">
        <v>0</v>
      </c>
      <c r="F284" s="467"/>
      <c r="G284" s="321">
        <f t="shared" si="5"/>
        <v>0</v>
      </c>
    </row>
    <row r="285" spans="1:7" ht="12.75">
      <c r="A285" s="691"/>
      <c r="B285" s="694"/>
      <c r="C285" s="665">
        <v>4300</v>
      </c>
      <c r="D285" s="308" t="s">
        <v>209</v>
      </c>
      <c r="E285" s="447">
        <v>3000</v>
      </c>
      <c r="F285" s="467">
        <v>-3000</v>
      </c>
      <c r="G285" s="321">
        <f t="shared" si="5"/>
        <v>0</v>
      </c>
    </row>
    <row r="286" spans="1:7" ht="12.75">
      <c r="A286" s="691"/>
      <c r="B286" s="694"/>
      <c r="C286" s="695"/>
      <c r="D286" s="696"/>
      <c r="E286" s="447"/>
      <c r="F286" s="467"/>
      <c r="G286" s="321"/>
    </row>
    <row r="287" spans="1:7" ht="12.75">
      <c r="A287" s="691"/>
      <c r="B287" s="676">
        <v>85154</v>
      </c>
      <c r="C287" s="698"/>
      <c r="D287" s="71" t="s">
        <v>248</v>
      </c>
      <c r="E287" s="448">
        <f>E288</f>
        <v>13700</v>
      </c>
      <c r="F287" s="448">
        <f>F288</f>
        <v>0</v>
      </c>
      <c r="G287" s="322">
        <f t="shared" si="5"/>
        <v>13700</v>
      </c>
    </row>
    <row r="288" spans="1:7" ht="12.75">
      <c r="A288" s="691"/>
      <c r="B288" s="665"/>
      <c r="C288" s="429">
        <v>4300</v>
      </c>
      <c r="D288" s="308" t="s">
        <v>209</v>
      </c>
      <c r="E288" s="447">
        <v>13700</v>
      </c>
      <c r="F288" s="467"/>
      <c r="G288" s="321">
        <f t="shared" si="5"/>
        <v>13700</v>
      </c>
    </row>
    <row r="289" spans="1:7" ht="12.75">
      <c r="A289" s="691"/>
      <c r="B289" s="665"/>
      <c r="C289" s="429"/>
      <c r="D289" s="311"/>
      <c r="E289" s="447"/>
      <c r="F289" s="467"/>
      <c r="G289" s="321"/>
    </row>
    <row r="290" spans="1:7" ht="12.75">
      <c r="A290" s="685"/>
      <c r="B290" s="676">
        <v>85156</v>
      </c>
      <c r="C290" s="663"/>
      <c r="D290" s="80" t="s">
        <v>529</v>
      </c>
      <c r="E290" s="448">
        <f>SUM(E291:E293)</f>
        <v>2783699</v>
      </c>
      <c r="F290" s="448">
        <f>SUM(F291:F293)</f>
        <v>0</v>
      </c>
      <c r="G290" s="322">
        <f t="shared" si="5"/>
        <v>2783699</v>
      </c>
    </row>
    <row r="291" spans="1:7" ht="12.75">
      <c r="A291" s="685"/>
      <c r="B291" s="611"/>
      <c r="C291" s="309" t="s">
        <v>655</v>
      </c>
      <c r="D291" s="76" t="s">
        <v>656</v>
      </c>
      <c r="E291" s="447">
        <v>4849</v>
      </c>
      <c r="F291" s="467"/>
      <c r="G291" s="321">
        <f>F291+E291</f>
        <v>4849</v>
      </c>
    </row>
    <row r="292" spans="1:7" ht="12.75">
      <c r="A292" s="685"/>
      <c r="B292" s="611"/>
      <c r="C292" s="309"/>
      <c r="D292" s="76" t="s">
        <v>657</v>
      </c>
      <c r="E292" s="447"/>
      <c r="F292" s="467"/>
      <c r="G292" s="321"/>
    </row>
    <row r="293" spans="1:7" ht="12.75">
      <c r="A293" s="685"/>
      <c r="B293" s="434"/>
      <c r="C293" s="309" t="s">
        <v>249</v>
      </c>
      <c r="D293" s="76" t="s">
        <v>250</v>
      </c>
      <c r="E293" s="447">
        <v>2778850</v>
      </c>
      <c r="F293" s="467"/>
      <c r="G293" s="321">
        <f t="shared" si="5"/>
        <v>2778850</v>
      </c>
    </row>
    <row r="294" spans="1:7" ht="12.75">
      <c r="A294" s="685"/>
      <c r="B294" s="699"/>
      <c r="C294" s="700"/>
      <c r="D294" s="419"/>
      <c r="E294" s="447"/>
      <c r="F294" s="467"/>
      <c r="G294" s="321"/>
    </row>
    <row r="295" spans="1:7" ht="13.5" thickBot="1">
      <c r="A295" s="675">
        <v>852</v>
      </c>
      <c r="B295" s="435"/>
      <c r="C295" s="677"/>
      <c r="D295" s="312" t="s">
        <v>277</v>
      </c>
      <c r="E295" s="446">
        <f>E296+E319+E356+E361+E377+E341+E386+E389</f>
        <v>8242464</v>
      </c>
      <c r="F295" s="446">
        <f>F296+F319+F356+F361+F377+F341+F386+F389</f>
        <v>225144</v>
      </c>
      <c r="G295" s="320">
        <f t="shared" si="5"/>
        <v>8467608</v>
      </c>
    </row>
    <row r="296" spans="1:7" ht="12.75">
      <c r="A296" s="685"/>
      <c r="B296" s="676">
        <v>85201</v>
      </c>
      <c r="C296" s="663"/>
      <c r="D296" s="80" t="s">
        <v>26</v>
      </c>
      <c r="E296" s="448">
        <f>SUM(E297:E317)</f>
        <v>2054548</v>
      </c>
      <c r="F296" s="448">
        <f>SUM(F297:F317)</f>
        <v>-127000</v>
      </c>
      <c r="G296" s="683">
        <f t="shared" si="5"/>
        <v>1927548</v>
      </c>
    </row>
    <row r="297" spans="1:7" ht="12.75">
      <c r="A297" s="685"/>
      <c r="B297" s="611"/>
      <c r="C297" s="611">
        <v>2310</v>
      </c>
      <c r="D297" s="311" t="s">
        <v>211</v>
      </c>
      <c r="E297" s="447">
        <v>522270</v>
      </c>
      <c r="F297" s="467">
        <v>14885</v>
      </c>
      <c r="G297" s="321">
        <f t="shared" si="5"/>
        <v>537155</v>
      </c>
    </row>
    <row r="298" spans="1:7" ht="12.75">
      <c r="A298" s="685"/>
      <c r="B298" s="434"/>
      <c r="C298" s="611">
        <v>3020</v>
      </c>
      <c r="D298" s="76" t="s">
        <v>212</v>
      </c>
      <c r="E298" s="447">
        <v>19841</v>
      </c>
      <c r="F298" s="467">
        <v>-676</v>
      </c>
      <c r="G298" s="321">
        <f t="shared" si="5"/>
        <v>19165</v>
      </c>
    </row>
    <row r="299" spans="1:9" ht="12.75">
      <c r="A299" s="685"/>
      <c r="B299" s="434"/>
      <c r="C299" s="611">
        <v>3110</v>
      </c>
      <c r="D299" s="76" t="s">
        <v>251</v>
      </c>
      <c r="E299" s="447">
        <v>115287</v>
      </c>
      <c r="F299" s="467">
        <f>920-14885</f>
        <v>-13965</v>
      </c>
      <c r="G299" s="321">
        <f t="shared" si="5"/>
        <v>101322</v>
      </c>
      <c r="I299" s="645">
        <f>SUM(G300:G304)</f>
        <v>852901</v>
      </c>
    </row>
    <row r="300" spans="1:7" ht="12.75">
      <c r="A300" s="685"/>
      <c r="B300" s="434"/>
      <c r="C300" s="611">
        <v>4010</v>
      </c>
      <c r="D300" s="76" t="s">
        <v>213</v>
      </c>
      <c r="E300" s="447">
        <v>676666</v>
      </c>
      <c r="F300" s="467">
        <v>-8131</v>
      </c>
      <c r="G300" s="321">
        <f t="shared" si="5"/>
        <v>668535</v>
      </c>
    </row>
    <row r="301" spans="1:7" ht="12.75">
      <c r="A301" s="685"/>
      <c r="B301" s="434"/>
      <c r="C301" s="611">
        <v>4040</v>
      </c>
      <c r="D301" s="76" t="s">
        <v>214</v>
      </c>
      <c r="E301" s="447">
        <v>42954</v>
      </c>
      <c r="F301" s="467">
        <v>-95</v>
      </c>
      <c r="G301" s="321">
        <f t="shared" si="5"/>
        <v>42859</v>
      </c>
    </row>
    <row r="302" spans="1:7" ht="12.75">
      <c r="A302" s="685"/>
      <c r="B302" s="434"/>
      <c r="C302" s="611">
        <v>4110</v>
      </c>
      <c r="D302" s="76" t="s">
        <v>215</v>
      </c>
      <c r="E302" s="447">
        <v>122129</v>
      </c>
      <c r="F302" s="467">
        <v>-1095</v>
      </c>
      <c r="G302" s="321">
        <f t="shared" si="5"/>
        <v>121034</v>
      </c>
    </row>
    <row r="303" spans="1:7" ht="12.75">
      <c r="A303" s="685"/>
      <c r="B303" s="434"/>
      <c r="C303" s="611">
        <v>4120</v>
      </c>
      <c r="D303" s="76" t="s">
        <v>216</v>
      </c>
      <c r="E303" s="447">
        <v>16751</v>
      </c>
      <c r="F303" s="467">
        <v>-78</v>
      </c>
      <c r="G303" s="321">
        <f t="shared" si="5"/>
        <v>16673</v>
      </c>
    </row>
    <row r="304" spans="1:7" ht="12.75">
      <c r="A304" s="685"/>
      <c r="B304" s="434"/>
      <c r="C304" s="611">
        <v>4170</v>
      </c>
      <c r="D304" s="76" t="s">
        <v>605</v>
      </c>
      <c r="E304" s="447">
        <v>3800</v>
      </c>
      <c r="F304" s="467"/>
      <c r="G304" s="321">
        <f t="shared" si="5"/>
        <v>3800</v>
      </c>
    </row>
    <row r="305" spans="1:7" ht="12.75">
      <c r="A305" s="685"/>
      <c r="B305" s="434"/>
      <c r="C305" s="611">
        <v>4210</v>
      </c>
      <c r="D305" s="76" t="s">
        <v>217</v>
      </c>
      <c r="E305" s="447">
        <v>117515</v>
      </c>
      <c r="F305" s="467">
        <f>-40062+2995+6520+1000-52</f>
        <v>-29599</v>
      </c>
      <c r="G305" s="321">
        <f t="shared" si="5"/>
        <v>87916</v>
      </c>
    </row>
    <row r="306" spans="1:7" ht="12.75">
      <c r="A306" s="685"/>
      <c r="B306" s="434"/>
      <c r="C306" s="611">
        <v>4220</v>
      </c>
      <c r="D306" s="76" t="s">
        <v>252</v>
      </c>
      <c r="E306" s="447">
        <v>79320</v>
      </c>
      <c r="F306" s="467">
        <f>-6644+3095+3000+7</f>
        <v>-542</v>
      </c>
      <c r="G306" s="321">
        <f t="shared" si="5"/>
        <v>78778</v>
      </c>
    </row>
    <row r="307" spans="1:7" ht="12.75">
      <c r="A307" s="685"/>
      <c r="B307" s="434"/>
      <c r="C307" s="611">
        <v>4240</v>
      </c>
      <c r="D307" s="76" t="s">
        <v>245</v>
      </c>
      <c r="E307" s="447">
        <v>8817</v>
      </c>
      <c r="F307" s="467">
        <v>-151</v>
      </c>
      <c r="G307" s="321">
        <f t="shared" si="5"/>
        <v>8666</v>
      </c>
    </row>
    <row r="308" spans="1:7" ht="12.75">
      <c r="A308" s="685"/>
      <c r="B308" s="434"/>
      <c r="C308" s="611">
        <v>4260</v>
      </c>
      <c r="D308" s="76" t="s">
        <v>218</v>
      </c>
      <c r="E308" s="447">
        <v>33200</v>
      </c>
      <c r="F308" s="467">
        <f>494+1000</f>
        <v>1494</v>
      </c>
      <c r="G308" s="321">
        <f t="shared" si="5"/>
        <v>34694</v>
      </c>
    </row>
    <row r="309" spans="1:7" ht="12.75">
      <c r="A309" s="685"/>
      <c r="B309" s="434"/>
      <c r="C309" s="611">
        <v>4270</v>
      </c>
      <c r="D309" s="76" t="s">
        <v>219</v>
      </c>
      <c r="E309" s="447">
        <v>110938</v>
      </c>
      <c r="F309" s="467">
        <f>-109938-46+4880</f>
        <v>-105104</v>
      </c>
      <c r="G309" s="321">
        <f t="shared" si="5"/>
        <v>5834</v>
      </c>
    </row>
    <row r="310" spans="1:7" ht="12.75">
      <c r="A310" s="685"/>
      <c r="B310" s="434"/>
      <c r="C310" s="611">
        <v>4280</v>
      </c>
      <c r="D310" s="76" t="s">
        <v>220</v>
      </c>
      <c r="E310" s="447">
        <v>400</v>
      </c>
      <c r="F310" s="467">
        <v>161</v>
      </c>
      <c r="G310" s="321">
        <f t="shared" si="5"/>
        <v>561</v>
      </c>
    </row>
    <row r="311" spans="1:7" ht="12.75">
      <c r="A311" s="685"/>
      <c r="B311" s="434"/>
      <c r="C311" s="611">
        <v>4300</v>
      </c>
      <c r="D311" s="76" t="s">
        <v>209</v>
      </c>
      <c r="E311" s="447">
        <v>80267</v>
      </c>
      <c r="F311" s="467">
        <f>11701+7362-5000+45</f>
        <v>14108</v>
      </c>
      <c r="G311" s="321">
        <f t="shared" si="5"/>
        <v>94375</v>
      </c>
    </row>
    <row r="312" spans="1:7" ht="12.75">
      <c r="A312" s="685"/>
      <c r="B312" s="434"/>
      <c r="C312" s="611">
        <v>4410</v>
      </c>
      <c r="D312" s="76" t="s">
        <v>221</v>
      </c>
      <c r="E312" s="447">
        <v>5809</v>
      </c>
      <c r="F312" s="467">
        <f>581+1143</f>
        <v>1724</v>
      </c>
      <c r="G312" s="321">
        <f t="shared" si="5"/>
        <v>7533</v>
      </c>
    </row>
    <row r="313" spans="1:7" ht="12.75">
      <c r="A313" s="685"/>
      <c r="B313" s="434"/>
      <c r="C313" s="611">
        <v>4430</v>
      </c>
      <c r="D313" s="76" t="s">
        <v>222</v>
      </c>
      <c r="E313" s="447">
        <v>2858</v>
      </c>
      <c r="F313" s="467"/>
      <c r="G313" s="321">
        <f t="shared" si="5"/>
        <v>2858</v>
      </c>
    </row>
    <row r="314" spans="1:7" ht="12.75">
      <c r="A314" s="685"/>
      <c r="B314" s="434"/>
      <c r="C314" s="611">
        <v>4440</v>
      </c>
      <c r="D314" s="76" t="s">
        <v>223</v>
      </c>
      <c r="E314" s="447">
        <v>33005</v>
      </c>
      <c r="F314" s="467"/>
      <c r="G314" s="321">
        <f t="shared" si="5"/>
        <v>33005</v>
      </c>
    </row>
    <row r="315" spans="1:7" ht="12.75">
      <c r="A315" s="685"/>
      <c r="B315" s="434"/>
      <c r="C315" s="611">
        <v>4480</v>
      </c>
      <c r="D315" s="76" t="s">
        <v>224</v>
      </c>
      <c r="E315" s="447">
        <v>2721</v>
      </c>
      <c r="F315" s="467">
        <v>64</v>
      </c>
      <c r="G315" s="321">
        <f t="shared" si="5"/>
        <v>2785</v>
      </c>
    </row>
    <row r="316" spans="1:7" ht="12.75">
      <c r="A316" s="685"/>
      <c r="B316" s="434"/>
      <c r="C316" s="611">
        <v>6050</v>
      </c>
      <c r="D316" s="76" t="s">
        <v>226</v>
      </c>
      <c r="E316" s="447">
        <v>60000</v>
      </c>
      <c r="F316" s="467"/>
      <c r="G316" s="321">
        <f t="shared" si="5"/>
        <v>60000</v>
      </c>
    </row>
    <row r="317" spans="1:7" ht="12.75">
      <c r="A317" s="685"/>
      <c r="B317" s="434"/>
      <c r="C317" s="611">
        <v>6060</v>
      </c>
      <c r="D317" s="76" t="s">
        <v>526</v>
      </c>
      <c r="E317" s="447">
        <v>0</v>
      </c>
      <c r="F317" s="467"/>
      <c r="G317" s="321">
        <f t="shared" si="5"/>
        <v>0</v>
      </c>
    </row>
    <row r="318" spans="1:7" ht="12.75">
      <c r="A318" s="685"/>
      <c r="B318" s="434"/>
      <c r="C318" s="611"/>
      <c r="D318" s="76"/>
      <c r="E318" s="447"/>
      <c r="F318" s="467"/>
      <c r="G318" s="321"/>
    </row>
    <row r="319" spans="1:7" ht="12.75">
      <c r="A319" s="685"/>
      <c r="B319" s="676">
        <v>85202</v>
      </c>
      <c r="C319" s="663"/>
      <c r="D319" s="80" t="s">
        <v>27</v>
      </c>
      <c r="E319" s="448">
        <f>SUM(E320:E339)</f>
        <v>4198257</v>
      </c>
      <c r="F319" s="448">
        <f>SUM(F320:F339)</f>
        <v>22962</v>
      </c>
      <c r="G319" s="322">
        <f t="shared" si="5"/>
        <v>4221219</v>
      </c>
    </row>
    <row r="320" spans="1:7" ht="12.75">
      <c r="A320" s="685"/>
      <c r="B320" s="611"/>
      <c r="C320" s="611">
        <v>3020</v>
      </c>
      <c r="D320" s="76" t="s">
        <v>212</v>
      </c>
      <c r="E320" s="447">
        <v>20750</v>
      </c>
      <c r="F320" s="467">
        <f>-100</f>
        <v>-100</v>
      </c>
      <c r="G320" s="321">
        <f t="shared" si="5"/>
        <v>20650</v>
      </c>
    </row>
    <row r="321" spans="1:9" ht="12.75">
      <c r="A321" s="685"/>
      <c r="B321" s="611"/>
      <c r="C321" s="611">
        <v>4010</v>
      </c>
      <c r="D321" s="76" t="s">
        <v>213</v>
      </c>
      <c r="E321" s="447">
        <v>1851329</v>
      </c>
      <c r="F321" s="467">
        <f>-122+729</f>
        <v>607</v>
      </c>
      <c r="G321" s="321">
        <f t="shared" si="5"/>
        <v>1851936</v>
      </c>
      <c r="I321" s="645">
        <f>SUM(G321:G324)</f>
        <v>2364476</v>
      </c>
    </row>
    <row r="322" spans="1:7" ht="12.75">
      <c r="A322" s="685"/>
      <c r="B322" s="611"/>
      <c r="C322" s="611">
        <v>4040</v>
      </c>
      <c r="D322" s="76" t="s">
        <v>214</v>
      </c>
      <c r="E322" s="447">
        <v>132382</v>
      </c>
      <c r="F322" s="467"/>
      <c r="G322" s="321">
        <f t="shared" si="5"/>
        <v>132382</v>
      </c>
    </row>
    <row r="323" spans="1:7" ht="12.75">
      <c r="A323" s="685"/>
      <c r="B323" s="611"/>
      <c r="C323" s="611">
        <v>4110</v>
      </c>
      <c r="D323" s="76" t="s">
        <v>215</v>
      </c>
      <c r="E323" s="447">
        <v>336234</v>
      </c>
      <c r="F323" s="467">
        <f>-3669+110</f>
        <v>-3559</v>
      </c>
      <c r="G323" s="321">
        <f t="shared" si="5"/>
        <v>332675</v>
      </c>
    </row>
    <row r="324" spans="1:7" ht="12.75">
      <c r="A324" s="685"/>
      <c r="B324" s="611"/>
      <c r="C324" s="611">
        <v>4120</v>
      </c>
      <c r="D324" s="76" t="s">
        <v>216</v>
      </c>
      <c r="E324" s="447">
        <v>47581</v>
      </c>
      <c r="F324" s="467">
        <f>-110+12</f>
        <v>-98</v>
      </c>
      <c r="G324" s="321">
        <f t="shared" si="5"/>
        <v>47483</v>
      </c>
    </row>
    <row r="325" spans="1:7" ht="12.75">
      <c r="A325" s="685"/>
      <c r="B325" s="611"/>
      <c r="C325" s="611">
        <v>4210</v>
      </c>
      <c r="D325" s="76" t="s">
        <v>217</v>
      </c>
      <c r="E325" s="447">
        <v>387269</v>
      </c>
      <c r="F325" s="467">
        <f>-4947+9161-1452+11872+92+6000+498</f>
        <v>21224</v>
      </c>
      <c r="G325" s="321">
        <f t="shared" si="5"/>
        <v>408493</v>
      </c>
    </row>
    <row r="326" spans="1:7" ht="12.75">
      <c r="A326" s="685"/>
      <c r="B326" s="611"/>
      <c r="C326" s="611">
        <v>4220</v>
      </c>
      <c r="D326" s="76" t="s">
        <v>252</v>
      </c>
      <c r="E326" s="447">
        <v>412007</v>
      </c>
      <c r="F326" s="467">
        <f>-5000+5700+5000</f>
        <v>5700</v>
      </c>
      <c r="G326" s="321">
        <f t="shared" si="5"/>
        <v>417707</v>
      </c>
    </row>
    <row r="327" spans="1:7" ht="12.75">
      <c r="A327" s="685"/>
      <c r="B327" s="611"/>
      <c r="C327" s="611">
        <v>4230</v>
      </c>
      <c r="D327" s="76" t="s">
        <v>253</v>
      </c>
      <c r="E327" s="447">
        <v>39500</v>
      </c>
      <c r="F327" s="467">
        <f>500</f>
        <v>500</v>
      </c>
      <c r="G327" s="321">
        <f t="shared" si="5"/>
        <v>40000</v>
      </c>
    </row>
    <row r="328" spans="1:7" ht="12.75">
      <c r="A328" s="685"/>
      <c r="B328" s="611"/>
      <c r="C328" s="611">
        <v>4260</v>
      </c>
      <c r="D328" s="76" t="s">
        <v>218</v>
      </c>
      <c r="E328" s="447">
        <v>137336</v>
      </c>
      <c r="F328" s="467">
        <f>-2000+244+335</f>
        <v>-1421</v>
      </c>
      <c r="G328" s="321">
        <f t="shared" si="5"/>
        <v>135915</v>
      </c>
    </row>
    <row r="329" spans="1:7" ht="12.75">
      <c r="A329" s="685"/>
      <c r="B329" s="611"/>
      <c r="C329" s="611">
        <v>4270</v>
      </c>
      <c r="D329" s="76" t="s">
        <v>219</v>
      </c>
      <c r="E329" s="447">
        <v>515020</v>
      </c>
      <c r="F329" s="467">
        <f>-5000-729-498</f>
        <v>-6227</v>
      </c>
      <c r="G329" s="321">
        <f t="shared" si="5"/>
        <v>508793</v>
      </c>
    </row>
    <row r="330" spans="1:7" ht="12.75">
      <c r="A330" s="685"/>
      <c r="B330" s="611"/>
      <c r="C330" s="611">
        <v>4280</v>
      </c>
      <c r="D330" s="76" t="s">
        <v>220</v>
      </c>
      <c r="E330" s="447">
        <v>1399</v>
      </c>
      <c r="F330" s="467">
        <f>-300+82-73</f>
        <v>-291</v>
      </c>
      <c r="G330" s="321">
        <f t="shared" si="5"/>
        <v>1108</v>
      </c>
    </row>
    <row r="331" spans="1:7" ht="12.75">
      <c r="A331" s="685"/>
      <c r="B331" s="611"/>
      <c r="C331" s="611">
        <v>4300</v>
      </c>
      <c r="D331" s="76" t="s">
        <v>209</v>
      </c>
      <c r="E331" s="447">
        <v>123260</v>
      </c>
      <c r="F331" s="467">
        <f>3800+4453+1443+1500</f>
        <v>11196</v>
      </c>
      <c r="G331" s="321">
        <f t="shared" si="5"/>
        <v>134456</v>
      </c>
    </row>
    <row r="332" spans="1:7" ht="12.75">
      <c r="A332" s="685"/>
      <c r="B332" s="611"/>
      <c r="C332" s="611">
        <v>4410</v>
      </c>
      <c r="D332" s="76" t="s">
        <v>221</v>
      </c>
      <c r="E332" s="447">
        <v>9130</v>
      </c>
      <c r="F332" s="467">
        <f>-200-296</f>
        <v>-496</v>
      </c>
      <c r="G332" s="321">
        <f t="shared" si="5"/>
        <v>8634</v>
      </c>
    </row>
    <row r="333" spans="1:7" ht="12.75">
      <c r="A333" s="685"/>
      <c r="B333" s="611"/>
      <c r="C333" s="611">
        <v>4420</v>
      </c>
      <c r="D333" s="76" t="s">
        <v>236</v>
      </c>
      <c r="E333" s="447">
        <v>1660</v>
      </c>
      <c r="F333" s="467"/>
      <c r="G333" s="321">
        <f t="shared" si="5"/>
        <v>1660</v>
      </c>
    </row>
    <row r="334" spans="1:7" ht="12.75">
      <c r="A334" s="685"/>
      <c r="B334" s="611"/>
      <c r="C334" s="611">
        <v>4430</v>
      </c>
      <c r="D334" s="76" t="s">
        <v>222</v>
      </c>
      <c r="E334" s="447">
        <v>17309</v>
      </c>
      <c r="F334" s="467">
        <f>-1000-1703-2108</f>
        <v>-4811</v>
      </c>
      <c r="G334" s="321">
        <f t="shared" si="5"/>
        <v>12498</v>
      </c>
    </row>
    <row r="335" spans="1:7" ht="12.75">
      <c r="A335" s="685"/>
      <c r="B335" s="611"/>
      <c r="C335" s="611">
        <v>4440</v>
      </c>
      <c r="D335" s="76" t="s">
        <v>223</v>
      </c>
      <c r="E335" s="447">
        <v>75525</v>
      </c>
      <c r="F335" s="467">
        <f>917</f>
        <v>917</v>
      </c>
      <c r="G335" s="321">
        <f t="shared" si="5"/>
        <v>76442</v>
      </c>
    </row>
    <row r="336" spans="1:7" ht="12.75">
      <c r="A336" s="685"/>
      <c r="B336" s="611"/>
      <c r="C336" s="611">
        <v>4480</v>
      </c>
      <c r="D336" s="76" t="s">
        <v>224</v>
      </c>
      <c r="E336" s="447">
        <v>15840</v>
      </c>
      <c r="F336" s="467">
        <f>-378+199</f>
        <v>-179</v>
      </c>
      <c r="G336" s="321">
        <f aca="true" t="shared" si="7" ref="G336:G412">E336+F336</f>
        <v>15661</v>
      </c>
    </row>
    <row r="337" spans="1:7" ht="12.75">
      <c r="A337" s="685"/>
      <c r="B337" s="611"/>
      <c r="C337" s="611">
        <v>4520</v>
      </c>
      <c r="D337" s="76" t="s">
        <v>254</v>
      </c>
      <c r="E337" s="447">
        <v>50</v>
      </c>
      <c r="F337" s="467"/>
      <c r="G337" s="321">
        <f t="shared" si="7"/>
        <v>50</v>
      </c>
    </row>
    <row r="338" spans="1:9" ht="12.75">
      <c r="A338" s="685"/>
      <c r="B338" s="611"/>
      <c r="C338" s="611">
        <v>6050</v>
      </c>
      <c r="D338" s="76" t="s">
        <v>226</v>
      </c>
      <c r="E338" s="447">
        <v>0</v>
      </c>
      <c r="F338" s="467"/>
      <c r="G338" s="321">
        <f t="shared" si="7"/>
        <v>0</v>
      </c>
      <c r="I338" s="645"/>
    </row>
    <row r="339" spans="1:9" ht="12.75">
      <c r="A339" s="685"/>
      <c r="B339" s="611"/>
      <c r="C339" s="611">
        <v>6060</v>
      </c>
      <c r="D339" s="76" t="s">
        <v>534</v>
      </c>
      <c r="E339" s="447">
        <v>74676</v>
      </c>
      <c r="F339" s="467"/>
      <c r="G339" s="321">
        <f t="shared" si="7"/>
        <v>74676</v>
      </c>
      <c r="I339" s="645"/>
    </row>
    <row r="340" spans="1:9" ht="12.75">
      <c r="A340" s="685"/>
      <c r="B340" s="611"/>
      <c r="C340" s="611"/>
      <c r="D340" s="76"/>
      <c r="E340" s="447"/>
      <c r="F340" s="467"/>
      <c r="G340" s="321"/>
      <c r="I340" s="645"/>
    </row>
    <row r="341" spans="1:9" ht="12.75">
      <c r="A341" s="685"/>
      <c r="B341" s="676">
        <v>85203</v>
      </c>
      <c r="C341" s="663"/>
      <c r="D341" s="80" t="s">
        <v>506</v>
      </c>
      <c r="E341" s="448">
        <f>SUM(E342:E354)</f>
        <v>184112</v>
      </c>
      <c r="F341" s="448">
        <f>SUM(F342:F354)</f>
        <v>0</v>
      </c>
      <c r="G341" s="322">
        <f t="shared" si="7"/>
        <v>184112</v>
      </c>
      <c r="I341" s="645"/>
    </row>
    <row r="342" spans="1:9" ht="12.75">
      <c r="A342" s="685"/>
      <c r="B342" s="611"/>
      <c r="C342" s="611">
        <v>4010</v>
      </c>
      <c r="D342" s="76" t="s">
        <v>213</v>
      </c>
      <c r="E342" s="447">
        <v>79272</v>
      </c>
      <c r="F342" s="467">
        <v>161</v>
      </c>
      <c r="G342" s="321">
        <f t="shared" si="7"/>
        <v>79433</v>
      </c>
      <c r="I342" s="645">
        <f>SUM(G342:G344)</f>
        <v>95019</v>
      </c>
    </row>
    <row r="343" spans="1:9" ht="12.75">
      <c r="A343" s="685"/>
      <c r="B343" s="611"/>
      <c r="C343" s="611">
        <v>4110</v>
      </c>
      <c r="D343" s="76" t="s">
        <v>215</v>
      </c>
      <c r="E343" s="447">
        <v>13835</v>
      </c>
      <c r="F343" s="467">
        <v>-141</v>
      </c>
      <c r="G343" s="321">
        <f t="shared" si="7"/>
        <v>13694</v>
      </c>
      <c r="I343" s="645"/>
    </row>
    <row r="344" spans="1:9" ht="12.75">
      <c r="A344" s="685"/>
      <c r="B344" s="611"/>
      <c r="C344" s="611">
        <v>4120</v>
      </c>
      <c r="D344" s="76" t="s">
        <v>216</v>
      </c>
      <c r="E344" s="447">
        <v>1912</v>
      </c>
      <c r="F344" s="467">
        <v>-20</v>
      </c>
      <c r="G344" s="321">
        <f t="shared" si="7"/>
        <v>1892</v>
      </c>
      <c r="I344" s="645"/>
    </row>
    <row r="345" spans="1:9" ht="12.75">
      <c r="A345" s="685"/>
      <c r="B345" s="611"/>
      <c r="C345" s="611">
        <v>4210</v>
      </c>
      <c r="D345" s="76" t="s">
        <v>217</v>
      </c>
      <c r="E345" s="447">
        <v>65808</v>
      </c>
      <c r="F345" s="467">
        <f>-9387-86</f>
        <v>-9473</v>
      </c>
      <c r="G345" s="321">
        <f t="shared" si="7"/>
        <v>56335</v>
      </c>
      <c r="I345" s="645"/>
    </row>
    <row r="346" spans="1:9" ht="12.75">
      <c r="A346" s="685"/>
      <c r="B346" s="611"/>
      <c r="C346" s="611">
        <v>4220</v>
      </c>
      <c r="D346" s="76" t="s">
        <v>252</v>
      </c>
      <c r="E346" s="447">
        <v>9000</v>
      </c>
      <c r="F346" s="467">
        <v>600</v>
      </c>
      <c r="G346" s="321">
        <f t="shared" si="7"/>
        <v>9600</v>
      </c>
      <c r="I346" s="645"/>
    </row>
    <row r="347" spans="1:9" ht="12.75">
      <c r="A347" s="685"/>
      <c r="B347" s="611"/>
      <c r="C347" s="611">
        <v>4260</v>
      </c>
      <c r="D347" s="76" t="s">
        <v>218</v>
      </c>
      <c r="E347" s="447">
        <v>1550</v>
      </c>
      <c r="F347" s="467">
        <v>-305</v>
      </c>
      <c r="G347" s="321">
        <f>F347+E347</f>
        <v>1245</v>
      </c>
      <c r="I347" s="645"/>
    </row>
    <row r="348" spans="1:9" ht="12.75">
      <c r="A348" s="685"/>
      <c r="B348" s="611"/>
      <c r="C348" s="611">
        <v>4270</v>
      </c>
      <c r="D348" s="76" t="s">
        <v>219</v>
      </c>
      <c r="E348" s="447">
        <v>1550</v>
      </c>
      <c r="F348" s="467">
        <f>6655+86</f>
        <v>6741</v>
      </c>
      <c r="G348" s="321">
        <f>F348+E348</f>
        <v>8291</v>
      </c>
      <c r="I348" s="645"/>
    </row>
    <row r="349" spans="1:9" ht="12.75">
      <c r="A349" s="685"/>
      <c r="B349" s="611"/>
      <c r="C349" s="611">
        <v>4280</v>
      </c>
      <c r="D349" s="76" t="s">
        <v>220</v>
      </c>
      <c r="E349" s="447">
        <v>400</v>
      </c>
      <c r="F349" s="467">
        <v>-56</v>
      </c>
      <c r="G349" s="321">
        <f t="shared" si="7"/>
        <v>344</v>
      </c>
      <c r="I349" s="645"/>
    </row>
    <row r="350" spans="1:9" ht="12.75">
      <c r="A350" s="685"/>
      <c r="B350" s="611"/>
      <c r="C350" s="611">
        <v>4300</v>
      </c>
      <c r="D350" s="76" t="s">
        <v>209</v>
      </c>
      <c r="E350" s="447">
        <v>2536</v>
      </c>
      <c r="F350" s="467">
        <v>3317</v>
      </c>
      <c r="G350" s="321">
        <f t="shared" si="7"/>
        <v>5853</v>
      </c>
      <c r="I350" s="645"/>
    </row>
    <row r="351" spans="1:9" ht="12.75">
      <c r="A351" s="685"/>
      <c r="B351" s="611"/>
      <c r="C351" s="611">
        <v>4410</v>
      </c>
      <c r="D351" s="76" t="s">
        <v>221</v>
      </c>
      <c r="E351" s="447">
        <v>200</v>
      </c>
      <c r="F351" s="467">
        <v>-171</v>
      </c>
      <c r="G351" s="321">
        <f t="shared" si="7"/>
        <v>29</v>
      </c>
      <c r="I351" s="645"/>
    </row>
    <row r="352" spans="1:9" ht="12.75">
      <c r="A352" s="685"/>
      <c r="B352" s="611"/>
      <c r="C352" s="611">
        <v>4430</v>
      </c>
      <c r="D352" s="76" t="s">
        <v>222</v>
      </c>
      <c r="E352" s="447">
        <v>3179</v>
      </c>
      <c r="F352" s="467"/>
      <c r="G352" s="321">
        <f t="shared" si="7"/>
        <v>3179</v>
      </c>
      <c r="I352" s="645"/>
    </row>
    <row r="353" spans="1:9" ht="12.75">
      <c r="A353" s="685"/>
      <c r="B353" s="611"/>
      <c r="C353" s="611">
        <v>4440</v>
      </c>
      <c r="D353" s="76" t="s">
        <v>223</v>
      </c>
      <c r="E353" s="447">
        <v>4870</v>
      </c>
      <c r="F353" s="467">
        <v>-653</v>
      </c>
      <c r="G353" s="321">
        <f t="shared" si="7"/>
        <v>4217</v>
      </c>
      <c r="I353" s="645"/>
    </row>
    <row r="354" spans="1:9" ht="12.75">
      <c r="A354" s="685"/>
      <c r="B354" s="611"/>
      <c r="C354" s="611">
        <v>6050</v>
      </c>
      <c r="D354" s="76" t="s">
        <v>226</v>
      </c>
      <c r="E354" s="447">
        <v>0</v>
      </c>
      <c r="F354" s="467"/>
      <c r="G354" s="321">
        <f t="shared" si="7"/>
        <v>0</v>
      </c>
      <c r="I354" s="645"/>
    </row>
    <row r="355" spans="1:7" ht="12.75">
      <c r="A355" s="685"/>
      <c r="B355" s="611"/>
      <c r="C355" s="611"/>
      <c r="D355" s="76"/>
      <c r="E355" s="447"/>
      <c r="F355" s="467"/>
      <c r="G355" s="321"/>
    </row>
    <row r="356" spans="1:7" ht="12.75">
      <c r="A356" s="685"/>
      <c r="B356" s="676">
        <v>85204</v>
      </c>
      <c r="C356" s="663"/>
      <c r="D356" s="80" t="s">
        <v>28</v>
      </c>
      <c r="E356" s="448">
        <f>SUM(E357:E359)</f>
        <v>1226403</v>
      </c>
      <c r="F356" s="448">
        <f>SUM(F357:F359)</f>
        <v>0</v>
      </c>
      <c r="G356" s="322">
        <f t="shared" si="7"/>
        <v>1226403</v>
      </c>
    </row>
    <row r="357" spans="1:7" ht="12.75">
      <c r="A357" s="685"/>
      <c r="B357" s="611"/>
      <c r="C357" s="611">
        <v>2310</v>
      </c>
      <c r="D357" s="311" t="s">
        <v>211</v>
      </c>
      <c r="E357" s="447">
        <v>115023</v>
      </c>
      <c r="F357" s="467">
        <v>4393</v>
      </c>
      <c r="G357" s="321">
        <f t="shared" si="7"/>
        <v>119416</v>
      </c>
    </row>
    <row r="358" spans="1:7" ht="12.75">
      <c r="A358" s="685"/>
      <c r="B358" s="611"/>
      <c r="C358" s="611">
        <v>3110</v>
      </c>
      <c r="D358" s="76" t="s">
        <v>251</v>
      </c>
      <c r="E358" s="447">
        <v>1080787</v>
      </c>
      <c r="F358" s="467">
        <v>-4393</v>
      </c>
      <c r="G358" s="321">
        <f t="shared" si="7"/>
        <v>1076394</v>
      </c>
    </row>
    <row r="359" spans="1:7" ht="12.75">
      <c r="A359" s="685"/>
      <c r="B359" s="611"/>
      <c r="C359" s="611">
        <v>4300</v>
      </c>
      <c r="D359" s="76" t="s">
        <v>209</v>
      </c>
      <c r="E359" s="447">
        <v>30593</v>
      </c>
      <c r="F359" s="467"/>
      <c r="G359" s="321">
        <f t="shared" si="7"/>
        <v>30593</v>
      </c>
    </row>
    <row r="360" spans="1:7" ht="12.75">
      <c r="A360" s="685"/>
      <c r="B360" s="611"/>
      <c r="C360" s="611"/>
      <c r="D360" s="76"/>
      <c r="E360" s="447"/>
      <c r="F360" s="467"/>
      <c r="G360" s="321"/>
    </row>
    <row r="361" spans="1:7" ht="12.75">
      <c r="A361" s="685"/>
      <c r="B361" s="676">
        <v>85218</v>
      </c>
      <c r="C361" s="663"/>
      <c r="D361" s="80" t="s">
        <v>19</v>
      </c>
      <c r="E361" s="448">
        <f>SUM(E362:E375)</f>
        <v>525478</v>
      </c>
      <c r="F361" s="448">
        <f>SUM(F362:F375)</f>
        <v>1054</v>
      </c>
      <c r="G361" s="322">
        <f t="shared" si="7"/>
        <v>526532</v>
      </c>
    </row>
    <row r="362" spans="1:9" ht="12.75">
      <c r="A362" s="685"/>
      <c r="B362" s="611"/>
      <c r="C362" s="611">
        <v>4010</v>
      </c>
      <c r="D362" s="76" t="s">
        <v>213</v>
      </c>
      <c r="E362" s="447">
        <v>303775</v>
      </c>
      <c r="F362" s="467"/>
      <c r="G362" s="321">
        <f t="shared" si="7"/>
        <v>303775</v>
      </c>
      <c r="I362" s="645">
        <f>SUM(G362:G365)</f>
        <v>391192</v>
      </c>
    </row>
    <row r="363" spans="1:7" ht="12.75">
      <c r="A363" s="685"/>
      <c r="B363" s="611"/>
      <c r="C363" s="611">
        <v>4040</v>
      </c>
      <c r="D363" s="76" t="s">
        <v>214</v>
      </c>
      <c r="E363" s="447">
        <v>21934</v>
      </c>
      <c r="F363" s="467"/>
      <c r="G363" s="321">
        <f t="shared" si="7"/>
        <v>21934</v>
      </c>
    </row>
    <row r="364" spans="1:7" ht="12.75">
      <c r="A364" s="685"/>
      <c r="B364" s="611"/>
      <c r="C364" s="611">
        <v>4110</v>
      </c>
      <c r="D364" s="76" t="s">
        <v>215</v>
      </c>
      <c r="E364" s="447">
        <v>57748</v>
      </c>
      <c r="F364" s="467"/>
      <c r="G364" s="321">
        <f t="shared" si="7"/>
        <v>57748</v>
      </c>
    </row>
    <row r="365" spans="1:7" ht="12.75">
      <c r="A365" s="685"/>
      <c r="B365" s="611"/>
      <c r="C365" s="611">
        <v>4120</v>
      </c>
      <c r="D365" s="76" t="s">
        <v>216</v>
      </c>
      <c r="E365" s="447">
        <v>7735</v>
      </c>
      <c r="F365" s="467"/>
      <c r="G365" s="321">
        <f t="shared" si="7"/>
        <v>7735</v>
      </c>
    </row>
    <row r="366" spans="1:7" ht="12.75">
      <c r="A366" s="685"/>
      <c r="B366" s="611"/>
      <c r="C366" s="611">
        <v>4210</v>
      </c>
      <c r="D366" s="76" t="s">
        <v>217</v>
      </c>
      <c r="E366" s="447">
        <v>27172</v>
      </c>
      <c r="F366" s="467">
        <f>1054+160</f>
        <v>1214</v>
      </c>
      <c r="G366" s="321">
        <f t="shared" si="7"/>
        <v>28386</v>
      </c>
    </row>
    <row r="367" spans="1:7" ht="12.75">
      <c r="A367" s="685"/>
      <c r="B367" s="611"/>
      <c r="C367" s="611">
        <v>4260</v>
      </c>
      <c r="D367" s="76" t="s">
        <v>218</v>
      </c>
      <c r="E367" s="447">
        <v>25120</v>
      </c>
      <c r="F367" s="467"/>
      <c r="G367" s="321">
        <f t="shared" si="7"/>
        <v>25120</v>
      </c>
    </row>
    <row r="368" spans="1:7" ht="12.75">
      <c r="A368" s="685"/>
      <c r="B368" s="611"/>
      <c r="C368" s="611">
        <v>4270</v>
      </c>
      <c r="D368" s="76" t="s">
        <v>219</v>
      </c>
      <c r="E368" s="447">
        <v>1400</v>
      </c>
      <c r="F368" s="467">
        <v>-1156</v>
      </c>
      <c r="G368" s="321">
        <f t="shared" si="7"/>
        <v>244</v>
      </c>
    </row>
    <row r="369" spans="1:7" ht="12.75">
      <c r="A369" s="685"/>
      <c r="B369" s="611"/>
      <c r="C369" s="611">
        <v>4280</v>
      </c>
      <c r="D369" s="76" t="s">
        <v>220</v>
      </c>
      <c r="E369" s="447">
        <v>160</v>
      </c>
      <c r="F369" s="467">
        <v>-160</v>
      </c>
      <c r="G369" s="321">
        <f t="shared" si="7"/>
        <v>0</v>
      </c>
    </row>
    <row r="370" spans="1:7" ht="12.75">
      <c r="A370" s="685"/>
      <c r="B370" s="611"/>
      <c r="C370" s="611">
        <v>4300</v>
      </c>
      <c r="D370" s="76" t="s">
        <v>209</v>
      </c>
      <c r="E370" s="447">
        <v>60214</v>
      </c>
      <c r="F370" s="467">
        <v>1557</v>
      </c>
      <c r="G370" s="321">
        <f t="shared" si="7"/>
        <v>61771</v>
      </c>
    </row>
    <row r="371" spans="1:7" ht="12.75">
      <c r="A371" s="685"/>
      <c r="B371" s="611"/>
      <c r="C371" s="611">
        <v>4410</v>
      </c>
      <c r="D371" s="76" t="s">
        <v>221</v>
      </c>
      <c r="E371" s="447">
        <v>2421</v>
      </c>
      <c r="F371" s="467"/>
      <c r="G371" s="321">
        <f t="shared" si="7"/>
        <v>2421</v>
      </c>
    </row>
    <row r="372" spans="1:7" ht="12.75">
      <c r="A372" s="685"/>
      <c r="B372" s="611"/>
      <c r="C372" s="611">
        <v>4430</v>
      </c>
      <c r="D372" s="76" t="s">
        <v>222</v>
      </c>
      <c r="E372" s="447">
        <v>3500</v>
      </c>
      <c r="F372" s="467">
        <v>-371</v>
      </c>
      <c r="G372" s="321">
        <f t="shared" si="7"/>
        <v>3129</v>
      </c>
    </row>
    <row r="373" spans="1:7" ht="12.75">
      <c r="A373" s="685"/>
      <c r="B373" s="611"/>
      <c r="C373" s="611">
        <v>4440</v>
      </c>
      <c r="D373" s="76" t="s">
        <v>223</v>
      </c>
      <c r="E373" s="447">
        <v>7699</v>
      </c>
      <c r="F373" s="467"/>
      <c r="G373" s="321">
        <f t="shared" si="7"/>
        <v>7699</v>
      </c>
    </row>
    <row r="374" spans="1:7" ht="12.75">
      <c r="A374" s="685"/>
      <c r="B374" s="611"/>
      <c r="C374" s="611">
        <v>4580</v>
      </c>
      <c r="D374" s="76" t="s">
        <v>88</v>
      </c>
      <c r="E374" s="447">
        <v>100</v>
      </c>
      <c r="F374" s="467">
        <v>-30</v>
      </c>
      <c r="G374" s="321">
        <f t="shared" si="7"/>
        <v>70</v>
      </c>
    </row>
    <row r="375" spans="1:7" ht="12.75">
      <c r="A375" s="685"/>
      <c r="B375" s="611"/>
      <c r="C375" s="611">
        <v>6060</v>
      </c>
      <c r="D375" s="76" t="s">
        <v>534</v>
      </c>
      <c r="E375" s="447">
        <v>6500</v>
      </c>
      <c r="F375" s="467"/>
      <c r="G375" s="321">
        <f t="shared" si="7"/>
        <v>6500</v>
      </c>
    </row>
    <row r="376" spans="1:7" ht="12.75">
      <c r="A376" s="685"/>
      <c r="B376" s="434"/>
      <c r="C376" s="309"/>
      <c r="D376" s="76"/>
      <c r="E376" s="447"/>
      <c r="F376" s="467"/>
      <c r="G376" s="321"/>
    </row>
    <row r="377" spans="1:7" ht="12.75">
      <c r="A377" s="685"/>
      <c r="B377" s="676">
        <v>85220</v>
      </c>
      <c r="C377" s="663"/>
      <c r="D377" s="415" t="s">
        <v>280</v>
      </c>
      <c r="E377" s="448">
        <f>SUM(E378:E384)</f>
        <v>51642</v>
      </c>
      <c r="F377" s="448">
        <f>SUM(F378:F384)</f>
        <v>-11872</v>
      </c>
      <c r="G377" s="322">
        <f t="shared" si="7"/>
        <v>39770</v>
      </c>
    </row>
    <row r="378" spans="1:7" ht="12.75">
      <c r="A378" s="685"/>
      <c r="B378" s="611"/>
      <c r="C378" s="611">
        <v>4210</v>
      </c>
      <c r="D378" s="76" t="s">
        <v>217</v>
      </c>
      <c r="E378" s="447">
        <v>41450</v>
      </c>
      <c r="F378" s="467">
        <f>-5666</f>
        <v>-5666</v>
      </c>
      <c r="G378" s="321">
        <f t="shared" si="7"/>
        <v>35784</v>
      </c>
    </row>
    <row r="379" spans="1:7" ht="12.75">
      <c r="A379" s="685"/>
      <c r="B379" s="611"/>
      <c r="C379" s="611">
        <v>4220</v>
      </c>
      <c r="D379" s="76" t="s">
        <v>252</v>
      </c>
      <c r="E379" s="447">
        <v>5192</v>
      </c>
      <c r="F379" s="467">
        <f>-1500</f>
        <v>-1500</v>
      </c>
      <c r="G379" s="321">
        <f t="shared" si="7"/>
        <v>3692</v>
      </c>
    </row>
    <row r="380" spans="1:7" ht="12.75">
      <c r="A380" s="685"/>
      <c r="B380" s="611"/>
      <c r="C380" s="611">
        <v>4230</v>
      </c>
      <c r="D380" s="76" t="s">
        <v>253</v>
      </c>
      <c r="E380" s="447">
        <v>1000</v>
      </c>
      <c r="F380" s="467">
        <f>-1000</f>
        <v>-1000</v>
      </c>
      <c r="G380" s="321">
        <f t="shared" si="7"/>
        <v>0</v>
      </c>
    </row>
    <row r="381" spans="1:7" ht="12.75">
      <c r="A381" s="685"/>
      <c r="B381" s="434"/>
      <c r="C381" s="309" t="s">
        <v>278</v>
      </c>
      <c r="D381" s="76" t="s">
        <v>218</v>
      </c>
      <c r="E381" s="447">
        <v>1500</v>
      </c>
      <c r="F381" s="467">
        <f>-1328</f>
        <v>-1328</v>
      </c>
      <c r="G381" s="321">
        <f t="shared" si="7"/>
        <v>172</v>
      </c>
    </row>
    <row r="382" spans="1:7" ht="12.75">
      <c r="A382" s="685"/>
      <c r="B382" s="434"/>
      <c r="C382" s="309" t="s">
        <v>279</v>
      </c>
      <c r="D382" s="76" t="s">
        <v>219</v>
      </c>
      <c r="E382" s="447">
        <v>1200</v>
      </c>
      <c r="F382" s="467">
        <f>-1078</f>
        <v>-1078</v>
      </c>
      <c r="G382" s="321">
        <f t="shared" si="7"/>
        <v>122</v>
      </c>
    </row>
    <row r="383" spans="1:7" ht="12.75">
      <c r="A383" s="685"/>
      <c r="B383" s="434"/>
      <c r="C383" s="309" t="s">
        <v>208</v>
      </c>
      <c r="D383" s="76" t="s">
        <v>209</v>
      </c>
      <c r="E383" s="447">
        <v>1300</v>
      </c>
      <c r="F383" s="467">
        <f>-1300</f>
        <v>-1300</v>
      </c>
      <c r="G383" s="321">
        <f t="shared" si="7"/>
        <v>0</v>
      </c>
    </row>
    <row r="384" spans="1:7" ht="12.75">
      <c r="A384" s="685"/>
      <c r="B384" s="434"/>
      <c r="C384" s="611">
        <v>6060</v>
      </c>
      <c r="D384" s="76" t="s">
        <v>534</v>
      </c>
      <c r="E384" s="447">
        <v>0</v>
      </c>
      <c r="F384" s="467"/>
      <c r="G384" s="321">
        <f t="shared" si="7"/>
        <v>0</v>
      </c>
    </row>
    <row r="385" spans="1:7" ht="12.75">
      <c r="A385" s="685"/>
      <c r="B385" s="434"/>
      <c r="C385" s="309"/>
      <c r="D385" s="76"/>
      <c r="E385" s="447"/>
      <c r="F385" s="467"/>
      <c r="G385" s="321"/>
    </row>
    <row r="386" spans="1:7" ht="12.75">
      <c r="A386" s="685"/>
      <c r="B386" s="71">
        <v>85233</v>
      </c>
      <c r="C386" s="666"/>
      <c r="D386" s="80" t="s">
        <v>175</v>
      </c>
      <c r="E386" s="448">
        <f>E387</f>
        <v>2024</v>
      </c>
      <c r="F386" s="684">
        <f>F387</f>
        <v>0</v>
      </c>
      <c r="G386" s="322">
        <f>F386+E386</f>
        <v>2024</v>
      </c>
    </row>
    <row r="387" spans="1:7" ht="12.75">
      <c r="A387" s="685"/>
      <c r="B387" s="434"/>
      <c r="C387" s="309" t="s">
        <v>208</v>
      </c>
      <c r="D387" s="76" t="s">
        <v>209</v>
      </c>
      <c r="E387" s="447">
        <v>2024</v>
      </c>
      <c r="F387" s="467"/>
      <c r="G387" s="321">
        <f>F387+E387</f>
        <v>2024</v>
      </c>
    </row>
    <row r="388" spans="1:7" ht="12.75">
      <c r="A388" s="685"/>
      <c r="B388" s="434"/>
      <c r="C388" s="309"/>
      <c r="D388" s="76"/>
      <c r="E388" s="447"/>
      <c r="F388" s="467"/>
      <c r="G388" s="321"/>
    </row>
    <row r="389" spans="1:7" ht="12.75">
      <c r="A389" s="685"/>
      <c r="B389" s="71">
        <v>85295</v>
      </c>
      <c r="C389" s="666"/>
      <c r="D389" s="80" t="s">
        <v>25</v>
      </c>
      <c r="E389" s="448">
        <f>SUM(E390:E392)</f>
        <v>0</v>
      </c>
      <c r="F389" s="684">
        <f>SUM(F390:F392)</f>
        <v>340000</v>
      </c>
      <c r="G389" s="322">
        <f>F389+E389</f>
        <v>340000</v>
      </c>
    </row>
    <row r="390" spans="1:7" ht="12.75">
      <c r="A390" s="685"/>
      <c r="B390" s="434"/>
      <c r="C390" s="309" t="s">
        <v>229</v>
      </c>
      <c r="D390" s="76" t="s">
        <v>217</v>
      </c>
      <c r="E390" s="447">
        <v>0</v>
      </c>
      <c r="F390" s="467">
        <f>40062+93581-11500+1520</f>
        <v>123663</v>
      </c>
      <c r="G390" s="321">
        <f>F390+E390</f>
        <v>123663</v>
      </c>
    </row>
    <row r="391" spans="1:7" ht="12.75">
      <c r="A391" s="685"/>
      <c r="B391" s="434"/>
      <c r="C391" s="309" t="s">
        <v>279</v>
      </c>
      <c r="D391" s="76" t="s">
        <v>219</v>
      </c>
      <c r="E391" s="447">
        <v>0</v>
      </c>
      <c r="F391" s="467">
        <f>109938+96419</f>
        <v>206357</v>
      </c>
      <c r="G391" s="321">
        <f>F391+E391</f>
        <v>206357</v>
      </c>
    </row>
    <row r="392" spans="1:7" ht="12.75">
      <c r="A392" s="685"/>
      <c r="B392" s="434"/>
      <c r="C392" s="309" t="s">
        <v>208</v>
      </c>
      <c r="D392" s="76" t="s">
        <v>209</v>
      </c>
      <c r="E392" s="447">
        <v>0</v>
      </c>
      <c r="F392" s="467">
        <v>9980</v>
      </c>
      <c r="G392" s="321">
        <f>F392+E392</f>
        <v>9980</v>
      </c>
    </row>
    <row r="393" spans="1:7" ht="12.75">
      <c r="A393" s="685"/>
      <c r="B393" s="434"/>
      <c r="C393" s="309"/>
      <c r="D393" s="76"/>
      <c r="E393" s="447"/>
      <c r="F393" s="467"/>
      <c r="G393" s="321"/>
    </row>
    <row r="394" spans="1:7" ht="13.5" thickBot="1">
      <c r="A394" s="675">
        <v>853</v>
      </c>
      <c r="B394" s="659"/>
      <c r="C394" s="659"/>
      <c r="D394" s="312" t="s">
        <v>273</v>
      </c>
      <c r="E394" s="446">
        <f>E395+E409+E430</f>
        <v>2814010</v>
      </c>
      <c r="F394" s="446">
        <f>F395+F409+F430</f>
        <v>-91200</v>
      </c>
      <c r="G394" s="320">
        <f t="shared" si="7"/>
        <v>2722810</v>
      </c>
    </row>
    <row r="395" spans="1:7" ht="12.75">
      <c r="A395" s="661"/>
      <c r="B395" s="676">
        <v>85321</v>
      </c>
      <c r="C395" s="663"/>
      <c r="D395" s="80" t="s">
        <v>651</v>
      </c>
      <c r="E395" s="448">
        <f>SUM(E396:E407)</f>
        <v>218000</v>
      </c>
      <c r="F395" s="448">
        <f>SUM(F396:F407)</f>
        <v>0</v>
      </c>
      <c r="G395" s="322">
        <f t="shared" si="7"/>
        <v>218000</v>
      </c>
    </row>
    <row r="396" spans="1:9" ht="12.75">
      <c r="A396" s="661"/>
      <c r="B396" s="611"/>
      <c r="C396" s="611">
        <v>4010</v>
      </c>
      <c r="D396" s="76" t="s">
        <v>213</v>
      </c>
      <c r="E396" s="447">
        <v>53474</v>
      </c>
      <c r="F396" s="467">
        <v>920</v>
      </c>
      <c r="G396" s="321">
        <f t="shared" si="7"/>
        <v>54394</v>
      </c>
      <c r="I396" s="645">
        <f>SUM(G396:G399)</f>
        <v>68925</v>
      </c>
    </row>
    <row r="397" spans="1:7" ht="12.75">
      <c r="A397" s="661"/>
      <c r="B397" s="611"/>
      <c r="C397" s="611">
        <v>4040</v>
      </c>
      <c r="D397" s="76" t="s">
        <v>214</v>
      </c>
      <c r="E397" s="447">
        <v>3076</v>
      </c>
      <c r="F397" s="467"/>
      <c r="G397" s="321">
        <f t="shared" si="7"/>
        <v>3076</v>
      </c>
    </row>
    <row r="398" spans="1:7" ht="12.75">
      <c r="A398" s="661"/>
      <c r="B398" s="611"/>
      <c r="C398" s="611">
        <v>4110</v>
      </c>
      <c r="D398" s="76" t="s">
        <v>215</v>
      </c>
      <c r="E398" s="447">
        <v>10711</v>
      </c>
      <c r="F398" s="467">
        <v>-589</v>
      </c>
      <c r="G398" s="321">
        <f t="shared" si="7"/>
        <v>10122</v>
      </c>
    </row>
    <row r="399" spans="1:7" ht="12.75">
      <c r="A399" s="661"/>
      <c r="B399" s="611"/>
      <c r="C399" s="611">
        <v>4120</v>
      </c>
      <c r="D399" s="76" t="s">
        <v>216</v>
      </c>
      <c r="E399" s="447">
        <v>1497</v>
      </c>
      <c r="F399" s="467">
        <v>-164</v>
      </c>
      <c r="G399" s="321">
        <f t="shared" si="7"/>
        <v>1333</v>
      </c>
    </row>
    <row r="400" spans="1:7" ht="12.75">
      <c r="A400" s="661"/>
      <c r="B400" s="611"/>
      <c r="C400" s="611">
        <v>4210</v>
      </c>
      <c r="D400" s="76" t="s">
        <v>217</v>
      </c>
      <c r="E400" s="447">
        <v>15800</v>
      </c>
      <c r="F400" s="467">
        <f>1226+635</f>
        <v>1861</v>
      </c>
      <c r="G400" s="321">
        <f t="shared" si="7"/>
        <v>17661</v>
      </c>
    </row>
    <row r="401" spans="1:7" ht="12.75">
      <c r="A401" s="661"/>
      <c r="B401" s="611"/>
      <c r="C401" s="611">
        <v>4260</v>
      </c>
      <c r="D401" s="76" t="s">
        <v>218</v>
      </c>
      <c r="E401" s="447">
        <v>11520</v>
      </c>
      <c r="F401" s="467">
        <v>-1286</v>
      </c>
      <c r="G401" s="321">
        <f t="shared" si="7"/>
        <v>10234</v>
      </c>
    </row>
    <row r="402" spans="1:7" ht="12.75">
      <c r="A402" s="661"/>
      <c r="B402" s="611"/>
      <c r="C402" s="611">
        <v>4270</v>
      </c>
      <c r="D402" s="76" t="s">
        <v>219</v>
      </c>
      <c r="E402" s="447">
        <v>1200</v>
      </c>
      <c r="F402" s="467">
        <f>-100+93</f>
        <v>-7</v>
      </c>
      <c r="G402" s="321">
        <f t="shared" si="7"/>
        <v>1193</v>
      </c>
    </row>
    <row r="403" spans="1:7" ht="12.75">
      <c r="A403" s="661"/>
      <c r="B403" s="611"/>
      <c r="C403" s="611">
        <v>4280</v>
      </c>
      <c r="D403" s="76" t="s">
        <v>220</v>
      </c>
      <c r="E403" s="447">
        <v>100</v>
      </c>
      <c r="F403" s="467">
        <v>-100</v>
      </c>
      <c r="G403" s="321">
        <f t="shared" si="7"/>
        <v>0</v>
      </c>
    </row>
    <row r="404" spans="1:7" ht="12.75">
      <c r="A404" s="661"/>
      <c r="B404" s="611"/>
      <c r="C404" s="611">
        <v>4300</v>
      </c>
      <c r="D404" s="76" t="s">
        <v>209</v>
      </c>
      <c r="E404" s="447">
        <v>115515</v>
      </c>
      <c r="F404" s="467"/>
      <c r="G404" s="321">
        <f t="shared" si="7"/>
        <v>115515</v>
      </c>
    </row>
    <row r="405" spans="1:7" ht="12.75">
      <c r="A405" s="661"/>
      <c r="B405" s="611"/>
      <c r="C405" s="611">
        <v>4410</v>
      </c>
      <c r="D405" s="76" t="s">
        <v>221</v>
      </c>
      <c r="E405" s="447">
        <v>2700</v>
      </c>
      <c r="F405" s="467">
        <v>-250</v>
      </c>
      <c r="G405" s="321">
        <f t="shared" si="7"/>
        <v>2450</v>
      </c>
    </row>
    <row r="406" spans="1:7" ht="12.75">
      <c r="A406" s="661"/>
      <c r="B406" s="611"/>
      <c r="C406" s="611">
        <v>4430</v>
      </c>
      <c r="D406" s="76" t="s">
        <v>222</v>
      </c>
      <c r="E406" s="447">
        <v>500</v>
      </c>
      <c r="F406" s="467">
        <v>-385</v>
      </c>
      <c r="G406" s="321">
        <f t="shared" si="7"/>
        <v>115</v>
      </c>
    </row>
    <row r="407" spans="1:7" ht="12.75">
      <c r="A407" s="661"/>
      <c r="B407" s="611"/>
      <c r="C407" s="611">
        <v>4440</v>
      </c>
      <c r="D407" s="76" t="s">
        <v>223</v>
      </c>
      <c r="E407" s="447">
        <v>1907</v>
      </c>
      <c r="F407" s="467"/>
      <c r="G407" s="321">
        <f t="shared" si="7"/>
        <v>1907</v>
      </c>
    </row>
    <row r="408" spans="1:7" ht="12.75">
      <c r="A408" s="661"/>
      <c r="B408" s="611"/>
      <c r="C408" s="611"/>
      <c r="D408" s="76"/>
      <c r="E408" s="447"/>
      <c r="F408" s="467"/>
      <c r="G408" s="321"/>
    </row>
    <row r="409" spans="1:7" ht="12.75">
      <c r="A409" s="672"/>
      <c r="B409" s="676">
        <v>85333</v>
      </c>
      <c r="C409" s="663"/>
      <c r="D409" s="80" t="s">
        <v>20</v>
      </c>
      <c r="E409" s="448">
        <f>SUM(E410:E428)</f>
        <v>2331010</v>
      </c>
      <c r="F409" s="448">
        <f>SUM(F410:F428)</f>
        <v>98800</v>
      </c>
      <c r="G409" s="322">
        <f t="shared" si="7"/>
        <v>2429810</v>
      </c>
    </row>
    <row r="410" spans="1:9" ht="12.75">
      <c r="A410" s="672"/>
      <c r="B410" s="611"/>
      <c r="C410" s="611">
        <v>4010</v>
      </c>
      <c r="D410" s="76" t="s">
        <v>213</v>
      </c>
      <c r="E410" s="447">
        <v>1551372</v>
      </c>
      <c r="F410" s="467">
        <f>60000+22000</f>
        <v>82000</v>
      </c>
      <c r="G410" s="321">
        <f t="shared" si="7"/>
        <v>1633372</v>
      </c>
      <c r="I410" s="645">
        <f>SUM(G410:G414)</f>
        <v>2093829</v>
      </c>
    </row>
    <row r="411" spans="1:7" ht="12.75">
      <c r="A411" s="672"/>
      <c r="B411" s="611"/>
      <c r="C411" s="611">
        <v>4040</v>
      </c>
      <c r="D411" s="76" t="s">
        <v>214</v>
      </c>
      <c r="E411" s="447">
        <v>113502</v>
      </c>
      <c r="F411" s="467"/>
      <c r="G411" s="321">
        <f t="shared" si="7"/>
        <v>113502</v>
      </c>
    </row>
    <row r="412" spans="1:7" ht="12.75">
      <c r="A412" s="672"/>
      <c r="B412" s="611"/>
      <c r="C412" s="611">
        <v>4110</v>
      </c>
      <c r="D412" s="76" t="s">
        <v>215</v>
      </c>
      <c r="E412" s="447">
        <v>261531</v>
      </c>
      <c r="F412" s="467">
        <f>24500-10000</f>
        <v>14500</v>
      </c>
      <c r="G412" s="321">
        <f t="shared" si="7"/>
        <v>276031</v>
      </c>
    </row>
    <row r="413" spans="1:7" ht="12.75">
      <c r="A413" s="672"/>
      <c r="B413" s="611"/>
      <c r="C413" s="611">
        <v>4120</v>
      </c>
      <c r="D413" s="76" t="s">
        <v>216</v>
      </c>
      <c r="E413" s="447">
        <v>39087</v>
      </c>
      <c r="F413" s="467">
        <f>2000-10000+8000</f>
        <v>0</v>
      </c>
      <c r="G413" s="321">
        <f aca="true" t="shared" si="8" ref="G413:G490">E413+F413</f>
        <v>39087</v>
      </c>
    </row>
    <row r="414" spans="1:7" ht="12.75">
      <c r="A414" s="672"/>
      <c r="B414" s="611"/>
      <c r="C414" s="611">
        <v>4170</v>
      </c>
      <c r="D414" s="76" t="s">
        <v>637</v>
      </c>
      <c r="E414" s="447">
        <v>27537</v>
      </c>
      <c r="F414" s="467">
        <v>4300</v>
      </c>
      <c r="G414" s="321">
        <f t="shared" si="8"/>
        <v>31837</v>
      </c>
    </row>
    <row r="415" spans="1:7" ht="12.75">
      <c r="A415" s="672"/>
      <c r="B415" s="611"/>
      <c r="C415" s="611">
        <v>4210</v>
      </c>
      <c r="D415" s="76" t="s">
        <v>217</v>
      </c>
      <c r="E415" s="447">
        <v>47233</v>
      </c>
      <c r="F415" s="467"/>
      <c r="G415" s="321">
        <f t="shared" si="8"/>
        <v>47233</v>
      </c>
    </row>
    <row r="416" spans="1:7" ht="12.75">
      <c r="A416" s="672"/>
      <c r="B416" s="611"/>
      <c r="C416" s="611">
        <v>4260</v>
      </c>
      <c r="D416" s="76" t="s">
        <v>218</v>
      </c>
      <c r="E416" s="447">
        <v>90622</v>
      </c>
      <c r="F416" s="467">
        <f>3700-4000</f>
        <v>-300</v>
      </c>
      <c r="G416" s="321">
        <f t="shared" si="8"/>
        <v>90322</v>
      </c>
    </row>
    <row r="417" spans="1:7" ht="12.75">
      <c r="A417" s="672"/>
      <c r="B417" s="611"/>
      <c r="C417" s="611">
        <v>4270</v>
      </c>
      <c r="D417" s="76" t="s">
        <v>219</v>
      </c>
      <c r="E417" s="447">
        <v>17200</v>
      </c>
      <c r="F417" s="467"/>
      <c r="G417" s="321">
        <f t="shared" si="8"/>
        <v>17200</v>
      </c>
    </row>
    <row r="418" spans="1:7" ht="12.75">
      <c r="A418" s="672"/>
      <c r="B418" s="611"/>
      <c r="C418" s="611">
        <v>4280</v>
      </c>
      <c r="D418" s="76" t="s">
        <v>220</v>
      </c>
      <c r="E418" s="447">
        <v>3190</v>
      </c>
      <c r="F418" s="467"/>
      <c r="G418" s="321">
        <f t="shared" si="8"/>
        <v>3190</v>
      </c>
    </row>
    <row r="419" spans="1:7" ht="12.75">
      <c r="A419" s="672"/>
      <c r="B419" s="611"/>
      <c r="C419" s="611">
        <v>4300</v>
      </c>
      <c r="D419" s="76" t="s">
        <v>209</v>
      </c>
      <c r="E419" s="447">
        <v>100420</v>
      </c>
      <c r="F419" s="467">
        <f>-2000-4000</f>
        <v>-6000</v>
      </c>
      <c r="G419" s="321">
        <f t="shared" si="8"/>
        <v>94420</v>
      </c>
    </row>
    <row r="420" spans="1:7" ht="12.75">
      <c r="A420" s="672"/>
      <c r="B420" s="611"/>
      <c r="C420" s="611">
        <v>4350</v>
      </c>
      <c r="D420" s="76" t="s">
        <v>606</v>
      </c>
      <c r="E420" s="447">
        <v>3100</v>
      </c>
      <c r="F420" s="467">
        <v>500</v>
      </c>
      <c r="G420" s="321">
        <f>F420+E420</f>
        <v>3600</v>
      </c>
    </row>
    <row r="421" spans="1:7" ht="12.75">
      <c r="A421" s="672"/>
      <c r="B421" s="611"/>
      <c r="C421" s="611">
        <v>4410</v>
      </c>
      <c r="D421" s="76" t="s">
        <v>221</v>
      </c>
      <c r="E421" s="447">
        <v>500</v>
      </c>
      <c r="F421" s="467">
        <v>500</v>
      </c>
      <c r="G421" s="321">
        <f t="shared" si="8"/>
        <v>1000</v>
      </c>
    </row>
    <row r="422" spans="1:7" ht="12.75">
      <c r="A422" s="672"/>
      <c r="B422" s="611"/>
      <c r="C422" s="611">
        <v>4420</v>
      </c>
      <c r="D422" s="76" t="s">
        <v>236</v>
      </c>
      <c r="E422" s="447">
        <v>560</v>
      </c>
      <c r="F422" s="467"/>
      <c r="G422" s="321">
        <f t="shared" si="8"/>
        <v>560</v>
      </c>
    </row>
    <row r="423" spans="1:7" ht="12.75">
      <c r="A423" s="672"/>
      <c r="B423" s="611"/>
      <c r="C423" s="611">
        <v>4430</v>
      </c>
      <c r="D423" s="76" t="s">
        <v>222</v>
      </c>
      <c r="E423" s="447">
        <v>4500</v>
      </c>
      <c r="F423" s="467"/>
      <c r="G423" s="321">
        <f>F423+E423</f>
        <v>4500</v>
      </c>
    </row>
    <row r="424" spans="1:7" ht="12.75">
      <c r="A424" s="672"/>
      <c r="B424" s="611"/>
      <c r="C424" s="611">
        <v>4440</v>
      </c>
      <c r="D424" s="76" t="s">
        <v>223</v>
      </c>
      <c r="E424" s="447">
        <v>57781</v>
      </c>
      <c r="F424" s="467"/>
      <c r="G424" s="321">
        <f t="shared" si="8"/>
        <v>57781</v>
      </c>
    </row>
    <row r="425" spans="1:7" ht="12.75" customHeight="1">
      <c r="A425" s="672"/>
      <c r="B425" s="611"/>
      <c r="C425" s="611">
        <v>4480</v>
      </c>
      <c r="D425" s="76" t="s">
        <v>224</v>
      </c>
      <c r="E425" s="447">
        <v>10500</v>
      </c>
      <c r="F425" s="467">
        <v>2000</v>
      </c>
      <c r="G425" s="321">
        <f t="shared" si="8"/>
        <v>12500</v>
      </c>
    </row>
    <row r="426" spans="1:7" ht="12.75" customHeight="1">
      <c r="A426" s="672"/>
      <c r="B426" s="611"/>
      <c r="C426" s="611">
        <v>4510</v>
      </c>
      <c r="D426" s="76" t="s">
        <v>225</v>
      </c>
      <c r="E426" s="447">
        <v>75</v>
      </c>
      <c r="F426" s="467"/>
      <c r="G426" s="321">
        <f t="shared" si="8"/>
        <v>75</v>
      </c>
    </row>
    <row r="427" spans="1:7" ht="12.75" customHeight="1">
      <c r="A427" s="672"/>
      <c r="B427" s="611"/>
      <c r="C427" s="611">
        <v>4580</v>
      </c>
      <c r="D427" s="76" t="s">
        <v>88</v>
      </c>
      <c r="E427" s="447">
        <v>1300</v>
      </c>
      <c r="F427" s="467">
        <v>1000</v>
      </c>
      <c r="G427" s="321">
        <f t="shared" si="8"/>
        <v>2300</v>
      </c>
    </row>
    <row r="428" spans="1:7" ht="12.75" customHeight="1">
      <c r="A428" s="672"/>
      <c r="B428" s="611"/>
      <c r="C428" s="611">
        <v>4600</v>
      </c>
      <c r="D428" s="76" t="s">
        <v>759</v>
      </c>
      <c r="E428" s="447">
        <v>1000</v>
      </c>
      <c r="F428" s="467">
        <v>300</v>
      </c>
      <c r="G428" s="321">
        <f>F428+E428</f>
        <v>1300</v>
      </c>
    </row>
    <row r="429" spans="1:7" ht="12.75">
      <c r="A429" s="672"/>
      <c r="B429" s="611"/>
      <c r="C429" s="611"/>
      <c r="D429" s="76"/>
      <c r="E429" s="447"/>
      <c r="F429" s="467"/>
      <c r="G429" s="321"/>
    </row>
    <row r="430" spans="1:7" ht="12.75">
      <c r="A430" s="672"/>
      <c r="B430" s="676">
        <v>85395</v>
      </c>
      <c r="C430" s="663"/>
      <c r="D430" s="80" t="s">
        <v>25</v>
      </c>
      <c r="E430" s="448">
        <f>SUM(E431:E432)</f>
        <v>265000</v>
      </c>
      <c r="F430" s="448">
        <f>SUM(F431:F432)</f>
        <v>-190000</v>
      </c>
      <c r="G430" s="322">
        <f t="shared" si="8"/>
        <v>75000</v>
      </c>
    </row>
    <row r="431" spans="1:7" ht="12.75">
      <c r="A431" s="672"/>
      <c r="B431" s="611"/>
      <c r="C431" s="611">
        <v>4210</v>
      </c>
      <c r="D431" s="76" t="s">
        <v>217</v>
      </c>
      <c r="E431" s="447">
        <v>93581</v>
      </c>
      <c r="F431" s="467">
        <f>-93581</f>
        <v>-93581</v>
      </c>
      <c r="G431" s="321">
        <f>F431+E431</f>
        <v>0</v>
      </c>
    </row>
    <row r="432" spans="1:7" ht="12.75">
      <c r="A432" s="672"/>
      <c r="B432" s="611"/>
      <c r="C432" s="611">
        <v>4270</v>
      </c>
      <c r="D432" s="76" t="s">
        <v>219</v>
      </c>
      <c r="E432" s="447">
        <v>171419</v>
      </c>
      <c r="F432" s="467">
        <v>-96419</v>
      </c>
      <c r="G432" s="321">
        <f t="shared" si="8"/>
        <v>75000</v>
      </c>
    </row>
    <row r="433" spans="1:7" ht="12.75">
      <c r="A433" s="685"/>
      <c r="B433" s="611"/>
      <c r="C433" s="611"/>
      <c r="D433" s="76"/>
      <c r="E433" s="447"/>
      <c r="F433" s="467"/>
      <c r="G433" s="321"/>
    </row>
    <row r="434" spans="1:7" ht="13.5" thickBot="1">
      <c r="A434" s="675">
        <v>854</v>
      </c>
      <c r="B434" s="659"/>
      <c r="C434" s="659"/>
      <c r="D434" s="312" t="s">
        <v>29</v>
      </c>
      <c r="E434" s="446">
        <f>E435+E444+E465+E481+E514+E492+E510</f>
        <v>3504550</v>
      </c>
      <c r="F434" s="446">
        <f>F435+F444+F465+F481+F514+F492+F510</f>
        <v>-19506</v>
      </c>
      <c r="G434" s="320">
        <f t="shared" si="8"/>
        <v>3485044</v>
      </c>
    </row>
    <row r="435" spans="1:7" ht="12.75">
      <c r="A435" s="672"/>
      <c r="B435" s="676">
        <v>85401</v>
      </c>
      <c r="C435" s="663"/>
      <c r="D435" s="80" t="s">
        <v>255</v>
      </c>
      <c r="E435" s="448">
        <f>SUM(E436:E442)</f>
        <v>40366</v>
      </c>
      <c r="F435" s="448">
        <f>SUM(F436:F442)</f>
        <v>1012</v>
      </c>
      <c r="G435" s="322">
        <f t="shared" si="8"/>
        <v>41378</v>
      </c>
    </row>
    <row r="436" spans="1:7" ht="12.75">
      <c r="A436" s="672"/>
      <c r="B436" s="611"/>
      <c r="C436" s="611">
        <v>3020</v>
      </c>
      <c r="D436" s="76" t="s">
        <v>212</v>
      </c>
      <c r="E436" s="447">
        <v>51</v>
      </c>
      <c r="F436" s="467"/>
      <c r="G436" s="321">
        <f t="shared" si="8"/>
        <v>51</v>
      </c>
    </row>
    <row r="437" spans="1:9" ht="12.75">
      <c r="A437" s="672"/>
      <c r="B437" s="611"/>
      <c r="C437" s="611">
        <v>4010</v>
      </c>
      <c r="D437" s="76" t="s">
        <v>213</v>
      </c>
      <c r="E437" s="447">
        <v>27996</v>
      </c>
      <c r="F437" s="467">
        <v>160</v>
      </c>
      <c r="G437" s="321">
        <f t="shared" si="8"/>
        <v>28156</v>
      </c>
      <c r="I437" s="645">
        <f>SUM(G437:G440)</f>
        <v>36884</v>
      </c>
    </row>
    <row r="438" spans="1:7" ht="12.75">
      <c r="A438" s="672"/>
      <c r="B438" s="611"/>
      <c r="C438" s="611">
        <v>4040</v>
      </c>
      <c r="D438" s="76" t="s">
        <v>214</v>
      </c>
      <c r="E438" s="447">
        <v>2160</v>
      </c>
      <c r="F438" s="467"/>
      <c r="G438" s="321">
        <f t="shared" si="8"/>
        <v>2160</v>
      </c>
    </row>
    <row r="439" spans="1:7" ht="12.75">
      <c r="A439" s="672"/>
      <c r="B439" s="611"/>
      <c r="C439" s="611">
        <v>4110</v>
      </c>
      <c r="D439" s="76" t="s">
        <v>215</v>
      </c>
      <c r="E439" s="447">
        <v>5640</v>
      </c>
      <c r="F439" s="467">
        <v>136</v>
      </c>
      <c r="G439" s="321">
        <f t="shared" si="8"/>
        <v>5776</v>
      </c>
    </row>
    <row r="440" spans="1:7" ht="12.75">
      <c r="A440" s="672"/>
      <c r="B440" s="611"/>
      <c r="C440" s="611">
        <v>4120</v>
      </c>
      <c r="D440" s="76" t="s">
        <v>216</v>
      </c>
      <c r="E440" s="447">
        <v>779</v>
      </c>
      <c r="F440" s="467">
        <v>13</v>
      </c>
      <c r="G440" s="321">
        <f t="shared" si="8"/>
        <v>792</v>
      </c>
    </row>
    <row r="441" spans="1:7" ht="12.75">
      <c r="A441" s="672"/>
      <c r="B441" s="611"/>
      <c r="C441" s="611">
        <v>4210</v>
      </c>
      <c r="D441" s="76" t="s">
        <v>217</v>
      </c>
      <c r="E441" s="447">
        <v>608</v>
      </c>
      <c r="F441" s="467"/>
      <c r="G441" s="321">
        <f t="shared" si="8"/>
        <v>608</v>
      </c>
    </row>
    <row r="442" spans="1:7" ht="12.75">
      <c r="A442" s="672"/>
      <c r="B442" s="611"/>
      <c r="C442" s="611">
        <v>4440</v>
      </c>
      <c r="D442" s="76" t="s">
        <v>223</v>
      </c>
      <c r="E442" s="447">
        <v>3132</v>
      </c>
      <c r="F442" s="467">
        <v>703</v>
      </c>
      <c r="G442" s="321">
        <f t="shared" si="8"/>
        <v>3835</v>
      </c>
    </row>
    <row r="443" spans="1:7" ht="14.25" customHeight="1">
      <c r="A443" s="672"/>
      <c r="B443" s="611"/>
      <c r="C443" s="611"/>
      <c r="D443" s="76"/>
      <c r="E443" s="447"/>
      <c r="F443" s="467"/>
      <c r="G443" s="321"/>
    </row>
    <row r="444" spans="1:7" ht="12.75">
      <c r="A444" s="672"/>
      <c r="B444" s="676">
        <v>85406</v>
      </c>
      <c r="C444" s="663"/>
      <c r="D444" s="80" t="s">
        <v>256</v>
      </c>
      <c r="E444" s="448">
        <f>SUM(E445:E463)</f>
        <v>573346</v>
      </c>
      <c r="F444" s="448">
        <f>SUM(F445:F463)</f>
        <v>2768</v>
      </c>
      <c r="G444" s="322">
        <f t="shared" si="8"/>
        <v>576114</v>
      </c>
    </row>
    <row r="445" spans="1:8" ht="12.75">
      <c r="A445" s="672"/>
      <c r="B445" s="611"/>
      <c r="C445" s="429">
        <v>2310</v>
      </c>
      <c r="D445" s="311" t="s">
        <v>211</v>
      </c>
      <c r="E445" s="447">
        <v>86730</v>
      </c>
      <c r="F445" s="467">
        <v>654</v>
      </c>
      <c r="G445" s="321">
        <f t="shared" si="8"/>
        <v>87384</v>
      </c>
      <c r="H445" s="645"/>
    </row>
    <row r="446" spans="1:7" ht="12.75">
      <c r="A446" s="672"/>
      <c r="B446" s="611"/>
      <c r="C446" s="611">
        <v>3020</v>
      </c>
      <c r="D446" s="76" t="s">
        <v>212</v>
      </c>
      <c r="E446" s="447">
        <v>799</v>
      </c>
      <c r="F446" s="467">
        <v>-100</v>
      </c>
      <c r="G446" s="321">
        <f t="shared" si="8"/>
        <v>699</v>
      </c>
    </row>
    <row r="447" spans="1:9" ht="12.75">
      <c r="A447" s="672"/>
      <c r="B447" s="611"/>
      <c r="C447" s="611">
        <v>4010</v>
      </c>
      <c r="D447" s="76" t="s">
        <v>213</v>
      </c>
      <c r="E447" s="447">
        <v>298674</v>
      </c>
      <c r="F447" s="467"/>
      <c r="G447" s="321">
        <f t="shared" si="8"/>
        <v>298674</v>
      </c>
      <c r="I447" s="645">
        <f>SUM(G447:G451)</f>
        <v>386539</v>
      </c>
    </row>
    <row r="448" spans="1:7" ht="12.75">
      <c r="A448" s="672"/>
      <c r="B448" s="611"/>
      <c r="C448" s="611">
        <v>4040</v>
      </c>
      <c r="D448" s="76" t="s">
        <v>214</v>
      </c>
      <c r="E448" s="447">
        <v>22667</v>
      </c>
      <c r="F448" s="467"/>
      <c r="G448" s="321">
        <f t="shared" si="8"/>
        <v>22667</v>
      </c>
    </row>
    <row r="449" spans="1:7" ht="12.75">
      <c r="A449" s="672"/>
      <c r="B449" s="611"/>
      <c r="C449" s="611">
        <v>4110</v>
      </c>
      <c r="D449" s="76" t="s">
        <v>215</v>
      </c>
      <c r="E449" s="447">
        <v>55437</v>
      </c>
      <c r="F449" s="467"/>
      <c r="G449" s="321">
        <f t="shared" si="8"/>
        <v>55437</v>
      </c>
    </row>
    <row r="450" spans="1:7" ht="12.75">
      <c r="A450" s="672"/>
      <c r="B450" s="611"/>
      <c r="C450" s="611">
        <v>4120</v>
      </c>
      <c r="D450" s="76" t="s">
        <v>216</v>
      </c>
      <c r="E450" s="447">
        <v>7661</v>
      </c>
      <c r="F450" s="467"/>
      <c r="G450" s="321">
        <f t="shared" si="8"/>
        <v>7661</v>
      </c>
    </row>
    <row r="451" spans="1:7" ht="12.75">
      <c r="A451" s="672"/>
      <c r="B451" s="611"/>
      <c r="C451" s="611">
        <v>4170</v>
      </c>
      <c r="D451" s="76" t="s">
        <v>605</v>
      </c>
      <c r="E451" s="447">
        <v>2100</v>
      </c>
      <c r="F451" s="467"/>
      <c r="G451" s="321">
        <f t="shared" si="8"/>
        <v>2100</v>
      </c>
    </row>
    <row r="452" spans="1:7" ht="12.75">
      <c r="A452" s="672"/>
      <c r="B452" s="611"/>
      <c r="C452" s="611">
        <v>4210</v>
      </c>
      <c r="D452" s="76" t="s">
        <v>217</v>
      </c>
      <c r="E452" s="447">
        <v>9797</v>
      </c>
      <c r="F452" s="467">
        <v>989</v>
      </c>
      <c r="G452" s="321">
        <f t="shared" si="8"/>
        <v>10786</v>
      </c>
    </row>
    <row r="453" spans="1:7" ht="12.75">
      <c r="A453" s="672"/>
      <c r="B453" s="611"/>
      <c r="C453" s="611">
        <v>4240</v>
      </c>
      <c r="D453" s="76" t="s">
        <v>245</v>
      </c>
      <c r="E453" s="447">
        <v>2372</v>
      </c>
      <c r="F453" s="467">
        <f>1053+1723-607</f>
        <v>2169</v>
      </c>
      <c r="G453" s="321">
        <f t="shared" si="8"/>
        <v>4541</v>
      </c>
    </row>
    <row r="454" spans="1:7" ht="12.75">
      <c r="A454" s="672"/>
      <c r="B454" s="611"/>
      <c r="C454" s="611">
        <v>4260</v>
      </c>
      <c r="D454" s="76" t="s">
        <v>218</v>
      </c>
      <c r="E454" s="447">
        <v>7308</v>
      </c>
      <c r="F454" s="467"/>
      <c r="G454" s="321">
        <f t="shared" si="8"/>
        <v>7308</v>
      </c>
    </row>
    <row r="455" spans="1:7" ht="12.75">
      <c r="A455" s="672"/>
      <c r="B455" s="611"/>
      <c r="C455" s="611">
        <v>4270</v>
      </c>
      <c r="D455" s="76" t="s">
        <v>219</v>
      </c>
      <c r="E455" s="447">
        <v>672</v>
      </c>
      <c r="F455" s="467">
        <v>-39</v>
      </c>
      <c r="G455" s="321">
        <f t="shared" si="8"/>
        <v>633</v>
      </c>
    </row>
    <row r="456" spans="1:7" ht="12.75">
      <c r="A456" s="672"/>
      <c r="B456" s="434"/>
      <c r="C456" s="611">
        <v>4280</v>
      </c>
      <c r="D456" s="76" t="s">
        <v>220</v>
      </c>
      <c r="E456" s="447">
        <v>115</v>
      </c>
      <c r="F456" s="467"/>
      <c r="G456" s="321">
        <f t="shared" si="8"/>
        <v>115</v>
      </c>
    </row>
    <row r="457" spans="1:7" ht="12.75">
      <c r="A457" s="672"/>
      <c r="B457" s="434"/>
      <c r="C457" s="611">
        <v>4300</v>
      </c>
      <c r="D457" s="76" t="s">
        <v>209</v>
      </c>
      <c r="E457" s="447">
        <v>9978</v>
      </c>
      <c r="F457" s="467">
        <f>454-108</f>
        <v>346</v>
      </c>
      <c r="G457" s="321">
        <f t="shared" si="8"/>
        <v>10324</v>
      </c>
    </row>
    <row r="458" spans="1:7" ht="12.75">
      <c r="A458" s="672"/>
      <c r="B458" s="434"/>
      <c r="C458" s="611">
        <v>4350</v>
      </c>
      <c r="D458" s="76" t="s">
        <v>606</v>
      </c>
      <c r="E458" s="447">
        <v>50</v>
      </c>
      <c r="F458" s="467">
        <v>117</v>
      </c>
      <c r="G458" s="321">
        <f>F458+E458</f>
        <v>167</v>
      </c>
    </row>
    <row r="459" spans="1:7" ht="12.75">
      <c r="A459" s="672"/>
      <c r="B459" s="434"/>
      <c r="C459" s="611">
        <v>4410</v>
      </c>
      <c r="D459" s="76" t="s">
        <v>221</v>
      </c>
      <c r="E459" s="447">
        <v>2902</v>
      </c>
      <c r="F459" s="467">
        <v>-1368</v>
      </c>
      <c r="G459" s="321">
        <f t="shared" si="8"/>
        <v>1534</v>
      </c>
    </row>
    <row r="460" spans="1:7" ht="12.75">
      <c r="A460" s="672"/>
      <c r="B460" s="434"/>
      <c r="C460" s="611">
        <v>4430</v>
      </c>
      <c r="D460" s="76" t="s">
        <v>222</v>
      </c>
      <c r="E460" s="447">
        <v>221</v>
      </c>
      <c r="F460" s="467"/>
      <c r="G460" s="321">
        <f t="shared" si="8"/>
        <v>221</v>
      </c>
    </row>
    <row r="461" spans="1:7" ht="12.75">
      <c r="A461" s="672"/>
      <c r="B461" s="434"/>
      <c r="C461" s="611">
        <v>4440</v>
      </c>
      <c r="D461" s="76" t="s">
        <v>223</v>
      </c>
      <c r="E461" s="447">
        <v>19863</v>
      </c>
      <c r="F461" s="467"/>
      <c r="G461" s="321">
        <f t="shared" si="8"/>
        <v>19863</v>
      </c>
    </row>
    <row r="462" spans="1:7" ht="12.75">
      <c r="A462" s="672"/>
      <c r="B462" s="434"/>
      <c r="C462" s="665">
        <v>6050</v>
      </c>
      <c r="D462" s="76" t="s">
        <v>226</v>
      </c>
      <c r="E462" s="447">
        <v>34000</v>
      </c>
      <c r="F462" s="467"/>
      <c r="G462" s="321">
        <f t="shared" si="8"/>
        <v>34000</v>
      </c>
    </row>
    <row r="463" spans="1:7" ht="12.75">
      <c r="A463" s="672"/>
      <c r="B463" s="434"/>
      <c r="C463" s="665">
        <v>6060</v>
      </c>
      <c r="D463" s="76" t="s">
        <v>758</v>
      </c>
      <c r="E463" s="447">
        <v>12000</v>
      </c>
      <c r="F463" s="467"/>
      <c r="G463" s="321">
        <f t="shared" si="8"/>
        <v>12000</v>
      </c>
    </row>
    <row r="464" spans="1:7" ht="12.75">
      <c r="A464" s="672"/>
      <c r="B464" s="434"/>
      <c r="C464" s="429"/>
      <c r="D464" s="308"/>
      <c r="E464" s="447"/>
      <c r="F464" s="467"/>
      <c r="G464" s="321"/>
    </row>
    <row r="465" spans="1:7" ht="12.75">
      <c r="A465" s="685"/>
      <c r="B465" s="676">
        <v>85410</v>
      </c>
      <c r="C465" s="698"/>
      <c r="D465" s="415" t="s">
        <v>95</v>
      </c>
      <c r="E465" s="448">
        <f>SUM(E466:E479)</f>
        <v>216392</v>
      </c>
      <c r="F465" s="448">
        <f>SUM(F466:F479)</f>
        <v>3140</v>
      </c>
      <c r="G465" s="322">
        <f t="shared" si="8"/>
        <v>219532</v>
      </c>
    </row>
    <row r="466" spans="1:7" ht="12.75">
      <c r="A466" s="685"/>
      <c r="B466" s="434"/>
      <c r="C466" s="611">
        <v>3020</v>
      </c>
      <c r="D466" s="76" t="s">
        <v>212</v>
      </c>
      <c r="E466" s="447">
        <v>118</v>
      </c>
      <c r="F466" s="467"/>
      <c r="G466" s="321">
        <f t="shared" si="8"/>
        <v>118</v>
      </c>
    </row>
    <row r="467" spans="1:9" ht="12.75">
      <c r="A467" s="685"/>
      <c r="B467" s="434"/>
      <c r="C467" s="611">
        <v>4010</v>
      </c>
      <c r="D467" s="76" t="s">
        <v>213</v>
      </c>
      <c r="E467" s="447">
        <v>71051</v>
      </c>
      <c r="F467" s="467"/>
      <c r="G467" s="321">
        <f t="shared" si="8"/>
        <v>71051</v>
      </c>
      <c r="I467" s="645">
        <f>SUM(G467:G470)</f>
        <v>91839</v>
      </c>
    </row>
    <row r="468" spans="1:7" ht="12.75">
      <c r="A468" s="685"/>
      <c r="B468" s="434"/>
      <c r="C468" s="611">
        <v>4040</v>
      </c>
      <c r="D468" s="76" t="s">
        <v>214</v>
      </c>
      <c r="E468" s="447">
        <v>5086</v>
      </c>
      <c r="F468" s="467"/>
      <c r="G468" s="321">
        <f t="shared" si="8"/>
        <v>5086</v>
      </c>
    </row>
    <row r="469" spans="1:7" ht="12.75">
      <c r="A469" s="685"/>
      <c r="B469" s="434"/>
      <c r="C469" s="611">
        <v>4110</v>
      </c>
      <c r="D469" s="76" t="s">
        <v>215</v>
      </c>
      <c r="E469" s="447">
        <v>13796</v>
      </c>
      <c r="F469" s="467"/>
      <c r="G469" s="321">
        <f t="shared" si="8"/>
        <v>13796</v>
      </c>
    </row>
    <row r="470" spans="1:7" ht="12.75">
      <c r="A470" s="685"/>
      <c r="B470" s="434"/>
      <c r="C470" s="611">
        <v>4120</v>
      </c>
      <c r="D470" s="76" t="s">
        <v>216</v>
      </c>
      <c r="E470" s="447">
        <v>1906</v>
      </c>
      <c r="F470" s="467"/>
      <c r="G470" s="321">
        <f t="shared" si="8"/>
        <v>1906</v>
      </c>
    </row>
    <row r="471" spans="1:7" ht="12.75">
      <c r="A471" s="685"/>
      <c r="B471" s="434"/>
      <c r="C471" s="611">
        <v>4170</v>
      </c>
      <c r="D471" s="76" t="s">
        <v>765</v>
      </c>
      <c r="E471" s="447">
        <v>0</v>
      </c>
      <c r="F471" s="467">
        <v>670</v>
      </c>
      <c r="G471" s="321">
        <f t="shared" si="8"/>
        <v>670</v>
      </c>
    </row>
    <row r="472" spans="1:7" ht="12.75">
      <c r="A472" s="685"/>
      <c r="B472" s="434"/>
      <c r="C472" s="611">
        <v>4210</v>
      </c>
      <c r="D472" s="76" t="s">
        <v>217</v>
      </c>
      <c r="E472" s="447">
        <v>60300</v>
      </c>
      <c r="F472" s="467">
        <v>3500</v>
      </c>
      <c r="G472" s="321">
        <f t="shared" si="8"/>
        <v>63800</v>
      </c>
    </row>
    <row r="473" spans="1:7" ht="12.75">
      <c r="A473" s="685"/>
      <c r="B473" s="434"/>
      <c r="C473" s="611">
        <v>4220</v>
      </c>
      <c r="D473" s="76" t="s">
        <v>252</v>
      </c>
      <c r="E473" s="447">
        <v>38824</v>
      </c>
      <c r="F473" s="467">
        <f>-3500+500</f>
        <v>-3000</v>
      </c>
      <c r="G473" s="321">
        <f t="shared" si="8"/>
        <v>35824</v>
      </c>
    </row>
    <row r="474" spans="1:7" ht="12.75">
      <c r="A474" s="685"/>
      <c r="B474" s="434"/>
      <c r="C474" s="611">
        <v>4260</v>
      </c>
      <c r="D474" s="76" t="s">
        <v>218</v>
      </c>
      <c r="E474" s="447">
        <v>10000</v>
      </c>
      <c r="F474" s="467">
        <v>-500</v>
      </c>
      <c r="G474" s="321">
        <f t="shared" si="8"/>
        <v>9500</v>
      </c>
    </row>
    <row r="475" spans="1:7" ht="12.75">
      <c r="A475" s="685"/>
      <c r="B475" s="434"/>
      <c r="C475" s="611">
        <v>4270</v>
      </c>
      <c r="D475" s="76" t="s">
        <v>219</v>
      </c>
      <c r="E475" s="447">
        <v>2000</v>
      </c>
      <c r="F475" s="467">
        <f>1716</f>
        <v>1716</v>
      </c>
      <c r="G475" s="321">
        <f t="shared" si="8"/>
        <v>3716</v>
      </c>
    </row>
    <row r="476" spans="1:7" ht="12.75">
      <c r="A476" s="685"/>
      <c r="B476" s="434"/>
      <c r="C476" s="611">
        <v>4280</v>
      </c>
      <c r="D476" s="76" t="s">
        <v>220</v>
      </c>
      <c r="E476" s="447">
        <v>100</v>
      </c>
      <c r="F476" s="467">
        <v>54</v>
      </c>
      <c r="G476" s="321">
        <f t="shared" si="8"/>
        <v>154</v>
      </c>
    </row>
    <row r="477" spans="1:7" ht="12.75">
      <c r="A477" s="685"/>
      <c r="B477" s="434"/>
      <c r="C477" s="611">
        <v>4300</v>
      </c>
      <c r="D477" s="76" t="s">
        <v>209</v>
      </c>
      <c r="E477" s="447">
        <v>3000</v>
      </c>
      <c r="F477" s="467"/>
      <c r="G477" s="321">
        <f t="shared" si="8"/>
        <v>3000</v>
      </c>
    </row>
    <row r="478" spans="1:7" ht="12.75">
      <c r="A478" s="685"/>
      <c r="B478" s="434"/>
      <c r="C478" s="611">
        <v>4440</v>
      </c>
      <c r="D478" s="76" t="s">
        <v>223</v>
      </c>
      <c r="E478" s="447">
        <v>4225</v>
      </c>
      <c r="F478" s="467"/>
      <c r="G478" s="321">
        <f t="shared" si="8"/>
        <v>4225</v>
      </c>
    </row>
    <row r="479" spans="1:7" ht="12.75">
      <c r="A479" s="685"/>
      <c r="B479" s="434"/>
      <c r="C479" s="611">
        <v>4530</v>
      </c>
      <c r="D479" s="76" t="s">
        <v>530</v>
      </c>
      <c r="E479" s="447">
        <v>5986</v>
      </c>
      <c r="F479" s="467">
        <v>700</v>
      </c>
      <c r="G479" s="321">
        <f t="shared" si="8"/>
        <v>6686</v>
      </c>
    </row>
    <row r="480" spans="1:7" ht="12.75">
      <c r="A480" s="685"/>
      <c r="B480" s="434"/>
      <c r="C480" s="611"/>
      <c r="D480" s="76"/>
      <c r="E480" s="447"/>
      <c r="F480" s="467"/>
      <c r="G480" s="321"/>
    </row>
    <row r="481" spans="1:7" ht="12.75">
      <c r="A481" s="685"/>
      <c r="B481" s="71">
        <v>85415</v>
      </c>
      <c r="C481" s="663"/>
      <c r="D481" s="80" t="s">
        <v>43</v>
      </c>
      <c r="E481" s="448">
        <f>SUM(E482:E490)</f>
        <v>841569</v>
      </c>
      <c r="F481" s="448">
        <f>SUM(F482:F490)</f>
        <v>-26426</v>
      </c>
      <c r="G481" s="322">
        <f t="shared" si="8"/>
        <v>815143</v>
      </c>
    </row>
    <row r="482" spans="1:7" ht="12.75">
      <c r="A482" s="685"/>
      <c r="B482" s="434"/>
      <c r="C482" s="611">
        <v>3240</v>
      </c>
      <c r="D482" s="76" t="s">
        <v>257</v>
      </c>
      <c r="E482" s="447">
        <v>332654</v>
      </c>
      <c r="F482" s="467">
        <f>-4-616-29556</f>
        <v>-30176</v>
      </c>
      <c r="G482" s="321">
        <f t="shared" si="8"/>
        <v>302478</v>
      </c>
    </row>
    <row r="483" spans="1:9" ht="12.75">
      <c r="A483" s="685"/>
      <c r="B483" s="434"/>
      <c r="C483" s="611">
        <v>3248</v>
      </c>
      <c r="D483" s="76" t="s">
        <v>675</v>
      </c>
      <c r="E483" s="447">
        <v>343451</v>
      </c>
      <c r="F483" s="467"/>
      <c r="G483" s="321">
        <f>F483+E483</f>
        <v>343451</v>
      </c>
      <c r="I483" s="645">
        <f>SUM(F483:F484)</f>
        <v>0</v>
      </c>
    </row>
    <row r="484" spans="1:7" ht="12.75">
      <c r="A484" s="685"/>
      <c r="B484" s="434"/>
      <c r="C484" s="611">
        <v>3249</v>
      </c>
      <c r="D484" s="76" t="s">
        <v>675</v>
      </c>
      <c r="E484" s="447">
        <v>161624</v>
      </c>
      <c r="F484" s="467"/>
      <c r="G484" s="321">
        <f>F484+E484</f>
        <v>161624</v>
      </c>
    </row>
    <row r="485" spans="1:9" ht="12.75">
      <c r="A485" s="685"/>
      <c r="B485" s="434"/>
      <c r="C485" s="611">
        <v>4110</v>
      </c>
      <c r="D485" s="76" t="s">
        <v>215</v>
      </c>
      <c r="E485" s="447">
        <v>559</v>
      </c>
      <c r="F485" s="467"/>
      <c r="G485" s="321">
        <f t="shared" si="8"/>
        <v>559</v>
      </c>
      <c r="I485" s="645">
        <f>SUM(G485:G487)</f>
        <v>3637</v>
      </c>
    </row>
    <row r="486" spans="1:7" ht="12.75">
      <c r="A486" s="685"/>
      <c r="B486" s="434"/>
      <c r="C486" s="611">
        <v>4120</v>
      </c>
      <c r="D486" s="76" t="s">
        <v>216</v>
      </c>
      <c r="E486" s="447">
        <v>78</v>
      </c>
      <c r="F486" s="467"/>
      <c r="G486" s="321">
        <f t="shared" si="8"/>
        <v>78</v>
      </c>
    </row>
    <row r="487" spans="1:7" ht="12.75">
      <c r="A487" s="685"/>
      <c r="B487" s="434"/>
      <c r="C487" s="611">
        <v>4170</v>
      </c>
      <c r="D487" s="76" t="s">
        <v>605</v>
      </c>
      <c r="E487" s="447">
        <v>3000</v>
      </c>
      <c r="F487" s="467"/>
      <c r="G487" s="321">
        <f>E487+F487</f>
        <v>3000</v>
      </c>
    </row>
    <row r="488" spans="1:7" ht="12.75">
      <c r="A488" s="685"/>
      <c r="B488" s="434"/>
      <c r="C488" s="611">
        <v>4178</v>
      </c>
      <c r="D488" s="76" t="s">
        <v>605</v>
      </c>
      <c r="E488" s="447">
        <v>0</v>
      </c>
      <c r="F488" s="467">
        <v>2550</v>
      </c>
      <c r="G488" s="321">
        <f>E488+F488</f>
        <v>2550</v>
      </c>
    </row>
    <row r="489" spans="1:7" ht="12.75">
      <c r="A489" s="685"/>
      <c r="B489" s="434"/>
      <c r="C489" s="611">
        <v>4179</v>
      </c>
      <c r="D489" s="76" t="s">
        <v>605</v>
      </c>
      <c r="E489" s="447">
        <v>0</v>
      </c>
      <c r="F489" s="467">
        <v>1200</v>
      </c>
      <c r="G489" s="321">
        <f>E489+F489</f>
        <v>1200</v>
      </c>
    </row>
    <row r="490" spans="1:7" ht="12.75">
      <c r="A490" s="685"/>
      <c r="B490" s="434"/>
      <c r="C490" s="611">
        <v>4300</v>
      </c>
      <c r="D490" s="76" t="s">
        <v>209</v>
      </c>
      <c r="E490" s="447">
        <v>203</v>
      </c>
      <c r="F490" s="467"/>
      <c r="G490" s="321">
        <f t="shared" si="8"/>
        <v>203</v>
      </c>
    </row>
    <row r="491" spans="1:7" ht="12.75">
      <c r="A491" s="685"/>
      <c r="B491" s="434"/>
      <c r="C491" s="611"/>
      <c r="D491" s="76"/>
      <c r="E491" s="447"/>
      <c r="F491" s="467"/>
      <c r="G491" s="321"/>
    </row>
    <row r="492" spans="1:7" ht="12.75">
      <c r="A492" s="685"/>
      <c r="B492" s="71">
        <v>85420</v>
      </c>
      <c r="C492" s="663"/>
      <c r="D492" s="80" t="s">
        <v>477</v>
      </c>
      <c r="E492" s="448">
        <f>SUM(E493:E508)</f>
        <v>1825471</v>
      </c>
      <c r="F492" s="448">
        <f>SUM(F493:F508)</f>
        <v>0</v>
      </c>
      <c r="G492" s="322">
        <f aca="true" t="shared" si="9" ref="G492:G534">E492+F492</f>
        <v>1825471</v>
      </c>
    </row>
    <row r="493" spans="1:7" ht="12.75">
      <c r="A493" s="685"/>
      <c r="B493" s="434"/>
      <c r="C493" s="611">
        <v>3020</v>
      </c>
      <c r="D493" s="76" t="s">
        <v>212</v>
      </c>
      <c r="E493" s="447">
        <v>54325</v>
      </c>
      <c r="F493" s="467"/>
      <c r="G493" s="321">
        <f t="shared" si="9"/>
        <v>54325</v>
      </c>
    </row>
    <row r="494" spans="1:7" ht="12.75">
      <c r="A494" s="685"/>
      <c r="B494" s="434"/>
      <c r="C494" s="611">
        <v>3110</v>
      </c>
      <c r="D494" s="76" t="s">
        <v>251</v>
      </c>
      <c r="E494" s="447">
        <v>1000</v>
      </c>
      <c r="F494" s="467"/>
      <c r="G494" s="321">
        <f t="shared" si="9"/>
        <v>1000</v>
      </c>
    </row>
    <row r="495" spans="1:9" ht="12.75">
      <c r="A495" s="685"/>
      <c r="B495" s="434"/>
      <c r="C495" s="611">
        <v>4010</v>
      </c>
      <c r="D495" s="76" t="s">
        <v>213</v>
      </c>
      <c r="E495" s="447">
        <v>869528</v>
      </c>
      <c r="F495" s="467"/>
      <c r="G495" s="321">
        <f t="shared" si="9"/>
        <v>869528</v>
      </c>
      <c r="I495" s="645">
        <f>SUM(G495:G499)</f>
        <v>1144347</v>
      </c>
    </row>
    <row r="496" spans="1:7" ht="12.75">
      <c r="A496" s="685"/>
      <c r="B496" s="434"/>
      <c r="C496" s="611">
        <v>4040</v>
      </c>
      <c r="D496" s="76" t="s">
        <v>214</v>
      </c>
      <c r="E496" s="447">
        <v>75478</v>
      </c>
      <c r="F496" s="467"/>
      <c r="G496" s="321">
        <f t="shared" si="9"/>
        <v>75478</v>
      </c>
    </row>
    <row r="497" spans="1:7" ht="12.75">
      <c r="A497" s="685"/>
      <c r="B497" s="434"/>
      <c r="C497" s="611">
        <v>4110</v>
      </c>
      <c r="D497" s="76" t="s">
        <v>215</v>
      </c>
      <c r="E497" s="447">
        <v>168753</v>
      </c>
      <c r="F497" s="467"/>
      <c r="G497" s="321">
        <f t="shared" si="9"/>
        <v>168753</v>
      </c>
    </row>
    <row r="498" spans="1:7" ht="12.75">
      <c r="A498" s="685"/>
      <c r="B498" s="434"/>
      <c r="C498" s="611">
        <v>4120</v>
      </c>
      <c r="D498" s="76" t="s">
        <v>216</v>
      </c>
      <c r="E498" s="447">
        <v>23348</v>
      </c>
      <c r="F498" s="467"/>
      <c r="G498" s="321">
        <f t="shared" si="9"/>
        <v>23348</v>
      </c>
    </row>
    <row r="499" spans="1:7" ht="12.75">
      <c r="A499" s="685"/>
      <c r="B499" s="434"/>
      <c r="C499" s="611">
        <v>4170</v>
      </c>
      <c r="D499" s="76" t="s">
        <v>605</v>
      </c>
      <c r="E499" s="447">
        <v>11142</v>
      </c>
      <c r="F499" s="467">
        <v>-3902</v>
      </c>
      <c r="G499" s="321">
        <f t="shared" si="9"/>
        <v>7240</v>
      </c>
    </row>
    <row r="500" spans="1:7" ht="12.75">
      <c r="A500" s="685"/>
      <c r="B500" s="434"/>
      <c r="C500" s="611">
        <v>4210</v>
      </c>
      <c r="D500" s="76" t="s">
        <v>217</v>
      </c>
      <c r="E500" s="447">
        <v>205412</v>
      </c>
      <c r="F500" s="467">
        <f>38595+3901</f>
        <v>42496</v>
      </c>
      <c r="G500" s="321">
        <f t="shared" si="9"/>
        <v>247908</v>
      </c>
    </row>
    <row r="501" spans="1:7" ht="12.75">
      <c r="A501" s="685"/>
      <c r="B501" s="434"/>
      <c r="C501" s="611">
        <v>4220</v>
      </c>
      <c r="D501" s="76" t="s">
        <v>252</v>
      </c>
      <c r="E501" s="447">
        <v>3000</v>
      </c>
      <c r="F501" s="467"/>
      <c r="G501" s="321">
        <f t="shared" si="9"/>
        <v>3000</v>
      </c>
    </row>
    <row r="502" spans="1:7" ht="12.75">
      <c r="A502" s="685"/>
      <c r="B502" s="434"/>
      <c r="C502" s="611">
        <v>4260</v>
      </c>
      <c r="D502" s="76" t="s">
        <v>218</v>
      </c>
      <c r="E502" s="447">
        <v>35000</v>
      </c>
      <c r="F502" s="467">
        <f>-1200-1019</f>
        <v>-2219</v>
      </c>
      <c r="G502" s="321">
        <f t="shared" si="9"/>
        <v>32781</v>
      </c>
    </row>
    <row r="503" spans="1:7" ht="12.75">
      <c r="A503" s="685"/>
      <c r="B503" s="434"/>
      <c r="C503" s="611">
        <v>4270</v>
      </c>
      <c r="D503" s="76" t="s">
        <v>219</v>
      </c>
      <c r="E503" s="447">
        <v>33816</v>
      </c>
      <c r="F503" s="467"/>
      <c r="G503" s="321">
        <f t="shared" si="9"/>
        <v>33816</v>
      </c>
    </row>
    <row r="504" spans="1:7" ht="12.75">
      <c r="A504" s="685"/>
      <c r="B504" s="434"/>
      <c r="C504" s="611">
        <v>4300</v>
      </c>
      <c r="D504" s="76" t="s">
        <v>209</v>
      </c>
      <c r="E504" s="447">
        <v>182465</v>
      </c>
      <c r="F504" s="467">
        <f>1200+1700</f>
        <v>2900</v>
      </c>
      <c r="G504" s="321">
        <f t="shared" si="9"/>
        <v>185365</v>
      </c>
    </row>
    <row r="505" spans="1:7" ht="12.75">
      <c r="A505" s="685"/>
      <c r="B505" s="434"/>
      <c r="C505" s="611">
        <v>4410</v>
      </c>
      <c r="D505" s="76" t="s">
        <v>221</v>
      </c>
      <c r="E505" s="447">
        <v>4000</v>
      </c>
      <c r="F505" s="467">
        <v>-680</v>
      </c>
      <c r="G505" s="321">
        <f t="shared" si="9"/>
        <v>3320</v>
      </c>
    </row>
    <row r="506" spans="1:7" ht="12.75">
      <c r="A506" s="685"/>
      <c r="B506" s="434"/>
      <c r="C506" s="611">
        <v>4430</v>
      </c>
      <c r="D506" s="76" t="s">
        <v>222</v>
      </c>
      <c r="E506" s="447">
        <v>8600</v>
      </c>
      <c r="F506" s="467">
        <v>-1213</v>
      </c>
      <c r="G506" s="321">
        <f t="shared" si="9"/>
        <v>7387</v>
      </c>
    </row>
    <row r="507" spans="1:7" ht="12.75">
      <c r="A507" s="685"/>
      <c r="B507" s="434"/>
      <c r="C507" s="611">
        <v>4440</v>
      </c>
      <c r="D507" s="76" t="s">
        <v>223</v>
      </c>
      <c r="E507" s="447">
        <v>47454</v>
      </c>
      <c r="F507" s="467"/>
      <c r="G507" s="321">
        <f t="shared" si="9"/>
        <v>47454</v>
      </c>
    </row>
    <row r="508" spans="1:7" ht="12.75">
      <c r="A508" s="685"/>
      <c r="B508" s="434"/>
      <c r="C508" s="611">
        <v>6060</v>
      </c>
      <c r="D508" s="76" t="s">
        <v>276</v>
      </c>
      <c r="E508" s="447">
        <v>102150</v>
      </c>
      <c r="F508" s="467">
        <v>-37382</v>
      </c>
      <c r="G508" s="321">
        <f t="shared" si="9"/>
        <v>64768</v>
      </c>
    </row>
    <row r="509" spans="1:7" ht="12.75">
      <c r="A509" s="685"/>
      <c r="B509" s="434"/>
      <c r="C509" s="611"/>
      <c r="D509" s="76"/>
      <c r="E509" s="447"/>
      <c r="F509" s="467"/>
      <c r="G509" s="321"/>
    </row>
    <row r="510" spans="1:7" ht="12.75">
      <c r="A510" s="685"/>
      <c r="B510" s="71">
        <v>85446</v>
      </c>
      <c r="C510" s="663"/>
      <c r="D510" s="80" t="s">
        <v>175</v>
      </c>
      <c r="E510" s="448">
        <f>SUM(E511:E512)</f>
        <v>748</v>
      </c>
      <c r="F510" s="448">
        <f>SUM(F511:F512)</f>
        <v>0</v>
      </c>
      <c r="G510" s="322">
        <f t="shared" si="9"/>
        <v>748</v>
      </c>
    </row>
    <row r="511" spans="1:7" ht="12.75">
      <c r="A511" s="685"/>
      <c r="B511" s="434"/>
      <c r="C511" s="611">
        <v>4300</v>
      </c>
      <c r="D511" s="76" t="s">
        <v>209</v>
      </c>
      <c r="E511" s="447">
        <v>290</v>
      </c>
      <c r="F511" s="467"/>
      <c r="G511" s="321">
        <f t="shared" si="9"/>
        <v>290</v>
      </c>
    </row>
    <row r="512" spans="1:7" ht="12.75">
      <c r="A512" s="685"/>
      <c r="B512" s="434"/>
      <c r="C512" s="611">
        <v>4410</v>
      </c>
      <c r="D512" s="76" t="s">
        <v>221</v>
      </c>
      <c r="E512" s="447">
        <v>458</v>
      </c>
      <c r="F512" s="467"/>
      <c r="G512" s="321">
        <f t="shared" si="9"/>
        <v>458</v>
      </c>
    </row>
    <row r="513" spans="1:7" ht="12.75">
      <c r="A513" s="685"/>
      <c r="B513" s="434"/>
      <c r="C513" s="611"/>
      <c r="D513" s="76"/>
      <c r="E513" s="447"/>
      <c r="F513" s="467"/>
      <c r="G513" s="321"/>
    </row>
    <row r="514" spans="1:7" ht="12.75">
      <c r="A514" s="685"/>
      <c r="B514" s="71">
        <v>85495</v>
      </c>
      <c r="C514" s="663"/>
      <c r="D514" s="80" t="s">
        <v>25</v>
      </c>
      <c r="E514" s="448">
        <f>SUM(E515)</f>
        <v>6658</v>
      </c>
      <c r="F514" s="448">
        <f>SUM(F515)</f>
        <v>0</v>
      </c>
      <c r="G514" s="322">
        <f t="shared" si="9"/>
        <v>6658</v>
      </c>
    </row>
    <row r="515" spans="1:7" ht="12.75">
      <c r="A515" s="685"/>
      <c r="B515" s="434"/>
      <c r="C515" s="611">
        <v>4440</v>
      </c>
      <c r="D515" s="76" t="s">
        <v>223</v>
      </c>
      <c r="E515" s="447">
        <v>6658</v>
      </c>
      <c r="F515" s="467"/>
      <c r="G515" s="321">
        <f t="shared" si="9"/>
        <v>6658</v>
      </c>
    </row>
    <row r="516" spans="1:7" ht="12.75">
      <c r="A516" s="672"/>
      <c r="B516" s="611"/>
      <c r="C516" s="611"/>
      <c r="D516" s="76"/>
      <c r="E516" s="447"/>
      <c r="F516" s="467"/>
      <c r="G516" s="321"/>
    </row>
    <row r="517" spans="1:7" ht="13.5" thickBot="1">
      <c r="A517" s="675">
        <v>921</v>
      </c>
      <c r="B517" s="659"/>
      <c r="C517" s="659"/>
      <c r="D517" s="312" t="s">
        <v>46</v>
      </c>
      <c r="E517" s="446">
        <f>E518+E525</f>
        <v>55000</v>
      </c>
      <c r="F517" s="446">
        <f>F518+F525</f>
        <v>0</v>
      </c>
      <c r="G517" s="320">
        <f t="shared" si="9"/>
        <v>55000</v>
      </c>
    </row>
    <row r="518" spans="1:7" ht="12.75">
      <c r="A518" s="672"/>
      <c r="B518" s="676">
        <v>92105</v>
      </c>
      <c r="C518" s="663"/>
      <c r="D518" s="80" t="s">
        <v>258</v>
      </c>
      <c r="E518" s="448">
        <f>SUM(E519:E523)</f>
        <v>20000</v>
      </c>
      <c r="F518" s="448">
        <f>SUM(F519:F523)</f>
        <v>0</v>
      </c>
      <c r="G518" s="322">
        <f t="shared" si="9"/>
        <v>20000</v>
      </c>
    </row>
    <row r="519" spans="1:8" ht="12.75">
      <c r="A519" s="672"/>
      <c r="B519" s="611"/>
      <c r="C519" s="309" t="s">
        <v>522</v>
      </c>
      <c r="D519" s="76" t="s">
        <v>523</v>
      </c>
      <c r="E519" s="447">
        <v>4000</v>
      </c>
      <c r="F519" s="467"/>
      <c r="G519" s="321">
        <f t="shared" si="9"/>
        <v>4000</v>
      </c>
      <c r="H519" s="645"/>
    </row>
    <row r="520" spans="1:8" ht="12.75">
      <c r="A520" s="672"/>
      <c r="B520" s="611"/>
      <c r="C520" s="309"/>
      <c r="D520" s="76" t="s">
        <v>524</v>
      </c>
      <c r="E520" s="447"/>
      <c r="F520" s="467"/>
      <c r="G520" s="321"/>
      <c r="H520" s="645"/>
    </row>
    <row r="521" spans="1:7" ht="12.75">
      <c r="A521" s="672"/>
      <c r="B521" s="611"/>
      <c r="C521" s="611">
        <v>3020</v>
      </c>
      <c r="D521" s="76" t="s">
        <v>212</v>
      </c>
      <c r="E521" s="447">
        <v>5000</v>
      </c>
      <c r="F521" s="467">
        <f>-1523</f>
        <v>-1523</v>
      </c>
      <c r="G521" s="321">
        <f t="shared" si="9"/>
        <v>3477</v>
      </c>
    </row>
    <row r="522" spans="1:7" ht="12.75">
      <c r="A522" s="672"/>
      <c r="B522" s="611"/>
      <c r="C522" s="611">
        <v>4210</v>
      </c>
      <c r="D522" s="76" t="s">
        <v>217</v>
      </c>
      <c r="E522" s="447">
        <v>3250</v>
      </c>
      <c r="F522" s="467">
        <f>1523-3</f>
        <v>1520</v>
      </c>
      <c r="G522" s="321">
        <f t="shared" si="9"/>
        <v>4770</v>
      </c>
    </row>
    <row r="523" spans="1:7" ht="12.75">
      <c r="A523" s="672"/>
      <c r="B523" s="611"/>
      <c r="C523" s="611">
        <v>4300</v>
      </c>
      <c r="D523" s="76" t="s">
        <v>209</v>
      </c>
      <c r="E523" s="447">
        <v>7750</v>
      </c>
      <c r="F523" s="467">
        <v>3</v>
      </c>
      <c r="G523" s="321">
        <f t="shared" si="9"/>
        <v>7753</v>
      </c>
    </row>
    <row r="524" spans="1:7" ht="12.75">
      <c r="A524" s="672"/>
      <c r="B524" s="611"/>
      <c r="C524" s="611"/>
      <c r="D524" s="76"/>
      <c r="E524" s="447"/>
      <c r="F524" s="467"/>
      <c r="G524" s="321"/>
    </row>
    <row r="525" spans="1:7" ht="12.75">
      <c r="A525" s="672"/>
      <c r="B525" s="676">
        <v>92116</v>
      </c>
      <c r="C525" s="663"/>
      <c r="D525" s="415" t="s">
        <v>259</v>
      </c>
      <c r="E525" s="448">
        <f>E526</f>
        <v>35000</v>
      </c>
      <c r="F525" s="448">
        <f>F526</f>
        <v>0</v>
      </c>
      <c r="G525" s="322">
        <f t="shared" si="9"/>
        <v>35000</v>
      </c>
    </row>
    <row r="526" spans="1:8" ht="12.75">
      <c r="A526" s="672"/>
      <c r="B526" s="611"/>
      <c r="C526" s="429">
        <v>2310</v>
      </c>
      <c r="D526" s="311" t="s">
        <v>211</v>
      </c>
      <c r="E526" s="447">
        <v>35000</v>
      </c>
      <c r="F526" s="467"/>
      <c r="G526" s="321">
        <f t="shared" si="9"/>
        <v>35000</v>
      </c>
      <c r="H526" s="645"/>
    </row>
    <row r="527" spans="1:7" ht="12.75">
      <c r="A527" s="672"/>
      <c r="B527" s="611"/>
      <c r="C527" s="429"/>
      <c r="D527" s="308"/>
      <c r="E527" s="447"/>
      <c r="F527" s="467"/>
      <c r="G527" s="321"/>
    </row>
    <row r="528" spans="1:7" ht="13.5" thickBot="1">
      <c r="A528" s="675">
        <v>926</v>
      </c>
      <c r="B528" s="659"/>
      <c r="C528" s="659"/>
      <c r="D528" s="312" t="s">
        <v>260</v>
      </c>
      <c r="E528" s="446">
        <f>E529</f>
        <v>103000</v>
      </c>
      <c r="F528" s="446">
        <f>F529</f>
        <v>0</v>
      </c>
      <c r="G528" s="320">
        <f t="shared" si="9"/>
        <v>103000</v>
      </c>
    </row>
    <row r="529" spans="1:7" ht="12.75">
      <c r="A529" s="672"/>
      <c r="B529" s="676">
        <v>92605</v>
      </c>
      <c r="C529" s="663"/>
      <c r="D529" s="80" t="s">
        <v>261</v>
      </c>
      <c r="E529" s="448">
        <f>SUM(E530:E534)</f>
        <v>103000</v>
      </c>
      <c r="F529" s="448">
        <f>SUM(F530:F534)</f>
        <v>0</v>
      </c>
      <c r="G529" s="322">
        <f t="shared" si="9"/>
        <v>103000</v>
      </c>
    </row>
    <row r="530" spans="1:8" ht="12.75">
      <c r="A530" s="672"/>
      <c r="B530" s="611"/>
      <c r="C530" s="309" t="s">
        <v>522</v>
      </c>
      <c r="D530" s="76" t="s">
        <v>523</v>
      </c>
      <c r="E530" s="447">
        <v>70000</v>
      </c>
      <c r="F530" s="467"/>
      <c r="G530" s="321">
        <f t="shared" si="9"/>
        <v>70000</v>
      </c>
      <c r="H530" s="645"/>
    </row>
    <row r="531" spans="1:8" ht="12.75">
      <c r="A531" s="672"/>
      <c r="B531" s="611"/>
      <c r="C531" s="309"/>
      <c r="D531" s="76" t="s">
        <v>524</v>
      </c>
      <c r="E531" s="447"/>
      <c r="F531" s="467"/>
      <c r="G531" s="321"/>
      <c r="H531" s="645"/>
    </row>
    <row r="532" spans="1:7" ht="12.75">
      <c r="A532" s="672"/>
      <c r="B532" s="611"/>
      <c r="C532" s="611">
        <v>3020</v>
      </c>
      <c r="D532" s="76" t="s">
        <v>262</v>
      </c>
      <c r="E532" s="447">
        <v>10000</v>
      </c>
      <c r="F532" s="467"/>
      <c r="G532" s="321">
        <f t="shared" si="9"/>
        <v>10000</v>
      </c>
    </row>
    <row r="533" spans="1:7" ht="12.75">
      <c r="A533" s="672"/>
      <c r="B533" s="611"/>
      <c r="C533" s="611">
        <v>4210</v>
      </c>
      <c r="D533" s="76" t="s">
        <v>217</v>
      </c>
      <c r="E533" s="447">
        <v>5345</v>
      </c>
      <c r="F533" s="467">
        <v>485</v>
      </c>
      <c r="G533" s="321">
        <f t="shared" si="9"/>
        <v>5830</v>
      </c>
    </row>
    <row r="534" spans="1:7" ht="12.75">
      <c r="A534" s="672"/>
      <c r="B534" s="611"/>
      <c r="C534" s="611">
        <v>4300</v>
      </c>
      <c r="D534" s="76" t="s">
        <v>209</v>
      </c>
      <c r="E534" s="447">
        <v>17655</v>
      </c>
      <c r="F534" s="467">
        <v>-485</v>
      </c>
      <c r="G534" s="321">
        <f t="shared" si="9"/>
        <v>17170</v>
      </c>
    </row>
    <row r="535" spans="1:7" ht="13.5" thickBot="1">
      <c r="A535" s="672"/>
      <c r="B535" s="611"/>
      <c r="C535" s="611"/>
      <c r="D535" s="76"/>
      <c r="E535" s="447"/>
      <c r="F535" s="467"/>
      <c r="G535" s="321"/>
    </row>
    <row r="536" spans="1:9" ht="17.25" customHeight="1" thickBot="1">
      <c r="A536" s="745" t="s">
        <v>750</v>
      </c>
      <c r="B536" s="746"/>
      <c r="C536" s="746"/>
      <c r="D536" s="747"/>
      <c r="E536" s="623">
        <f>E528+E517+E434+E394+E295+E278+E266+E175+E171+E162+E155+E90+E70+E61+E54+E31+E24+E15+E150</f>
        <v>34905802</v>
      </c>
      <c r="F536" s="623">
        <f>F528+F517+F434+F394+F295+F278+F266+F175+F171+F162+F155+F90+F70+F61+F54+F31+F24+F15+F150</f>
        <v>191615</v>
      </c>
      <c r="G536" s="701">
        <f>F536+E536</f>
        <v>35097417</v>
      </c>
      <c r="I536" s="646">
        <v>210912</v>
      </c>
    </row>
    <row r="537" ht="12.75">
      <c r="E537" s="314"/>
    </row>
    <row r="538" spans="5:11" ht="12.75">
      <c r="E538" s="314" t="s">
        <v>473</v>
      </c>
      <c r="H538" s="702"/>
      <c r="I538" s="702"/>
      <c r="J538" s="702"/>
      <c r="K538" s="702"/>
    </row>
    <row r="539" spans="5:11" ht="12.75">
      <c r="E539" s="314" t="s">
        <v>322</v>
      </c>
      <c r="G539" s="703"/>
      <c r="H539" s="645"/>
      <c r="J539" s="702"/>
      <c r="K539" s="702"/>
    </row>
    <row r="540" spans="5:11" ht="12.75">
      <c r="E540" s="314" t="s">
        <v>474</v>
      </c>
      <c r="G540" s="703"/>
      <c r="H540" s="703"/>
      <c r="I540" s="704"/>
      <c r="J540" s="702"/>
      <c r="K540" s="702"/>
    </row>
    <row r="541" spans="5:10" ht="12.75">
      <c r="E541" s="314" t="s">
        <v>475</v>
      </c>
      <c r="G541" s="703"/>
      <c r="H541" s="703"/>
      <c r="I541" s="704"/>
      <c r="J541" s="646"/>
    </row>
    <row r="542" spans="5:10" ht="12.75">
      <c r="E542" s="314" t="s">
        <v>476</v>
      </c>
      <c r="G542" s="703"/>
      <c r="H542" s="703"/>
      <c r="I542" s="704"/>
      <c r="J542" s="646"/>
    </row>
    <row r="543" spans="5:10" ht="12.75">
      <c r="E543" s="314"/>
      <c r="G543" s="645" t="s">
        <v>763</v>
      </c>
      <c r="J543" s="646"/>
    </row>
    <row r="544" ht="12.75">
      <c r="E544" s="314"/>
    </row>
    <row r="545" ht="12.75">
      <c r="E545" s="314"/>
    </row>
    <row r="546" ht="12.75">
      <c r="E546" s="314"/>
    </row>
    <row r="547" ht="12.75">
      <c r="E547" s="314"/>
    </row>
    <row r="548" ht="12.75">
      <c r="E548" s="314"/>
    </row>
    <row r="549" ht="12.75">
      <c r="E549" s="314"/>
    </row>
    <row r="550" ht="12.75">
      <c r="E550" s="314"/>
    </row>
    <row r="551" ht="12.75">
      <c r="E551" s="314"/>
    </row>
    <row r="552" ht="12.75">
      <c r="E552" s="314"/>
    </row>
    <row r="553" ht="12.75">
      <c r="E553" s="314"/>
    </row>
    <row r="554" ht="12.75">
      <c r="E554" s="314"/>
    </row>
    <row r="555" ht="12.75">
      <c r="E555" s="314"/>
    </row>
    <row r="556" ht="12.75">
      <c r="E556" s="314"/>
    </row>
    <row r="557" ht="12.75">
      <c r="E557" s="314"/>
    </row>
    <row r="558" ht="12.75">
      <c r="E558" s="314"/>
    </row>
    <row r="559" ht="12.75">
      <c r="E559" s="314"/>
    </row>
    <row r="560" ht="12.75">
      <c r="E560" s="314"/>
    </row>
    <row r="561" ht="12.75">
      <c r="E561" s="314"/>
    </row>
    <row r="562" ht="12.75">
      <c r="E562" s="314"/>
    </row>
    <row r="563" ht="12.75">
      <c r="E563" s="314"/>
    </row>
    <row r="564" ht="12.75">
      <c r="E564" s="314"/>
    </row>
    <row r="565" ht="12.75">
      <c r="E565" s="314"/>
    </row>
    <row r="566" ht="12.75">
      <c r="E566" s="314"/>
    </row>
    <row r="567" ht="12.75">
      <c r="E567" s="314"/>
    </row>
    <row r="568" ht="12.75">
      <c r="E568" s="314"/>
    </row>
    <row r="569" ht="12.75">
      <c r="E569" s="314"/>
    </row>
    <row r="570" ht="12.75">
      <c r="E570" s="314"/>
    </row>
    <row r="571" ht="12.75">
      <c r="E571" s="314"/>
    </row>
    <row r="572" ht="12.75">
      <c r="E572" s="314"/>
    </row>
    <row r="573" ht="12.75">
      <c r="E573" s="314"/>
    </row>
    <row r="574" ht="12.75">
      <c r="E574" s="314"/>
    </row>
    <row r="575" ht="12.75">
      <c r="E575" s="314"/>
    </row>
    <row r="576" ht="12.75">
      <c r="E576" s="314"/>
    </row>
    <row r="577" ht="12.75">
      <c r="E577" s="314"/>
    </row>
    <row r="578" ht="12.75">
      <c r="E578" s="314"/>
    </row>
    <row r="579" ht="12.75">
      <c r="E579" s="314"/>
    </row>
    <row r="580" ht="12.75">
      <c r="E580" s="314"/>
    </row>
    <row r="581" ht="12.75">
      <c r="E581" s="314"/>
    </row>
    <row r="582" ht="12.75">
      <c r="E582" s="314"/>
    </row>
    <row r="583" ht="12.75">
      <c r="E583" s="314"/>
    </row>
    <row r="584" ht="12.75">
      <c r="E584" s="314"/>
    </row>
    <row r="585" ht="12.75">
      <c r="E585" s="314"/>
    </row>
    <row r="586" ht="12.75">
      <c r="E586" s="314"/>
    </row>
    <row r="587" ht="12.75">
      <c r="E587" s="314"/>
    </row>
    <row r="588" ht="12.75">
      <c r="E588" s="314"/>
    </row>
    <row r="589" ht="12.75">
      <c r="E589" s="314"/>
    </row>
    <row r="590" ht="12.75">
      <c r="E590" s="314"/>
    </row>
    <row r="591" ht="12.75">
      <c r="E591" s="314"/>
    </row>
    <row r="592" ht="12.75">
      <c r="E592" s="314"/>
    </row>
    <row r="593" ht="12.75">
      <c r="E593" s="314"/>
    </row>
    <row r="594" ht="12.75">
      <c r="E594" s="314"/>
    </row>
    <row r="595" ht="12.75">
      <c r="E595" s="314"/>
    </row>
    <row r="596" ht="12.75">
      <c r="E596" s="314"/>
    </row>
    <row r="597" ht="12.75">
      <c r="E597" s="314"/>
    </row>
    <row r="598" ht="12.75">
      <c r="E598" s="314"/>
    </row>
    <row r="599" ht="12.75">
      <c r="E599" s="314"/>
    </row>
    <row r="600" ht="12.75">
      <c r="E600" s="314"/>
    </row>
    <row r="601" ht="12.75">
      <c r="E601" s="314"/>
    </row>
    <row r="602" ht="12.75">
      <c r="E602" s="314"/>
    </row>
    <row r="603" ht="12.75">
      <c r="E603" s="314"/>
    </row>
    <row r="604" ht="12.75">
      <c r="E604" s="314"/>
    </row>
    <row r="605" ht="12.75">
      <c r="E605" s="314"/>
    </row>
    <row r="606" ht="12.75">
      <c r="E606" s="314"/>
    </row>
    <row r="607" ht="12.75">
      <c r="E607" s="314"/>
    </row>
    <row r="608" ht="12.75">
      <c r="E608" s="314"/>
    </row>
    <row r="609" ht="12.75">
      <c r="E609" s="314"/>
    </row>
    <row r="610" ht="12.75">
      <c r="E610" s="314"/>
    </row>
    <row r="611" ht="12.75">
      <c r="E611" s="314"/>
    </row>
    <row r="612" ht="12.75">
      <c r="E612" s="314"/>
    </row>
    <row r="613" ht="12.75">
      <c r="E613" s="314"/>
    </row>
    <row r="614" ht="12.75">
      <c r="E614" s="314"/>
    </row>
    <row r="615" ht="12.75">
      <c r="E615" s="314"/>
    </row>
    <row r="616" ht="12.75">
      <c r="E616" s="314"/>
    </row>
    <row r="617" ht="12.75">
      <c r="E617" s="314"/>
    </row>
    <row r="618" ht="12.75">
      <c r="E618" s="314"/>
    </row>
    <row r="619" ht="12.75">
      <c r="E619" s="314"/>
    </row>
    <row r="620" ht="12.75">
      <c r="E620" s="314"/>
    </row>
    <row r="621" ht="12.75">
      <c r="E621" s="314"/>
    </row>
    <row r="622" ht="12.75">
      <c r="E622" s="314"/>
    </row>
    <row r="623" ht="12.75">
      <c r="E623" s="314"/>
    </row>
    <row r="624" ht="12.75">
      <c r="E624" s="314"/>
    </row>
    <row r="625" ht="12.75">
      <c r="E625" s="314"/>
    </row>
    <row r="626" ht="12.75">
      <c r="E626" s="314"/>
    </row>
    <row r="627" ht="12.75">
      <c r="E627" s="314"/>
    </row>
    <row r="628" ht="12.75">
      <c r="E628" s="314"/>
    </row>
    <row r="629" ht="12.75">
      <c r="E629" s="314"/>
    </row>
    <row r="630" ht="12.75">
      <c r="E630" s="314"/>
    </row>
    <row r="631" ht="12.75">
      <c r="E631" s="314"/>
    </row>
    <row r="632" ht="12.75">
      <c r="E632" s="314"/>
    </row>
    <row r="633" ht="12.75">
      <c r="E633" s="314"/>
    </row>
    <row r="634" ht="12.75">
      <c r="E634" s="314"/>
    </row>
    <row r="635" ht="12.75">
      <c r="E635" s="314"/>
    </row>
    <row r="636" ht="12.75">
      <c r="E636" s="314"/>
    </row>
    <row r="637" ht="12.75">
      <c r="E637" s="314"/>
    </row>
    <row r="638" ht="12.75">
      <c r="E638" s="314"/>
    </row>
    <row r="639" ht="12.75">
      <c r="E639" s="314"/>
    </row>
    <row r="640" ht="12.75">
      <c r="E640" s="314"/>
    </row>
    <row r="641" ht="12.75">
      <c r="E641" s="314"/>
    </row>
    <row r="642" ht="12.75">
      <c r="E642" s="314"/>
    </row>
    <row r="643" ht="12.75">
      <c r="E643" s="314"/>
    </row>
    <row r="644" ht="12.75">
      <c r="E644" s="314"/>
    </row>
    <row r="645" ht="12.75">
      <c r="E645" s="314"/>
    </row>
    <row r="646" ht="12.75">
      <c r="E646" s="314"/>
    </row>
    <row r="647" ht="12.75">
      <c r="E647" s="314"/>
    </row>
    <row r="648" ht="12.75">
      <c r="E648" s="314"/>
    </row>
    <row r="649" ht="12.75">
      <c r="E649" s="314"/>
    </row>
    <row r="650" ht="12.75">
      <c r="E650" s="314"/>
    </row>
    <row r="651" ht="12.75">
      <c r="E651" s="314"/>
    </row>
    <row r="652" ht="12.75">
      <c r="E652" s="314"/>
    </row>
    <row r="653" ht="12.75">
      <c r="E653" s="314"/>
    </row>
    <row r="654" ht="12.75">
      <c r="E654" s="314"/>
    </row>
    <row r="655" ht="12.75">
      <c r="E655" s="314"/>
    </row>
    <row r="656" ht="12.75">
      <c r="E656" s="314"/>
    </row>
    <row r="657" ht="12.75">
      <c r="E657" s="314"/>
    </row>
    <row r="658" ht="12.75">
      <c r="E658" s="314"/>
    </row>
    <row r="659" ht="12.75">
      <c r="E659" s="314"/>
    </row>
    <row r="660" ht="12.75">
      <c r="E660" s="314"/>
    </row>
    <row r="661" ht="12.75">
      <c r="E661" s="314"/>
    </row>
    <row r="662" ht="12.75">
      <c r="E662" s="314"/>
    </row>
    <row r="663" ht="12.75">
      <c r="E663" s="314"/>
    </row>
    <row r="664" ht="12.75">
      <c r="E664" s="314"/>
    </row>
    <row r="665" ht="12.75">
      <c r="E665" s="314"/>
    </row>
    <row r="666" ht="12.75">
      <c r="E666" s="314"/>
    </row>
    <row r="667" ht="12.75">
      <c r="E667" s="314"/>
    </row>
    <row r="668" ht="12.75">
      <c r="E668" s="314"/>
    </row>
    <row r="669" ht="12.75">
      <c r="E669" s="314"/>
    </row>
    <row r="670" ht="12.75">
      <c r="E670" s="314"/>
    </row>
    <row r="671" ht="12.75">
      <c r="E671" s="314"/>
    </row>
    <row r="672" ht="12.75">
      <c r="E672" s="314"/>
    </row>
    <row r="673" ht="12.75">
      <c r="E673" s="314"/>
    </row>
    <row r="674" ht="12.75">
      <c r="E674" s="314"/>
    </row>
    <row r="675" ht="12.75">
      <c r="E675" s="314"/>
    </row>
    <row r="676" ht="12.75">
      <c r="E676" s="314"/>
    </row>
    <row r="677" ht="12.75">
      <c r="E677" s="314"/>
    </row>
    <row r="678" ht="12.75">
      <c r="E678" s="314"/>
    </row>
    <row r="679" ht="12.75">
      <c r="E679" s="314"/>
    </row>
    <row r="680" ht="12.75">
      <c r="E680" s="314"/>
    </row>
    <row r="681" ht="12.75">
      <c r="E681" s="314"/>
    </row>
    <row r="682" ht="12.75">
      <c r="E682" s="314"/>
    </row>
    <row r="683" ht="12.75">
      <c r="E683" s="314"/>
    </row>
    <row r="684" ht="12.75">
      <c r="E684" s="314"/>
    </row>
    <row r="685" ht="12.75">
      <c r="E685" s="314"/>
    </row>
    <row r="686" ht="12.75">
      <c r="E686" s="314"/>
    </row>
    <row r="687" ht="12.75">
      <c r="E687" s="314"/>
    </row>
    <row r="688" ht="12.75">
      <c r="E688" s="314"/>
    </row>
    <row r="689" ht="12.75">
      <c r="E689" s="314"/>
    </row>
    <row r="690" ht="12.75">
      <c r="E690" s="314"/>
    </row>
    <row r="691" ht="12.75">
      <c r="E691" s="314"/>
    </row>
    <row r="692" ht="12.75">
      <c r="E692" s="314"/>
    </row>
    <row r="693" ht="12.75">
      <c r="E693" s="314"/>
    </row>
    <row r="694" ht="12.75">
      <c r="E694" s="314"/>
    </row>
    <row r="695" ht="12.75">
      <c r="E695" s="314"/>
    </row>
    <row r="696" ht="12.75">
      <c r="E696" s="314"/>
    </row>
    <row r="697" ht="12.75">
      <c r="E697" s="314"/>
    </row>
    <row r="698" ht="12.75">
      <c r="E698" s="314"/>
    </row>
    <row r="699" ht="12.75">
      <c r="E699" s="314"/>
    </row>
    <row r="700" ht="12.75">
      <c r="E700" s="314"/>
    </row>
    <row r="701" ht="12.75">
      <c r="E701" s="314"/>
    </row>
    <row r="702" ht="12.75">
      <c r="E702" s="314"/>
    </row>
    <row r="703" ht="12.75">
      <c r="E703" s="314"/>
    </row>
    <row r="704" ht="12.75">
      <c r="E704" s="314"/>
    </row>
    <row r="705" ht="12.75">
      <c r="E705" s="314"/>
    </row>
    <row r="706" ht="12.75">
      <c r="E706" s="314"/>
    </row>
    <row r="707" ht="12.75">
      <c r="E707" s="314"/>
    </row>
    <row r="708" ht="12.75">
      <c r="E708" s="314"/>
    </row>
    <row r="709" ht="12.75">
      <c r="E709" s="314"/>
    </row>
    <row r="710" ht="12.75">
      <c r="E710" s="314"/>
    </row>
    <row r="711" ht="12.75">
      <c r="E711" s="314"/>
    </row>
    <row r="712" ht="12.75">
      <c r="E712" s="314"/>
    </row>
    <row r="713" ht="12.75">
      <c r="E713" s="314"/>
    </row>
    <row r="714" ht="12.75">
      <c r="E714" s="314"/>
    </row>
    <row r="715" ht="12.75">
      <c r="E715" s="314"/>
    </row>
    <row r="716" ht="12.75">
      <c r="E716" s="314"/>
    </row>
    <row r="717" ht="12.75">
      <c r="E717" s="314"/>
    </row>
    <row r="718" ht="12.75">
      <c r="E718" s="314"/>
    </row>
    <row r="719" ht="12.75">
      <c r="E719" s="314"/>
    </row>
    <row r="720" ht="12.75">
      <c r="E720" s="314"/>
    </row>
    <row r="721" ht="12.75">
      <c r="E721" s="314"/>
    </row>
    <row r="722" ht="12.75">
      <c r="E722" s="314"/>
    </row>
    <row r="723" ht="12.75">
      <c r="E723" s="314"/>
    </row>
    <row r="724" ht="12.75">
      <c r="E724" s="314"/>
    </row>
    <row r="725" ht="12.75">
      <c r="E725" s="314"/>
    </row>
    <row r="726" ht="12.75">
      <c r="E726" s="314"/>
    </row>
    <row r="727" ht="12.75">
      <c r="E727" s="314"/>
    </row>
    <row r="728" ht="12.75">
      <c r="E728" s="314"/>
    </row>
    <row r="729" ht="12.75">
      <c r="E729" s="314"/>
    </row>
    <row r="730" ht="12.75">
      <c r="E730" s="314"/>
    </row>
    <row r="731" ht="12.75">
      <c r="E731" s="314"/>
    </row>
    <row r="732" ht="12.75">
      <c r="E732" s="314"/>
    </row>
    <row r="733" ht="12.75">
      <c r="E733" s="314"/>
    </row>
    <row r="734" ht="12.75">
      <c r="E734" s="314"/>
    </row>
    <row r="735" ht="12.75">
      <c r="E735" s="314"/>
    </row>
    <row r="736" ht="12.75">
      <c r="E736" s="314"/>
    </row>
    <row r="737" ht="12.75">
      <c r="E737" s="314"/>
    </row>
    <row r="738" ht="12.75">
      <c r="E738" s="314"/>
    </row>
    <row r="739" ht="12.75">
      <c r="E739" s="314"/>
    </row>
    <row r="740" ht="12.75">
      <c r="E740" s="314"/>
    </row>
    <row r="741" ht="12.75">
      <c r="E741" s="314"/>
    </row>
    <row r="742" ht="12.75">
      <c r="E742" s="314"/>
    </row>
    <row r="743" ht="12.75">
      <c r="E743" s="314"/>
    </row>
    <row r="744" ht="12.75">
      <c r="E744" s="314"/>
    </row>
    <row r="745" ht="12.75">
      <c r="E745" s="314"/>
    </row>
    <row r="746" ht="12.75">
      <c r="E746" s="314"/>
    </row>
    <row r="747" ht="12.75">
      <c r="E747" s="314"/>
    </row>
    <row r="748" ht="12.75">
      <c r="E748" s="314"/>
    </row>
    <row r="749" ht="12.75">
      <c r="E749" s="314"/>
    </row>
    <row r="750" ht="12.75">
      <c r="E750" s="314"/>
    </row>
    <row r="751" ht="12.75">
      <c r="E751" s="314"/>
    </row>
    <row r="752" ht="12.75">
      <c r="E752" s="314"/>
    </row>
    <row r="753" ht="12.75">
      <c r="E753" s="314"/>
    </row>
    <row r="754" ht="12.75">
      <c r="E754" s="314"/>
    </row>
    <row r="755" ht="12.75">
      <c r="E755" s="314"/>
    </row>
    <row r="756" ht="12.75">
      <c r="E756" s="314"/>
    </row>
    <row r="757" ht="12.75">
      <c r="E757" s="314"/>
    </row>
    <row r="758" ht="12.75">
      <c r="E758" s="314"/>
    </row>
    <row r="759" ht="12.75">
      <c r="E759" s="314"/>
    </row>
    <row r="760" ht="12.75">
      <c r="E760" s="314"/>
    </row>
    <row r="761" ht="12.75">
      <c r="E761" s="314"/>
    </row>
    <row r="762" ht="12.75">
      <c r="E762" s="314"/>
    </row>
    <row r="763" ht="12.75">
      <c r="E763" s="314"/>
    </row>
    <row r="764" ht="12.75">
      <c r="E764" s="314"/>
    </row>
    <row r="765" ht="12.75">
      <c r="E765" s="314"/>
    </row>
    <row r="766" ht="12.75">
      <c r="E766" s="314"/>
    </row>
    <row r="767" ht="12.75">
      <c r="E767" s="314"/>
    </row>
    <row r="768" ht="12.75">
      <c r="E768" s="314"/>
    </row>
    <row r="769" ht="12.75">
      <c r="E769" s="314"/>
    </row>
    <row r="770" ht="12.75">
      <c r="E770" s="314"/>
    </row>
    <row r="771" ht="12.75">
      <c r="E771" s="314"/>
    </row>
    <row r="772" ht="12.75">
      <c r="E772" s="314"/>
    </row>
    <row r="773" ht="12.75">
      <c r="E773" s="314"/>
    </row>
    <row r="774" ht="12.75">
      <c r="E774" s="314"/>
    </row>
    <row r="775" ht="12.75">
      <c r="E775" s="314"/>
    </row>
    <row r="776" ht="12.75">
      <c r="E776" s="314"/>
    </row>
    <row r="777" ht="12.75">
      <c r="E777" s="314"/>
    </row>
    <row r="778" ht="12.75">
      <c r="E778" s="314"/>
    </row>
    <row r="779" ht="12.75">
      <c r="E779" s="314"/>
    </row>
    <row r="780" ht="12.75">
      <c r="E780" s="314"/>
    </row>
    <row r="781" ht="12.75">
      <c r="E781" s="314"/>
    </row>
    <row r="782" ht="12.75">
      <c r="E782" s="314"/>
    </row>
    <row r="783" ht="12.75">
      <c r="E783" s="314"/>
    </row>
    <row r="784" ht="12.75">
      <c r="E784" s="314"/>
    </row>
    <row r="785" ht="12.75">
      <c r="E785" s="314"/>
    </row>
    <row r="786" ht="12.75">
      <c r="E786" s="314"/>
    </row>
    <row r="787" ht="12.75">
      <c r="E787" s="314"/>
    </row>
    <row r="788" ht="12.75">
      <c r="E788" s="314"/>
    </row>
    <row r="789" ht="12.75">
      <c r="E789" s="314"/>
    </row>
    <row r="790" ht="12.75">
      <c r="E790" s="314"/>
    </row>
    <row r="791" ht="12.75">
      <c r="E791" s="314"/>
    </row>
    <row r="792" ht="12.75">
      <c r="E792" s="314"/>
    </row>
    <row r="793" ht="12.75">
      <c r="E793" s="314"/>
    </row>
    <row r="794" ht="12.75">
      <c r="E794" s="314"/>
    </row>
    <row r="795" ht="12.75">
      <c r="E795" s="314"/>
    </row>
    <row r="796" ht="12.75">
      <c r="E796" s="314"/>
    </row>
    <row r="797" ht="12.75">
      <c r="E797" s="314"/>
    </row>
    <row r="798" ht="12.75">
      <c r="E798" s="314"/>
    </row>
    <row r="799" ht="12.75">
      <c r="E799" s="314"/>
    </row>
    <row r="800" ht="12.75">
      <c r="E800" s="314"/>
    </row>
    <row r="801" ht="12.75">
      <c r="E801" s="314"/>
    </row>
    <row r="802" ht="12.75">
      <c r="E802" s="314"/>
    </row>
    <row r="803" ht="12.75">
      <c r="E803" s="314"/>
    </row>
    <row r="804" ht="12.75">
      <c r="E804" s="314"/>
    </row>
    <row r="805" ht="12.75">
      <c r="E805" s="314"/>
    </row>
    <row r="806" ht="12.75">
      <c r="E806" s="314"/>
    </row>
    <row r="807" ht="12.75">
      <c r="E807" s="314"/>
    </row>
    <row r="808" ht="12.75">
      <c r="E808" s="314"/>
    </row>
    <row r="809" ht="12.75">
      <c r="E809" s="314"/>
    </row>
    <row r="810" ht="12.75">
      <c r="E810" s="314"/>
    </row>
    <row r="811" ht="12.75">
      <c r="E811" s="314"/>
    </row>
    <row r="812" ht="12.75">
      <c r="E812" s="314"/>
    </row>
    <row r="813" ht="12.75">
      <c r="E813" s="314"/>
    </row>
    <row r="814" ht="12.75">
      <c r="E814" s="314"/>
    </row>
    <row r="815" ht="12.75">
      <c r="E815" s="314"/>
    </row>
    <row r="816" ht="12.75">
      <c r="E816" s="314"/>
    </row>
    <row r="817" ht="12.75">
      <c r="E817" s="314"/>
    </row>
    <row r="818" ht="12.75">
      <c r="E818" s="314"/>
    </row>
    <row r="819" ht="12.75">
      <c r="E819" s="314"/>
    </row>
    <row r="820" ht="12.75">
      <c r="E820" s="314"/>
    </row>
    <row r="821" ht="12.75">
      <c r="E821" s="314"/>
    </row>
    <row r="822" ht="12.75">
      <c r="E822" s="314"/>
    </row>
    <row r="823" ht="12.75">
      <c r="E823" s="314"/>
    </row>
    <row r="824" ht="12.75">
      <c r="E824" s="314"/>
    </row>
    <row r="825" ht="12.75">
      <c r="E825" s="314"/>
    </row>
    <row r="826" ht="12.75">
      <c r="E826" s="314"/>
    </row>
    <row r="827" ht="12.75">
      <c r="E827" s="314"/>
    </row>
    <row r="828" ht="12.75">
      <c r="E828" s="314"/>
    </row>
    <row r="829" ht="12.75">
      <c r="E829" s="314"/>
    </row>
    <row r="830" ht="12.75">
      <c r="E830" s="314"/>
    </row>
    <row r="831" ht="12.75">
      <c r="E831" s="314"/>
    </row>
    <row r="832" ht="12.75">
      <c r="E832" s="314"/>
    </row>
    <row r="833" ht="12.75">
      <c r="E833" s="314"/>
    </row>
    <row r="834" ht="12.75">
      <c r="E834" s="314"/>
    </row>
    <row r="835" ht="12.75">
      <c r="E835" s="314"/>
    </row>
    <row r="836" ht="12.75">
      <c r="E836" s="314"/>
    </row>
    <row r="837" ht="12.75">
      <c r="E837" s="314"/>
    </row>
    <row r="838" ht="12.75">
      <c r="E838" s="314"/>
    </row>
    <row r="839" ht="12.75">
      <c r="E839" s="314"/>
    </row>
    <row r="840" ht="12.75">
      <c r="E840" s="314"/>
    </row>
    <row r="841" ht="12.75">
      <c r="E841" s="314"/>
    </row>
    <row r="842" ht="12.75">
      <c r="E842" s="314"/>
    </row>
    <row r="843" ht="12.75">
      <c r="E843" s="314"/>
    </row>
    <row r="844" ht="12.75">
      <c r="E844" s="314"/>
    </row>
    <row r="845" ht="12.75">
      <c r="E845" s="314"/>
    </row>
    <row r="846" ht="12.75">
      <c r="E846" s="314"/>
    </row>
    <row r="847" ht="12.75">
      <c r="E847" s="314"/>
    </row>
    <row r="848" ht="12.75">
      <c r="E848" s="314"/>
    </row>
    <row r="849" ht="12.75">
      <c r="E849" s="314"/>
    </row>
    <row r="850" ht="12.75">
      <c r="E850" s="314"/>
    </row>
    <row r="851" ht="12.75">
      <c r="E851" s="314"/>
    </row>
    <row r="852" ht="12.75">
      <c r="E852" s="314"/>
    </row>
    <row r="853" ht="12.75">
      <c r="E853" s="314"/>
    </row>
    <row r="854" ht="12.75">
      <c r="E854" s="314"/>
    </row>
    <row r="855" ht="12.75">
      <c r="E855" s="314"/>
    </row>
    <row r="856" ht="12.75">
      <c r="E856" s="314"/>
    </row>
    <row r="857" ht="12.75">
      <c r="E857" s="314"/>
    </row>
    <row r="858" ht="12.75">
      <c r="E858" s="314"/>
    </row>
    <row r="859" ht="12.75">
      <c r="E859" s="314"/>
    </row>
    <row r="860" ht="12.75">
      <c r="E860" s="314"/>
    </row>
    <row r="861" ht="12.75">
      <c r="E861" s="314"/>
    </row>
    <row r="862" ht="12.75">
      <c r="E862" s="314"/>
    </row>
    <row r="863" ht="12.75">
      <c r="E863" s="314"/>
    </row>
    <row r="864" ht="12.75">
      <c r="E864" s="314"/>
    </row>
    <row r="865" ht="12.75">
      <c r="E865" s="314"/>
    </row>
    <row r="866" ht="12.75">
      <c r="E866" s="314"/>
    </row>
    <row r="867" ht="12.75">
      <c r="E867" s="314"/>
    </row>
    <row r="868" ht="12.75">
      <c r="E868" s="314"/>
    </row>
    <row r="869" ht="12.75">
      <c r="E869" s="314"/>
    </row>
    <row r="870" ht="12.75">
      <c r="E870" s="314"/>
    </row>
    <row r="871" ht="12.75">
      <c r="E871" s="314"/>
    </row>
  </sheetData>
  <mergeCells count="10">
    <mergeCell ref="A536:D536"/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scale="94" r:id="rId1"/>
  <rowBreaks count="3" manualBreakCount="3">
    <brk id="203" max="6" man="1"/>
    <brk id="407" max="6" man="1"/>
    <brk id="47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03">
      <selection activeCell="L117" sqref="L117"/>
    </sheetView>
  </sheetViews>
  <sheetFormatPr defaultColWidth="9.00390625" defaultRowHeight="12.75"/>
  <cols>
    <col min="1" max="1" width="4.625" style="14" customWidth="1"/>
    <col min="2" max="2" width="6.125" style="14" customWidth="1"/>
    <col min="3" max="3" width="5.00390625" style="14" customWidth="1"/>
    <col min="4" max="4" width="45.00390625" style="14" customWidth="1"/>
    <col min="5" max="5" width="13.00390625" style="14" customWidth="1"/>
    <col min="6" max="6" width="11.00390625" style="14" customWidth="1"/>
    <col min="7" max="7" width="9.75390625" style="14" customWidth="1"/>
    <col min="8" max="16384" width="9.125" style="14" customWidth="1"/>
  </cols>
  <sheetData>
    <row r="1" spans="5:7" ht="12">
      <c r="E1" s="16"/>
      <c r="F1" s="15" t="s">
        <v>283</v>
      </c>
      <c r="G1" s="107"/>
    </row>
    <row r="2" spans="5:7" ht="12">
      <c r="E2" s="16"/>
      <c r="F2" s="15" t="s">
        <v>49</v>
      </c>
      <c r="G2" s="107"/>
    </row>
    <row r="3" spans="5:7" ht="12">
      <c r="E3" s="16"/>
      <c r="F3" s="15" t="s">
        <v>50</v>
      </c>
      <c r="G3" s="107"/>
    </row>
    <row r="4" spans="5:7" ht="12">
      <c r="E4" s="16"/>
      <c r="F4" s="15" t="s">
        <v>643</v>
      </c>
      <c r="G4" s="107"/>
    </row>
    <row r="6" spans="1:7" ht="12">
      <c r="A6" s="765" t="s">
        <v>284</v>
      </c>
      <c r="B6" s="765"/>
      <c r="C6" s="765"/>
      <c r="D6" s="765"/>
      <c r="E6" s="765"/>
      <c r="F6" s="765"/>
      <c r="G6" s="765"/>
    </row>
    <row r="7" spans="1:7" ht="12">
      <c r="A7" s="766" t="s">
        <v>285</v>
      </c>
      <c r="B7" s="766"/>
      <c r="C7" s="766"/>
      <c r="D7" s="766"/>
      <c r="E7" s="766"/>
      <c r="F7" s="766"/>
      <c r="G7" s="766"/>
    </row>
    <row r="8" spans="1:7" ht="12">
      <c r="A8" s="766" t="s">
        <v>493</v>
      </c>
      <c r="B8" s="766"/>
      <c r="C8" s="766"/>
      <c r="D8" s="766"/>
      <c r="E8" s="766"/>
      <c r="F8" s="766"/>
      <c r="G8" s="766"/>
    </row>
    <row r="9" spans="2:6" ht="6" customHeight="1">
      <c r="B9" s="18"/>
      <c r="C9" s="18"/>
      <c r="D9" s="18"/>
      <c r="E9" s="18"/>
      <c r="F9" s="18"/>
    </row>
    <row r="10" spans="5:7" ht="10.5" thickBot="1">
      <c r="E10" s="19"/>
      <c r="F10" s="19"/>
      <c r="G10" s="19" t="s">
        <v>114</v>
      </c>
    </row>
    <row r="11" spans="1:7" ht="11.25">
      <c r="A11" s="108"/>
      <c r="B11" s="109"/>
      <c r="C11" s="109"/>
      <c r="D11" s="110"/>
      <c r="E11" s="111" t="s">
        <v>286</v>
      </c>
      <c r="F11" s="111"/>
      <c r="G11" s="112" t="s">
        <v>286</v>
      </c>
    </row>
    <row r="12" spans="1:7" ht="11.25">
      <c r="A12" s="113" t="s">
        <v>63</v>
      </c>
      <c r="B12" s="114" t="s">
        <v>47</v>
      </c>
      <c r="C12" s="114" t="s">
        <v>0</v>
      </c>
      <c r="D12" s="114" t="s">
        <v>287</v>
      </c>
      <c r="E12" s="115" t="s">
        <v>288</v>
      </c>
      <c r="F12" s="115" t="s">
        <v>289</v>
      </c>
      <c r="G12" s="116" t="s">
        <v>290</v>
      </c>
    </row>
    <row r="13" spans="1:7" ht="11.25">
      <c r="A13" s="113"/>
      <c r="B13" s="114"/>
      <c r="C13" s="114"/>
      <c r="D13" s="117"/>
      <c r="E13" s="115" t="s">
        <v>291</v>
      </c>
      <c r="F13" s="117"/>
      <c r="G13" s="118" t="s">
        <v>292</v>
      </c>
    </row>
    <row r="14" spans="1:7" ht="12" thickBot="1">
      <c r="A14" s="119"/>
      <c r="B14" s="120"/>
      <c r="C14" s="121"/>
      <c r="D14" s="122"/>
      <c r="E14" s="122" t="s">
        <v>293</v>
      </c>
      <c r="F14" s="122"/>
      <c r="G14" s="123" t="s">
        <v>294</v>
      </c>
    </row>
    <row r="15" spans="1:7" s="92" customFormat="1" ht="10.5" customHeight="1" thickBot="1">
      <c r="A15" s="124">
        <v>1</v>
      </c>
      <c r="B15" s="125">
        <v>2</v>
      </c>
      <c r="C15" s="125">
        <v>3</v>
      </c>
      <c r="D15" s="125">
        <v>4</v>
      </c>
      <c r="E15" s="126">
        <v>5</v>
      </c>
      <c r="F15" s="127">
        <v>6</v>
      </c>
      <c r="G15" s="128">
        <v>7</v>
      </c>
    </row>
    <row r="16" spans="1:7" ht="4.5" customHeight="1">
      <c r="A16" s="23"/>
      <c r="B16" s="39"/>
      <c r="C16" s="39"/>
      <c r="D16" s="39"/>
      <c r="E16" s="39"/>
      <c r="F16" s="51"/>
      <c r="G16" s="69"/>
    </row>
    <row r="17" spans="1:7" ht="13.5" thickBot="1">
      <c r="A17" s="23"/>
      <c r="B17" s="39"/>
      <c r="C17" s="39"/>
      <c r="D17" s="49" t="s">
        <v>295</v>
      </c>
      <c r="E17" s="129">
        <f>E19+E24+E34+E56+E87+E108+E82+E92</f>
        <v>3705081</v>
      </c>
      <c r="F17" s="129">
        <f>F19+F24+F34+F56+F87+F108+F82+F92</f>
        <v>3705081</v>
      </c>
      <c r="G17" s="73">
        <f>G27</f>
        <v>238000</v>
      </c>
    </row>
    <row r="18" spans="1:7" ht="12.75">
      <c r="A18" s="23"/>
      <c r="B18" s="39"/>
      <c r="C18" s="39"/>
      <c r="D18" s="130" t="s">
        <v>68</v>
      </c>
      <c r="E18" s="131"/>
      <c r="F18" s="132"/>
      <c r="G18" s="68"/>
    </row>
    <row r="19" spans="1:7" ht="13.5" thickBot="1">
      <c r="A19" s="41" t="s">
        <v>1</v>
      </c>
      <c r="B19" s="42"/>
      <c r="C19" s="42"/>
      <c r="D19" s="133" t="s">
        <v>2</v>
      </c>
      <c r="E19" s="129">
        <f>E20</f>
        <v>50000</v>
      </c>
      <c r="F19" s="129">
        <f>F20</f>
        <v>50000</v>
      </c>
      <c r="G19" s="68"/>
    </row>
    <row r="20" spans="1:7" ht="12.75">
      <c r="A20" s="43"/>
      <c r="B20" s="70" t="s">
        <v>3</v>
      </c>
      <c r="C20" s="86"/>
      <c r="D20" s="134" t="s">
        <v>296</v>
      </c>
      <c r="E20" s="135">
        <f>E21</f>
        <v>50000</v>
      </c>
      <c r="F20" s="135">
        <f>SUM(F21:F22)</f>
        <v>50000</v>
      </c>
      <c r="G20" s="68"/>
    </row>
    <row r="21" spans="1:7" ht="12.75">
      <c r="A21" s="43"/>
      <c r="B21" s="39"/>
      <c r="C21" s="40" t="s">
        <v>100</v>
      </c>
      <c r="D21" s="10" t="s">
        <v>297</v>
      </c>
      <c r="E21" s="131">
        <f>'Dochody-ukł.wykon.'!G14</f>
        <v>50000</v>
      </c>
      <c r="F21" s="132"/>
      <c r="G21" s="68"/>
    </row>
    <row r="22" spans="1:7" ht="12.75">
      <c r="A22" s="43"/>
      <c r="B22" s="39"/>
      <c r="C22" s="40" t="s">
        <v>208</v>
      </c>
      <c r="D22" s="10" t="s">
        <v>209</v>
      </c>
      <c r="E22" s="131"/>
      <c r="F22" s="132">
        <f>'WYDATKI ukł.wyk.'!G17</f>
        <v>50000</v>
      </c>
      <c r="G22" s="68"/>
    </row>
    <row r="23" spans="1:7" ht="12.75">
      <c r="A23" s="23"/>
      <c r="B23" s="39"/>
      <c r="C23" s="39"/>
      <c r="D23" s="10"/>
      <c r="E23" s="131"/>
      <c r="F23" s="132"/>
      <c r="G23" s="68"/>
    </row>
    <row r="24" spans="1:7" ht="13.5" thickBot="1">
      <c r="A24" s="46">
        <v>700</v>
      </c>
      <c r="B24" s="42"/>
      <c r="C24" s="42"/>
      <c r="D24" s="105" t="s">
        <v>5</v>
      </c>
      <c r="E24" s="129">
        <f>E25</f>
        <v>86000</v>
      </c>
      <c r="F24" s="129">
        <f>F25</f>
        <v>86000</v>
      </c>
      <c r="G24" s="73">
        <f>G25</f>
        <v>238000</v>
      </c>
    </row>
    <row r="25" spans="1:7" ht="12.75">
      <c r="A25" s="23"/>
      <c r="B25" s="83">
        <v>70005</v>
      </c>
      <c r="C25" s="86"/>
      <c r="D25" s="87" t="s">
        <v>7</v>
      </c>
      <c r="E25" s="135">
        <f>E26</f>
        <v>86000</v>
      </c>
      <c r="F25" s="135">
        <f>SUM(F27:F32)</f>
        <v>86000</v>
      </c>
      <c r="G25" s="72">
        <f>G27</f>
        <v>238000</v>
      </c>
    </row>
    <row r="26" spans="1:7" ht="12.75">
      <c r="A26" s="23"/>
      <c r="B26" s="39"/>
      <c r="C26" s="40" t="s">
        <v>100</v>
      </c>
      <c r="D26" s="10" t="s">
        <v>297</v>
      </c>
      <c r="E26" s="131">
        <f>'Dochody-ukł.wykon.'!G42</f>
        <v>86000</v>
      </c>
      <c r="F26" s="132"/>
      <c r="G26" s="68"/>
    </row>
    <row r="27" spans="1:7" ht="12.75">
      <c r="A27" s="23"/>
      <c r="B27" s="39"/>
      <c r="C27" s="40" t="s">
        <v>454</v>
      </c>
      <c r="D27" s="10" t="s">
        <v>298</v>
      </c>
      <c r="E27" s="131"/>
      <c r="F27" s="132"/>
      <c r="G27" s="74">
        <v>238000</v>
      </c>
    </row>
    <row r="28" spans="1:7" ht="12.75">
      <c r="A28" s="23"/>
      <c r="B28" s="39"/>
      <c r="C28" s="40" t="s">
        <v>229</v>
      </c>
      <c r="D28" s="10" t="s">
        <v>217</v>
      </c>
      <c r="E28" s="131"/>
      <c r="F28" s="132">
        <v>213</v>
      </c>
      <c r="G28" s="74"/>
    </row>
    <row r="29" spans="1:7" ht="12.75">
      <c r="A29" s="23"/>
      <c r="B29" s="39"/>
      <c r="C29" s="40" t="s">
        <v>279</v>
      </c>
      <c r="D29" s="10" t="s">
        <v>219</v>
      </c>
      <c r="E29" s="131"/>
      <c r="F29" s="132">
        <v>24662</v>
      </c>
      <c r="G29" s="74"/>
    </row>
    <row r="30" spans="1:7" ht="12.75">
      <c r="A30" s="23"/>
      <c r="B30" s="39"/>
      <c r="C30" s="40" t="s">
        <v>208</v>
      </c>
      <c r="D30" s="10" t="s">
        <v>209</v>
      </c>
      <c r="E30" s="131"/>
      <c r="F30" s="132">
        <v>56619</v>
      </c>
      <c r="G30" s="74"/>
    </row>
    <row r="31" spans="1:7" ht="12.75">
      <c r="A31" s="23"/>
      <c r="B31" s="39"/>
      <c r="C31" s="40" t="s">
        <v>230</v>
      </c>
      <c r="D31" s="10" t="s">
        <v>224</v>
      </c>
      <c r="E31" s="131"/>
      <c r="F31" s="132">
        <v>3784</v>
      </c>
      <c r="G31" s="74"/>
    </row>
    <row r="32" spans="1:7" ht="12.75">
      <c r="A32" s="23"/>
      <c r="B32" s="39"/>
      <c r="C32" s="40" t="s">
        <v>231</v>
      </c>
      <c r="D32" s="10" t="s">
        <v>299</v>
      </c>
      <c r="E32" s="131"/>
      <c r="F32" s="132">
        <v>722</v>
      </c>
      <c r="G32" s="74"/>
    </row>
    <row r="33" spans="1:7" ht="12.75">
      <c r="A33" s="23"/>
      <c r="B33" s="39"/>
      <c r="C33" s="40"/>
      <c r="D33" s="10"/>
      <c r="E33" s="131"/>
      <c r="F33" s="132"/>
      <c r="G33" s="68"/>
    </row>
    <row r="34" spans="1:7" ht="13.5" thickBot="1">
      <c r="A34" s="46">
        <v>710</v>
      </c>
      <c r="B34" s="42"/>
      <c r="C34" s="47"/>
      <c r="D34" s="105" t="s">
        <v>9</v>
      </c>
      <c r="E34" s="129">
        <f>E35+E38+E41</f>
        <v>203256</v>
      </c>
      <c r="F34" s="129">
        <f>F35+F38+F41</f>
        <v>203256</v>
      </c>
      <c r="G34" s="69"/>
    </row>
    <row r="35" spans="1:7" ht="12.75">
      <c r="A35" s="23"/>
      <c r="B35" s="83">
        <v>71013</v>
      </c>
      <c r="C35" s="97"/>
      <c r="D35" s="87" t="s">
        <v>78</v>
      </c>
      <c r="E35" s="135">
        <f>E36</f>
        <v>40000</v>
      </c>
      <c r="F35" s="135">
        <f>SUM(F37)</f>
        <v>40000</v>
      </c>
      <c r="G35" s="69"/>
    </row>
    <row r="36" spans="1:7" ht="12.75">
      <c r="A36" s="23"/>
      <c r="B36" s="39"/>
      <c r="C36" s="40" t="s">
        <v>100</v>
      </c>
      <c r="D36" s="10" t="s">
        <v>297</v>
      </c>
      <c r="E36" s="131">
        <f>'Dochody-ukł.wykon.'!G50</f>
        <v>40000</v>
      </c>
      <c r="F36" s="132"/>
      <c r="G36" s="69"/>
    </row>
    <row r="37" spans="1:7" ht="12.75">
      <c r="A37" s="23"/>
      <c r="B37" s="39"/>
      <c r="C37" s="40" t="s">
        <v>208</v>
      </c>
      <c r="D37" s="10" t="s">
        <v>209</v>
      </c>
      <c r="E37" s="131"/>
      <c r="F37" s="132">
        <f>'WYDATKI ukł.wyk.'!G72</f>
        <v>40000</v>
      </c>
      <c r="G37" s="69"/>
    </row>
    <row r="38" spans="1:7" ht="12.75">
      <c r="A38" s="23"/>
      <c r="B38" s="83">
        <v>71014</v>
      </c>
      <c r="C38" s="97"/>
      <c r="D38" s="87" t="s">
        <v>12</v>
      </c>
      <c r="E38" s="135">
        <f>E39</f>
        <v>6000</v>
      </c>
      <c r="F38" s="135">
        <f>SUM(F40)</f>
        <v>6000</v>
      </c>
      <c r="G38" s="69"/>
    </row>
    <row r="39" spans="1:7" ht="12.75">
      <c r="A39" s="23"/>
      <c r="B39" s="39"/>
      <c r="C39" s="40" t="s">
        <v>100</v>
      </c>
      <c r="D39" s="10" t="s">
        <v>297</v>
      </c>
      <c r="E39" s="131">
        <f>'Dochody-ukł.wykon.'!G54</f>
        <v>6000</v>
      </c>
      <c r="F39" s="132"/>
      <c r="G39" s="69"/>
    </row>
    <row r="40" spans="1:7" ht="12.75">
      <c r="A40" s="23"/>
      <c r="B40" s="39"/>
      <c r="C40" s="40" t="s">
        <v>208</v>
      </c>
      <c r="D40" s="10" t="s">
        <v>209</v>
      </c>
      <c r="E40" s="131"/>
      <c r="F40" s="132">
        <f>'WYDATKI ukł.wyk.'!G75</f>
        <v>6000</v>
      </c>
      <c r="G40" s="69"/>
    </row>
    <row r="41" spans="1:7" ht="12.75">
      <c r="A41" s="23"/>
      <c r="B41" s="83">
        <v>71015</v>
      </c>
      <c r="C41" s="86"/>
      <c r="D41" s="87" t="s">
        <v>14</v>
      </c>
      <c r="E41" s="135">
        <f>SUM(E42:E43)</f>
        <v>157256</v>
      </c>
      <c r="F41" s="135">
        <f>SUM(F44:F54)</f>
        <v>157256</v>
      </c>
      <c r="G41" s="69"/>
    </row>
    <row r="42" spans="1:7" ht="12.75">
      <c r="A42" s="23"/>
      <c r="B42" s="39"/>
      <c r="C42" s="179">
        <v>2110</v>
      </c>
      <c r="D42" s="10" t="s">
        <v>297</v>
      </c>
      <c r="E42" s="131">
        <f>'Dochody-ukł.wykon.'!G58</f>
        <v>152756</v>
      </c>
      <c r="F42" s="132"/>
      <c r="G42" s="69"/>
    </row>
    <row r="43" spans="1:7" ht="12.75">
      <c r="A43" s="23"/>
      <c r="B43" s="39"/>
      <c r="C43" s="8">
        <v>6410</v>
      </c>
      <c r="D43" s="10" t="s">
        <v>455</v>
      </c>
      <c r="E43" s="131">
        <f>'Dochody-ukł.wykon.'!G60</f>
        <v>4500</v>
      </c>
      <c r="F43" s="132"/>
      <c r="G43" s="69"/>
    </row>
    <row r="44" spans="1:7" ht="12.75">
      <c r="A44" s="23"/>
      <c r="B44" s="39"/>
      <c r="C44" s="51">
        <v>4010</v>
      </c>
      <c r="D44" s="1" t="s">
        <v>213</v>
      </c>
      <c r="E44" s="131"/>
      <c r="F44" s="132">
        <f>'WYDATKI ukł.wyk.'!G78</f>
        <v>102076</v>
      </c>
      <c r="G44" s="69"/>
    </row>
    <row r="45" spans="1:7" ht="12.75">
      <c r="A45" s="23"/>
      <c r="B45" s="39"/>
      <c r="C45" s="51">
        <v>4040</v>
      </c>
      <c r="D45" s="1" t="s">
        <v>214</v>
      </c>
      <c r="E45" s="131"/>
      <c r="F45" s="132">
        <f>'WYDATKI ukł.wyk.'!G79</f>
        <v>7787</v>
      </c>
      <c r="G45" s="69"/>
    </row>
    <row r="46" spans="1:7" ht="12.75">
      <c r="A46" s="23"/>
      <c r="B46" s="39"/>
      <c r="C46" s="51">
        <v>4110</v>
      </c>
      <c r="D46" s="1" t="s">
        <v>215</v>
      </c>
      <c r="E46" s="131"/>
      <c r="F46" s="132">
        <f>'WYDATKI ukł.wyk.'!G80</f>
        <v>19205</v>
      </c>
      <c r="G46" s="69"/>
    </row>
    <row r="47" spans="1:7" ht="12.75">
      <c r="A47" s="23"/>
      <c r="B47" s="39"/>
      <c r="C47" s="51">
        <v>4120</v>
      </c>
      <c r="D47" s="1" t="s">
        <v>216</v>
      </c>
      <c r="E47" s="131"/>
      <c r="F47" s="132">
        <f>'WYDATKI ukł.wyk.'!G81</f>
        <v>2587</v>
      </c>
      <c r="G47" s="69"/>
    </row>
    <row r="48" spans="1:7" ht="12.75">
      <c r="A48" s="23"/>
      <c r="B48" s="39"/>
      <c r="C48" s="51">
        <v>4170</v>
      </c>
      <c r="D48" s="1" t="s">
        <v>605</v>
      </c>
      <c r="E48" s="131"/>
      <c r="F48" s="132">
        <f>'WYDATKI ukł.wyk.'!G82</f>
        <v>700</v>
      </c>
      <c r="G48" s="69"/>
    </row>
    <row r="49" spans="1:7" ht="12.75">
      <c r="A49" s="23"/>
      <c r="B49" s="39"/>
      <c r="C49" s="51">
        <v>4210</v>
      </c>
      <c r="D49" s="1" t="s">
        <v>217</v>
      </c>
      <c r="E49" s="131"/>
      <c r="F49" s="132">
        <f>'WYDATKI ukł.wyk.'!G83</f>
        <v>5962</v>
      </c>
      <c r="G49" s="69"/>
    </row>
    <row r="50" spans="1:7" ht="12.75">
      <c r="A50" s="23"/>
      <c r="B50" s="39"/>
      <c r="C50" s="51">
        <v>4280</v>
      </c>
      <c r="D50" s="1" t="s">
        <v>220</v>
      </c>
      <c r="E50" s="131"/>
      <c r="F50" s="132">
        <f>'WYDATKI ukł.wyk.'!G84</f>
        <v>249</v>
      </c>
      <c r="G50" s="69"/>
    </row>
    <row r="51" spans="1:7" ht="12.75">
      <c r="A51" s="23"/>
      <c r="B51" s="39"/>
      <c r="C51" s="90" t="s">
        <v>208</v>
      </c>
      <c r="D51" s="1" t="s">
        <v>209</v>
      </c>
      <c r="E51" s="131"/>
      <c r="F51" s="132">
        <f>'WYDATKI ukł.wyk.'!G85</f>
        <v>9617</v>
      </c>
      <c r="G51" s="69"/>
    </row>
    <row r="52" spans="1:7" ht="12.75">
      <c r="A52" s="23"/>
      <c r="B52" s="39"/>
      <c r="C52" s="90" t="s">
        <v>650</v>
      </c>
      <c r="D52" s="1" t="s">
        <v>222</v>
      </c>
      <c r="E52" s="131"/>
      <c r="F52" s="132">
        <f>'WYDATKI ukł.wyk.'!G86</f>
        <v>1365</v>
      </c>
      <c r="G52" s="69"/>
    </row>
    <row r="53" spans="1:7" ht="12.75">
      <c r="A53" s="23"/>
      <c r="B53" s="39"/>
      <c r="C53" s="90" t="s">
        <v>302</v>
      </c>
      <c r="D53" s="1" t="s">
        <v>303</v>
      </c>
      <c r="E53" s="131"/>
      <c r="F53" s="132">
        <f>'WYDATKI ukł.wyk.'!G87</f>
        <v>3208</v>
      </c>
      <c r="G53" s="69"/>
    </row>
    <row r="54" spans="1:7" ht="12.75">
      <c r="A54" s="23"/>
      <c r="B54" s="39"/>
      <c r="C54" s="50" t="s">
        <v>453</v>
      </c>
      <c r="D54" s="10" t="s">
        <v>276</v>
      </c>
      <c r="E54" s="131"/>
      <c r="F54" s="132">
        <f>'WYDATKI ukł.wyk.'!G88</f>
        <v>4500</v>
      </c>
      <c r="G54" s="69"/>
    </row>
    <row r="55" spans="1:7" ht="5.25" customHeight="1">
      <c r="A55" s="43"/>
      <c r="B55" s="44"/>
      <c r="C55" s="39"/>
      <c r="D55" s="10"/>
      <c r="E55" s="131"/>
      <c r="F55" s="132"/>
      <c r="G55" s="69"/>
    </row>
    <row r="56" spans="1:7" ht="13.5" thickBot="1">
      <c r="A56" s="46">
        <v>750</v>
      </c>
      <c r="B56" s="42"/>
      <c r="C56" s="42"/>
      <c r="D56" s="105" t="s">
        <v>15</v>
      </c>
      <c r="E56" s="129">
        <f>E57+E72</f>
        <v>165975</v>
      </c>
      <c r="F56" s="129">
        <f>F57+F72</f>
        <v>165975</v>
      </c>
      <c r="G56" s="69"/>
    </row>
    <row r="57" spans="1:7" ht="12.75">
      <c r="A57" s="23"/>
      <c r="B57" s="83">
        <v>75011</v>
      </c>
      <c r="C57" s="86"/>
      <c r="D57" s="87" t="s">
        <v>16</v>
      </c>
      <c r="E57" s="135">
        <f>E58</f>
        <v>149975</v>
      </c>
      <c r="F57" s="135">
        <f>SUM(F59:F71)</f>
        <v>149975</v>
      </c>
      <c r="G57" s="69"/>
    </row>
    <row r="58" spans="1:7" ht="12.75">
      <c r="A58" s="23"/>
      <c r="B58" s="39"/>
      <c r="C58" s="39">
        <v>2110</v>
      </c>
      <c r="D58" s="10" t="s">
        <v>297</v>
      </c>
      <c r="E58" s="131">
        <v>149975</v>
      </c>
      <c r="F58" s="132"/>
      <c r="G58" s="69"/>
    </row>
    <row r="59" spans="1:7" ht="12.75">
      <c r="A59" s="23"/>
      <c r="B59" s="39"/>
      <c r="C59" s="51">
        <v>3020</v>
      </c>
      <c r="D59" s="5" t="s">
        <v>262</v>
      </c>
      <c r="E59" s="136"/>
      <c r="F59" s="498">
        <f>'WYDATKI ukł.wyk.'!G92</f>
        <v>0</v>
      </c>
      <c r="G59" s="69"/>
    </row>
    <row r="60" spans="1:7" ht="12.75">
      <c r="A60" s="23"/>
      <c r="B60" s="39"/>
      <c r="C60" s="51">
        <v>4010</v>
      </c>
      <c r="D60" s="1" t="s">
        <v>213</v>
      </c>
      <c r="E60" s="131"/>
      <c r="F60" s="498">
        <f>83049-5686</f>
        <v>77363</v>
      </c>
      <c r="G60" s="69"/>
    </row>
    <row r="61" spans="1:7" ht="12.75">
      <c r="A61" s="23"/>
      <c r="B61" s="39"/>
      <c r="C61" s="51">
        <v>4040</v>
      </c>
      <c r="D61" s="1" t="s">
        <v>214</v>
      </c>
      <c r="E61" s="131"/>
      <c r="F61" s="498">
        <f>'WYDATKI ukł.wyk.'!G94</f>
        <v>9243</v>
      </c>
      <c r="G61" s="69"/>
    </row>
    <row r="62" spans="1:7" ht="12.75">
      <c r="A62" s="23"/>
      <c r="B62" s="39"/>
      <c r="C62" s="51">
        <v>4110</v>
      </c>
      <c r="D62" s="1" t="s">
        <v>215</v>
      </c>
      <c r="E62" s="131"/>
      <c r="F62" s="498">
        <v>16512</v>
      </c>
      <c r="G62" s="69"/>
    </row>
    <row r="63" spans="1:7" ht="12.75">
      <c r="A63" s="23"/>
      <c r="B63" s="39"/>
      <c r="C63" s="51">
        <v>4120</v>
      </c>
      <c r="D63" s="1" t="s">
        <v>300</v>
      </c>
      <c r="E63" s="131"/>
      <c r="F63" s="498">
        <v>2348</v>
      </c>
      <c r="G63" s="69"/>
    </row>
    <row r="64" spans="1:7" ht="12.75">
      <c r="A64" s="23"/>
      <c r="B64" s="39"/>
      <c r="C64" s="51">
        <v>4170</v>
      </c>
      <c r="D64" s="1" t="s">
        <v>605</v>
      </c>
      <c r="E64" s="131"/>
      <c r="F64" s="498">
        <f>'WYDATKI ukł.wyk.'!G97</f>
        <v>5491</v>
      </c>
      <c r="G64" s="69"/>
    </row>
    <row r="65" spans="1:7" ht="12.75">
      <c r="A65" s="23"/>
      <c r="B65" s="39"/>
      <c r="C65" s="51">
        <v>4210</v>
      </c>
      <c r="D65" s="1" t="s">
        <v>217</v>
      </c>
      <c r="E65" s="131"/>
      <c r="F65" s="498">
        <f>'WYDATKI ukł.wyk.'!G98</f>
        <v>5472</v>
      </c>
      <c r="G65" s="69"/>
    </row>
    <row r="66" spans="1:7" ht="12.75">
      <c r="A66" s="23"/>
      <c r="B66" s="39"/>
      <c r="C66" s="51">
        <v>4260</v>
      </c>
      <c r="D66" s="1" t="s">
        <v>218</v>
      </c>
      <c r="E66" s="131"/>
      <c r="F66" s="498">
        <f>'WYDATKI ukł.wyk.'!G99</f>
        <v>9309</v>
      </c>
      <c r="G66" s="69"/>
    </row>
    <row r="67" spans="1:7" ht="12.75">
      <c r="A67" s="23"/>
      <c r="B67" s="39"/>
      <c r="C67" s="51">
        <v>4270</v>
      </c>
      <c r="D67" s="1" t="s">
        <v>219</v>
      </c>
      <c r="E67" s="131"/>
      <c r="F67" s="498">
        <f>'WYDATKI ukł.wyk.'!G100</f>
        <v>1000</v>
      </c>
      <c r="G67" s="69"/>
    </row>
    <row r="68" spans="1:7" ht="12.75">
      <c r="A68" s="23"/>
      <c r="B68" s="39"/>
      <c r="C68" s="51">
        <v>4280</v>
      </c>
      <c r="D68" s="1" t="s">
        <v>220</v>
      </c>
      <c r="E68" s="131"/>
      <c r="F68" s="498">
        <f>'WYDATKI ukł.wyk.'!G101</f>
        <v>88</v>
      </c>
      <c r="G68" s="69"/>
    </row>
    <row r="69" spans="1:9" ht="12.75">
      <c r="A69" s="23"/>
      <c r="B69" s="39"/>
      <c r="C69" s="90" t="s">
        <v>208</v>
      </c>
      <c r="D69" s="1" t="s">
        <v>209</v>
      </c>
      <c r="E69" s="131"/>
      <c r="F69" s="498">
        <f>12389+5686</f>
        <v>18075</v>
      </c>
      <c r="G69" s="69"/>
      <c r="I69" s="30"/>
    </row>
    <row r="70" spans="1:7" ht="12.75">
      <c r="A70" s="23"/>
      <c r="B70" s="39"/>
      <c r="C70" s="90" t="s">
        <v>301</v>
      </c>
      <c r="D70" s="1" t="s">
        <v>221</v>
      </c>
      <c r="E70" s="131"/>
      <c r="F70" s="498">
        <f>'WYDATKI ukł.wyk.'!G103</f>
        <v>858</v>
      </c>
      <c r="G70" s="69"/>
    </row>
    <row r="71" spans="1:7" ht="12.75">
      <c r="A71" s="23"/>
      <c r="B71" s="39"/>
      <c r="C71" s="90" t="s">
        <v>302</v>
      </c>
      <c r="D71" s="1" t="s">
        <v>303</v>
      </c>
      <c r="E71" s="131"/>
      <c r="F71" s="498">
        <f>'WYDATKI ukł.wyk.'!G104</f>
        <v>4216</v>
      </c>
      <c r="G71" s="69"/>
    </row>
    <row r="72" spans="1:7" ht="12.75">
      <c r="A72" s="23"/>
      <c r="B72" s="83">
        <v>75045</v>
      </c>
      <c r="C72" s="86"/>
      <c r="D72" s="87" t="s">
        <v>17</v>
      </c>
      <c r="E72" s="135">
        <f>E73</f>
        <v>16000</v>
      </c>
      <c r="F72" s="135">
        <f>SUM(F74:F80)</f>
        <v>16000</v>
      </c>
      <c r="G72" s="69"/>
    </row>
    <row r="73" spans="1:7" ht="12.75">
      <c r="A73" s="23"/>
      <c r="B73" s="39"/>
      <c r="C73" s="39">
        <v>2110</v>
      </c>
      <c r="D73" s="10" t="s">
        <v>297</v>
      </c>
      <c r="E73" s="131">
        <f>'Dochody-ukł.wykon.'!G77</f>
        <v>16000</v>
      </c>
      <c r="F73" s="132"/>
      <c r="G73" s="69"/>
    </row>
    <row r="74" spans="1:7" ht="12.75">
      <c r="A74" s="23"/>
      <c r="B74" s="39"/>
      <c r="C74" s="90" t="s">
        <v>304</v>
      </c>
      <c r="D74" s="1" t="s">
        <v>235</v>
      </c>
      <c r="E74" s="131"/>
      <c r="F74" s="132">
        <f>'WYDATKI ukł.wyk.'!G135</f>
        <v>1890</v>
      </c>
      <c r="G74" s="69"/>
    </row>
    <row r="75" spans="1:7" ht="12.75">
      <c r="A75" s="23"/>
      <c r="B75" s="39"/>
      <c r="C75" s="51">
        <v>4110</v>
      </c>
      <c r="D75" s="1" t="s">
        <v>215</v>
      </c>
      <c r="E75" s="131"/>
      <c r="F75" s="132">
        <f>'WYDATKI ukł.wyk.'!G136</f>
        <v>1137</v>
      </c>
      <c r="G75" s="69"/>
    </row>
    <row r="76" spans="1:7" ht="12.75">
      <c r="A76" s="23"/>
      <c r="B76" s="39"/>
      <c r="C76" s="51">
        <v>4120</v>
      </c>
      <c r="D76" s="1" t="s">
        <v>300</v>
      </c>
      <c r="E76" s="131"/>
      <c r="F76" s="132">
        <f>'WYDATKI ukł.wyk.'!G137</f>
        <v>162</v>
      </c>
      <c r="G76" s="69"/>
    </row>
    <row r="77" spans="1:7" ht="12.75">
      <c r="A77" s="23"/>
      <c r="B77" s="39"/>
      <c r="C77" s="51">
        <v>4170</v>
      </c>
      <c r="D77" s="1" t="s">
        <v>605</v>
      </c>
      <c r="E77" s="131"/>
      <c r="F77" s="132">
        <f>'WYDATKI ukł.wyk.'!G138</f>
        <v>8350</v>
      </c>
      <c r="G77" s="69"/>
    </row>
    <row r="78" spans="1:7" ht="12.75">
      <c r="A78" s="23"/>
      <c r="B78" s="39"/>
      <c r="C78" s="51">
        <v>4210</v>
      </c>
      <c r="D78" s="1" t="s">
        <v>217</v>
      </c>
      <c r="E78" s="131"/>
      <c r="F78" s="132">
        <f>'WYDATKI ukł.wyk.'!G139</f>
        <v>1380</v>
      </c>
      <c r="G78" s="69"/>
    </row>
    <row r="79" spans="1:7" ht="12.75">
      <c r="A79" s="23"/>
      <c r="B79" s="39"/>
      <c r="C79" s="50" t="s">
        <v>208</v>
      </c>
      <c r="D79" s="10" t="s">
        <v>209</v>
      </c>
      <c r="E79" s="131"/>
      <c r="F79" s="132">
        <f>'WYDATKI ukł.wyk.'!G140</f>
        <v>3081</v>
      </c>
      <c r="G79" s="69"/>
    </row>
    <row r="80" spans="1:7" ht="12.75">
      <c r="A80" s="23"/>
      <c r="B80" s="39"/>
      <c r="C80" s="50" t="s">
        <v>301</v>
      </c>
      <c r="D80" s="10" t="s">
        <v>221</v>
      </c>
      <c r="E80" s="131"/>
      <c r="F80" s="132">
        <f>'WYDATKI ukł.wyk.'!G141</f>
        <v>0</v>
      </c>
      <c r="G80" s="69"/>
    </row>
    <row r="81" spans="1:7" ht="12.75">
      <c r="A81" s="23"/>
      <c r="B81" s="39"/>
      <c r="C81" s="50"/>
      <c r="D81" s="10"/>
      <c r="E81" s="131"/>
      <c r="F81" s="132"/>
      <c r="G81" s="69"/>
    </row>
    <row r="82" spans="1:7" ht="13.5" thickBot="1">
      <c r="A82" s="46">
        <v>754</v>
      </c>
      <c r="B82" s="42"/>
      <c r="C82" s="64"/>
      <c r="D82" s="105" t="s">
        <v>237</v>
      </c>
      <c r="E82" s="324">
        <f>E83</f>
        <v>23000</v>
      </c>
      <c r="F82" s="324">
        <f>F83</f>
        <v>23000</v>
      </c>
      <c r="G82" s="69"/>
    </row>
    <row r="83" spans="1:7" ht="12.75">
      <c r="A83" s="23"/>
      <c r="B83" s="286">
        <v>75414</v>
      </c>
      <c r="C83" s="325"/>
      <c r="D83" s="326" t="s">
        <v>545</v>
      </c>
      <c r="E83" s="327">
        <f>E84</f>
        <v>23000</v>
      </c>
      <c r="F83" s="327">
        <f>F85</f>
        <v>23000</v>
      </c>
      <c r="G83" s="69"/>
    </row>
    <row r="84" spans="1:7" ht="12.75">
      <c r="A84" s="23"/>
      <c r="B84" s="39"/>
      <c r="C84" s="8">
        <v>6410</v>
      </c>
      <c r="D84" s="10" t="s">
        <v>455</v>
      </c>
      <c r="E84" s="131">
        <f>'Dochody-ukł.wykon.'!G86</f>
        <v>23000</v>
      </c>
      <c r="F84" s="132"/>
      <c r="G84" s="69"/>
    </row>
    <row r="85" spans="1:7" ht="12.75">
      <c r="A85" s="23"/>
      <c r="B85" s="39"/>
      <c r="C85" s="50" t="s">
        <v>453</v>
      </c>
      <c r="D85" s="10" t="s">
        <v>276</v>
      </c>
      <c r="E85" s="131"/>
      <c r="F85" s="132">
        <f>'WYDATKI ukł.wyk.'!G157</f>
        <v>23000</v>
      </c>
      <c r="G85" s="69"/>
    </row>
    <row r="86" spans="1:7" ht="12.75">
      <c r="A86" s="23"/>
      <c r="B86" s="39"/>
      <c r="C86" s="50"/>
      <c r="D86" s="10"/>
      <c r="E86" s="131"/>
      <c r="F86" s="132"/>
      <c r="G86" s="69"/>
    </row>
    <row r="87" spans="1:7" ht="13.5" thickBot="1">
      <c r="A87" s="46">
        <v>851</v>
      </c>
      <c r="B87" s="49"/>
      <c r="C87" s="42"/>
      <c r="D87" s="7" t="s">
        <v>18</v>
      </c>
      <c r="E87" s="129">
        <f>E88</f>
        <v>2778850</v>
      </c>
      <c r="F87" s="129">
        <f>F88</f>
        <v>2778850</v>
      </c>
      <c r="G87" s="69"/>
    </row>
    <row r="88" spans="1:7" ht="12.75">
      <c r="A88" s="23"/>
      <c r="B88" s="83">
        <v>85156</v>
      </c>
      <c r="C88" s="86"/>
      <c r="D88" s="66" t="s">
        <v>305</v>
      </c>
      <c r="E88" s="135">
        <f>E89</f>
        <v>2778850</v>
      </c>
      <c r="F88" s="135">
        <f>SUM(F90)</f>
        <v>2778850</v>
      </c>
      <c r="G88" s="69"/>
    </row>
    <row r="89" spans="1:7" ht="12.75">
      <c r="A89" s="23"/>
      <c r="B89" s="8"/>
      <c r="C89" s="39">
        <v>2110</v>
      </c>
      <c r="D89" s="10" t="s">
        <v>297</v>
      </c>
      <c r="E89" s="131">
        <f>'Dochody-ukł.wykon.'!G162</f>
        <v>2778850</v>
      </c>
      <c r="F89" s="132"/>
      <c r="G89" s="69"/>
    </row>
    <row r="90" spans="1:7" ht="12.75">
      <c r="A90" s="23"/>
      <c r="B90" s="39"/>
      <c r="C90" s="39">
        <v>4130</v>
      </c>
      <c r="D90" s="10" t="s">
        <v>250</v>
      </c>
      <c r="E90" s="131"/>
      <c r="F90" s="132">
        <f>'WYDATKI ukł.wyk.'!G293</f>
        <v>2778850</v>
      </c>
      <c r="G90" s="69"/>
    </row>
    <row r="91" spans="1:7" ht="12.75">
      <c r="A91" s="23"/>
      <c r="B91" s="39"/>
      <c r="C91" s="39"/>
      <c r="D91" s="10"/>
      <c r="E91" s="131"/>
      <c r="F91" s="132"/>
      <c r="G91" s="69"/>
    </row>
    <row r="92" spans="1:7" ht="13.5" thickBot="1">
      <c r="A92" s="46">
        <v>852</v>
      </c>
      <c r="B92" s="42"/>
      <c r="C92" s="42"/>
      <c r="D92" s="105" t="s">
        <v>277</v>
      </c>
      <c r="E92" s="324">
        <f>E93</f>
        <v>180000</v>
      </c>
      <c r="F92" s="324">
        <f>F93</f>
        <v>180000</v>
      </c>
      <c r="G92" s="69"/>
    </row>
    <row r="93" spans="1:7" ht="12.75">
      <c r="A93" s="23"/>
      <c r="B93" s="286">
        <v>85203</v>
      </c>
      <c r="C93" s="323"/>
      <c r="D93" s="287" t="s">
        <v>506</v>
      </c>
      <c r="E93" s="327">
        <f>E94</f>
        <v>180000</v>
      </c>
      <c r="F93" s="327">
        <f>SUM(F95:F106)</f>
        <v>180000</v>
      </c>
      <c r="G93" s="69"/>
    </row>
    <row r="94" spans="1:7" ht="12.75">
      <c r="A94" s="23"/>
      <c r="B94" s="39"/>
      <c r="C94" s="39">
        <v>2110</v>
      </c>
      <c r="D94" s="1" t="s">
        <v>297</v>
      </c>
      <c r="E94" s="131">
        <f>'Dochody-ukł.wykon.'!G185</f>
        <v>180000</v>
      </c>
      <c r="F94" s="132"/>
      <c r="G94" s="69"/>
    </row>
    <row r="95" spans="1:7" ht="12.75">
      <c r="A95" s="23"/>
      <c r="B95" s="39"/>
      <c r="C95" s="39">
        <v>4010</v>
      </c>
      <c r="D95" s="1" t="s">
        <v>213</v>
      </c>
      <c r="E95" s="131"/>
      <c r="F95" s="132">
        <f>'WYDATKI ukł.wyk.'!G342</f>
        <v>79433</v>
      </c>
      <c r="G95" s="69"/>
    </row>
    <row r="96" spans="1:7" ht="12.75">
      <c r="A96" s="23"/>
      <c r="B96" s="39"/>
      <c r="C96" s="39">
        <v>4110</v>
      </c>
      <c r="D96" s="1" t="s">
        <v>215</v>
      </c>
      <c r="E96" s="131"/>
      <c r="F96" s="132">
        <f>'WYDATKI ukł.wyk.'!G343</f>
        <v>13694</v>
      </c>
      <c r="G96" s="69"/>
    </row>
    <row r="97" spans="1:7" ht="12.75">
      <c r="A97" s="23"/>
      <c r="B97" s="39"/>
      <c r="C97" s="39">
        <v>4120</v>
      </c>
      <c r="D97" s="1" t="s">
        <v>216</v>
      </c>
      <c r="E97" s="131"/>
      <c r="F97" s="132">
        <f>'WYDATKI ukł.wyk.'!G344</f>
        <v>1892</v>
      </c>
      <c r="G97" s="69"/>
    </row>
    <row r="98" spans="1:7" ht="12.75">
      <c r="A98" s="23"/>
      <c r="B98" s="39"/>
      <c r="C98" s="39">
        <v>4210</v>
      </c>
      <c r="D98" s="1" t="s">
        <v>217</v>
      </c>
      <c r="E98" s="131"/>
      <c r="F98" s="132">
        <f>'WYDATKI ukł.wyk.'!G345-2462</f>
        <v>53873</v>
      </c>
      <c r="G98" s="69"/>
    </row>
    <row r="99" spans="1:7" ht="12.75">
      <c r="A99" s="23"/>
      <c r="B99" s="39"/>
      <c r="C99" s="39">
        <v>4220</v>
      </c>
      <c r="D99" s="1" t="s">
        <v>252</v>
      </c>
      <c r="E99" s="131"/>
      <c r="F99" s="132">
        <f>'WYDATKI ukł.wyk.'!G346</f>
        <v>9600</v>
      </c>
      <c r="G99" s="69"/>
    </row>
    <row r="100" spans="1:7" ht="12.75">
      <c r="A100" s="23"/>
      <c r="B100" s="39"/>
      <c r="C100" s="39">
        <v>4260</v>
      </c>
      <c r="D100" s="1" t="s">
        <v>218</v>
      </c>
      <c r="E100" s="131"/>
      <c r="F100" s="132">
        <f>'WYDATKI ukł.wyk.'!G347</f>
        <v>1245</v>
      </c>
      <c r="G100" s="69"/>
    </row>
    <row r="101" spans="1:7" ht="12.75">
      <c r="A101" s="23"/>
      <c r="B101" s="39"/>
      <c r="C101" s="39">
        <v>4270</v>
      </c>
      <c r="D101" s="1" t="s">
        <v>219</v>
      </c>
      <c r="E101" s="131"/>
      <c r="F101" s="132">
        <f>'WYDATKI ukł.wyk.'!G348</f>
        <v>8291</v>
      </c>
      <c r="G101" s="69"/>
    </row>
    <row r="102" spans="1:7" ht="12.75">
      <c r="A102" s="23"/>
      <c r="B102" s="39"/>
      <c r="C102" s="39">
        <v>4280</v>
      </c>
      <c r="D102" s="308" t="s">
        <v>220</v>
      </c>
      <c r="E102" s="131"/>
      <c r="F102" s="132">
        <f>'WYDATKI ukł.wyk.'!G349</f>
        <v>344</v>
      </c>
      <c r="G102" s="69"/>
    </row>
    <row r="103" spans="1:7" ht="12.75">
      <c r="A103" s="23"/>
      <c r="B103" s="39"/>
      <c r="C103" s="39">
        <v>4300</v>
      </c>
      <c r="D103" s="308" t="s">
        <v>209</v>
      </c>
      <c r="E103" s="131"/>
      <c r="F103" s="132">
        <f>'WYDATKI ukł.wyk.'!G350</f>
        <v>5853</v>
      </c>
      <c r="G103" s="69"/>
    </row>
    <row r="104" spans="1:7" ht="12.75">
      <c r="A104" s="23"/>
      <c r="B104" s="39"/>
      <c r="C104" s="39">
        <v>4410</v>
      </c>
      <c r="D104" s="308" t="s">
        <v>221</v>
      </c>
      <c r="E104" s="131"/>
      <c r="F104" s="132">
        <f>'WYDATKI ukł.wyk.'!G351</f>
        <v>29</v>
      </c>
      <c r="G104" s="69"/>
    </row>
    <row r="105" spans="1:7" ht="12.75">
      <c r="A105" s="23"/>
      <c r="B105" s="39"/>
      <c r="C105" s="39">
        <v>4430</v>
      </c>
      <c r="D105" s="308" t="s">
        <v>222</v>
      </c>
      <c r="E105" s="131"/>
      <c r="F105" s="132">
        <f>'WYDATKI ukł.wyk.'!G352-1650</f>
        <v>1529</v>
      </c>
      <c r="G105" s="69"/>
    </row>
    <row r="106" spans="1:7" ht="12.75">
      <c r="A106" s="23"/>
      <c r="B106" s="39"/>
      <c r="C106" s="39">
        <v>4440</v>
      </c>
      <c r="D106" s="1" t="s">
        <v>223</v>
      </c>
      <c r="E106" s="131"/>
      <c r="F106" s="132">
        <f>'WYDATKI ukł.wyk.'!G353</f>
        <v>4217</v>
      </c>
      <c r="G106" s="69"/>
    </row>
    <row r="107" spans="1:7" ht="12.75">
      <c r="A107" s="23"/>
      <c r="B107" s="39"/>
      <c r="C107" s="40"/>
      <c r="D107" s="1"/>
      <c r="E107" s="131"/>
      <c r="F107" s="132"/>
      <c r="G107" s="69"/>
    </row>
    <row r="108" spans="1:7" ht="13.5" thickBot="1">
      <c r="A108" s="46">
        <v>853</v>
      </c>
      <c r="B108" s="42"/>
      <c r="C108" s="42"/>
      <c r="D108" s="105" t="s">
        <v>273</v>
      </c>
      <c r="E108" s="129">
        <f>E109</f>
        <v>218000</v>
      </c>
      <c r="F108" s="129">
        <f>F109</f>
        <v>218000</v>
      </c>
      <c r="G108" s="69"/>
    </row>
    <row r="109" spans="1:7" ht="12.75">
      <c r="A109" s="23"/>
      <c r="B109" s="83">
        <v>85321</v>
      </c>
      <c r="C109" s="86"/>
      <c r="D109" s="87" t="s">
        <v>753</v>
      </c>
      <c r="E109" s="135">
        <f>E110</f>
        <v>218000</v>
      </c>
      <c r="F109" s="135">
        <f>SUM(F111:F122)</f>
        <v>218000</v>
      </c>
      <c r="G109" s="69"/>
    </row>
    <row r="110" spans="1:7" ht="12.75">
      <c r="A110" s="23"/>
      <c r="B110" s="39"/>
      <c r="C110" s="39">
        <v>2110</v>
      </c>
      <c r="D110" s="10" t="s">
        <v>297</v>
      </c>
      <c r="E110" s="131">
        <f>'Dochody-ukł.wykon.'!G207</f>
        <v>218000</v>
      </c>
      <c r="F110" s="132"/>
      <c r="G110" s="69"/>
    </row>
    <row r="111" spans="1:7" ht="12.75">
      <c r="A111" s="23"/>
      <c r="B111" s="39"/>
      <c r="C111" s="51">
        <v>4010</v>
      </c>
      <c r="D111" s="1" t="s">
        <v>213</v>
      </c>
      <c r="E111" s="131"/>
      <c r="F111" s="132">
        <f>'WYDATKI ukł.wyk.'!G396</f>
        <v>54394</v>
      </c>
      <c r="G111" s="69"/>
    </row>
    <row r="112" spans="1:7" ht="12.75">
      <c r="A112" s="23"/>
      <c r="B112" s="39"/>
      <c r="C112" s="51">
        <v>4040</v>
      </c>
      <c r="D112" s="1" t="s">
        <v>214</v>
      </c>
      <c r="E112" s="131"/>
      <c r="F112" s="132">
        <f>'WYDATKI ukł.wyk.'!G397</f>
        <v>3076</v>
      </c>
      <c r="G112" s="69"/>
    </row>
    <row r="113" spans="1:7" ht="12.75">
      <c r="A113" s="23"/>
      <c r="B113" s="39"/>
      <c r="C113" s="51">
        <v>4110</v>
      </c>
      <c r="D113" s="1" t="s">
        <v>215</v>
      </c>
      <c r="E113" s="131"/>
      <c r="F113" s="132">
        <f>'WYDATKI ukł.wyk.'!G398</f>
        <v>10122</v>
      </c>
      <c r="G113" s="69"/>
    </row>
    <row r="114" spans="1:7" ht="12.75">
      <c r="A114" s="23"/>
      <c r="B114" s="39"/>
      <c r="C114" s="51">
        <v>4120</v>
      </c>
      <c r="D114" s="1" t="s">
        <v>300</v>
      </c>
      <c r="E114" s="131"/>
      <c r="F114" s="132">
        <f>'WYDATKI ukł.wyk.'!G399</f>
        <v>1333</v>
      </c>
      <c r="G114" s="69"/>
    </row>
    <row r="115" spans="1:7" ht="12.75">
      <c r="A115" s="23"/>
      <c r="B115" s="39"/>
      <c r="C115" s="51">
        <v>4210</v>
      </c>
      <c r="D115" s="1" t="s">
        <v>217</v>
      </c>
      <c r="E115" s="131"/>
      <c r="F115" s="132">
        <f>'WYDATKI ukł.wyk.'!G400</f>
        <v>17661</v>
      </c>
      <c r="G115" s="69"/>
    </row>
    <row r="116" spans="1:7" ht="12.75">
      <c r="A116" s="23"/>
      <c r="B116" s="39"/>
      <c r="C116" s="51">
        <v>4260</v>
      </c>
      <c r="D116" s="1" t="s">
        <v>218</v>
      </c>
      <c r="E116" s="131"/>
      <c r="F116" s="132">
        <f>'WYDATKI ukł.wyk.'!G401</f>
        <v>10234</v>
      </c>
      <c r="G116" s="69"/>
    </row>
    <row r="117" spans="1:7" ht="12.75">
      <c r="A117" s="23"/>
      <c r="B117" s="39"/>
      <c r="C117" s="51">
        <v>4270</v>
      </c>
      <c r="D117" s="1" t="s">
        <v>219</v>
      </c>
      <c r="E117" s="131"/>
      <c r="F117" s="132">
        <f>'WYDATKI ukł.wyk.'!G402</f>
        <v>1193</v>
      </c>
      <c r="G117" s="69"/>
    </row>
    <row r="118" spans="1:7" ht="12.75">
      <c r="A118" s="23"/>
      <c r="B118" s="39"/>
      <c r="C118" s="51">
        <v>4280</v>
      </c>
      <c r="D118" s="1" t="s">
        <v>220</v>
      </c>
      <c r="E118" s="131"/>
      <c r="F118" s="132">
        <f>'WYDATKI ukł.wyk.'!G403</f>
        <v>0</v>
      </c>
      <c r="G118" s="69"/>
    </row>
    <row r="119" spans="1:7" ht="12.75">
      <c r="A119" s="23"/>
      <c r="B119" s="39"/>
      <c r="C119" s="90" t="s">
        <v>208</v>
      </c>
      <c r="D119" s="1" t="s">
        <v>209</v>
      </c>
      <c r="E119" s="131"/>
      <c r="F119" s="132">
        <f>'WYDATKI ukł.wyk.'!G404</f>
        <v>115515</v>
      </c>
      <c r="G119" s="69"/>
    </row>
    <row r="120" spans="1:7" ht="12.75">
      <c r="A120" s="23"/>
      <c r="B120" s="39"/>
      <c r="C120" s="51">
        <v>4410</v>
      </c>
      <c r="D120" s="1" t="s">
        <v>221</v>
      </c>
      <c r="E120" s="131"/>
      <c r="F120" s="132">
        <f>'WYDATKI ukł.wyk.'!G405</f>
        <v>2450</v>
      </c>
      <c r="G120" s="69"/>
    </row>
    <row r="121" spans="1:7" ht="12.75">
      <c r="A121" s="23"/>
      <c r="B121" s="39"/>
      <c r="C121" s="39">
        <v>4430</v>
      </c>
      <c r="D121" s="308" t="s">
        <v>222</v>
      </c>
      <c r="E121" s="131"/>
      <c r="F121" s="132">
        <f>'WYDATKI ukł.wyk.'!G406</f>
        <v>115</v>
      </c>
      <c r="G121" s="69"/>
    </row>
    <row r="122" spans="1:7" ht="12.75">
      <c r="A122" s="23"/>
      <c r="B122" s="39"/>
      <c r="C122" s="90" t="s">
        <v>302</v>
      </c>
      <c r="D122" s="1" t="s">
        <v>303</v>
      </c>
      <c r="E122" s="131"/>
      <c r="F122" s="132">
        <f>'WYDATKI ukł.wyk.'!G407</f>
        <v>1907</v>
      </c>
      <c r="G122" s="69"/>
    </row>
    <row r="123" spans="1:7" ht="6.75" customHeight="1" thickBot="1">
      <c r="A123" s="101"/>
      <c r="B123" s="48"/>
      <c r="C123" s="54"/>
      <c r="D123" s="137"/>
      <c r="E123" s="138"/>
      <c r="F123" s="139"/>
      <c r="G123" s="140"/>
    </row>
  </sheetData>
  <mergeCells count="3">
    <mergeCell ref="A6:G6"/>
    <mergeCell ref="A7:G7"/>
    <mergeCell ref="A8:G8"/>
  </mergeCells>
  <printOptions/>
  <pageMargins left="0.3937007874015748" right="0.3937007874015748" top="0.27" bottom="0.21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7">
      <selection activeCell="F27" sqref="F27"/>
    </sheetView>
  </sheetViews>
  <sheetFormatPr defaultColWidth="9.00390625" defaultRowHeight="12.75"/>
  <cols>
    <col min="1" max="1" width="6.25390625" style="14" customWidth="1"/>
    <col min="2" max="2" width="7.125" style="14" customWidth="1"/>
    <col min="3" max="3" width="6.00390625" style="14" customWidth="1"/>
    <col min="4" max="4" width="50.625" style="14" customWidth="1"/>
    <col min="5" max="5" width="13.625" style="14" customWidth="1"/>
    <col min="6" max="6" width="14.00390625" style="14" customWidth="1"/>
    <col min="7" max="16384" width="9.125" style="14" customWidth="1"/>
  </cols>
  <sheetData>
    <row r="1" spans="5:6" ht="12">
      <c r="E1" s="15" t="s">
        <v>306</v>
      </c>
      <c r="F1" s="107"/>
    </row>
    <row r="2" spans="5:6" ht="12">
      <c r="E2" s="15" t="s">
        <v>307</v>
      </c>
      <c r="F2" s="107"/>
    </row>
    <row r="3" spans="4:6" ht="12">
      <c r="D3" s="16"/>
      <c r="E3" s="15" t="s">
        <v>50</v>
      </c>
      <c r="F3" s="107"/>
    </row>
    <row r="4" spans="4:6" ht="12">
      <c r="D4" s="16"/>
      <c r="E4" s="15" t="s">
        <v>644</v>
      </c>
      <c r="F4" s="107"/>
    </row>
    <row r="5" spans="4:6" ht="12">
      <c r="D5" s="16"/>
      <c r="E5" s="15"/>
      <c r="F5" s="15"/>
    </row>
    <row r="6" spans="4:6" ht="9.75">
      <c r="D6" s="16"/>
      <c r="E6" s="16"/>
      <c r="F6" s="16"/>
    </row>
    <row r="8" spans="1:6" ht="12">
      <c r="A8" s="769" t="s">
        <v>456</v>
      </c>
      <c r="B8" s="769"/>
      <c r="C8" s="769"/>
      <c r="D8" s="769"/>
      <c r="E8" s="769"/>
      <c r="F8" s="769"/>
    </row>
    <row r="9" spans="1:6" ht="12">
      <c r="A9" s="769" t="s">
        <v>561</v>
      </c>
      <c r="B9" s="769"/>
      <c r="C9" s="769"/>
      <c r="D9" s="769"/>
      <c r="E9" s="769"/>
      <c r="F9" s="769"/>
    </row>
    <row r="10" spans="1:6" ht="12">
      <c r="A10" s="769" t="s">
        <v>562</v>
      </c>
      <c r="B10" s="769"/>
      <c r="C10" s="769"/>
      <c r="D10" s="769"/>
      <c r="E10" s="769"/>
      <c r="F10" s="769"/>
    </row>
    <row r="11" ht="9.75">
      <c r="B11" s="18"/>
    </row>
    <row r="12" ht="9.75">
      <c r="B12" s="18"/>
    </row>
    <row r="13" spans="1:6" ht="10.5" thickBot="1">
      <c r="A13" s="16"/>
      <c r="B13" s="16"/>
      <c r="C13" s="16"/>
      <c r="D13" s="16"/>
      <c r="E13" s="16"/>
      <c r="F13" s="59" t="s">
        <v>308</v>
      </c>
    </row>
    <row r="14" spans="1:6" ht="12.75" customHeight="1">
      <c r="A14" s="770" t="s">
        <v>344</v>
      </c>
      <c r="B14" s="771"/>
      <c r="C14" s="772"/>
      <c r="D14" s="141"/>
      <c r="E14" s="141"/>
      <c r="F14" s="142"/>
    </row>
    <row r="15" spans="1:6" ht="12">
      <c r="A15" s="767" t="s">
        <v>63</v>
      </c>
      <c r="B15" s="768" t="s">
        <v>47</v>
      </c>
      <c r="C15" s="768" t="s">
        <v>0</v>
      </c>
      <c r="D15" s="143" t="s">
        <v>115</v>
      </c>
      <c r="E15" s="143" t="s">
        <v>286</v>
      </c>
      <c r="F15" s="32" t="s">
        <v>289</v>
      </c>
    </row>
    <row r="16" spans="1:6" ht="13.5" customHeight="1" thickBot="1">
      <c r="A16" s="721"/>
      <c r="B16" s="735"/>
      <c r="C16" s="735"/>
      <c r="D16" s="144"/>
      <c r="E16" s="144"/>
      <c r="F16" s="145"/>
    </row>
    <row r="17" spans="1:6" ht="10.5" thickBot="1">
      <c r="A17" s="60">
        <v>1</v>
      </c>
      <c r="B17" s="61">
        <v>2</v>
      </c>
      <c r="C17" s="281">
        <v>3</v>
      </c>
      <c r="D17" s="281">
        <v>4</v>
      </c>
      <c r="E17" s="281">
        <v>5</v>
      </c>
      <c r="F17" s="282">
        <v>6</v>
      </c>
    </row>
    <row r="18" spans="1:6" ht="12.75" customHeight="1">
      <c r="A18" s="329"/>
      <c r="B18" s="330"/>
      <c r="C18" s="331"/>
      <c r="D18" s="331"/>
      <c r="E18" s="331"/>
      <c r="F18" s="332"/>
    </row>
    <row r="19" spans="1:6" ht="12.75" customHeight="1" thickBot="1">
      <c r="A19" s="41" t="s">
        <v>1</v>
      </c>
      <c r="B19" s="42"/>
      <c r="C19" s="42"/>
      <c r="D19" s="94" t="s">
        <v>2</v>
      </c>
      <c r="E19" s="307">
        <f>E20</f>
        <v>5000</v>
      </c>
      <c r="F19" s="320">
        <f>F20</f>
        <v>5000</v>
      </c>
    </row>
    <row r="20" spans="1:6" ht="12.75" customHeight="1">
      <c r="A20" s="43"/>
      <c r="B20" s="70" t="s">
        <v>501</v>
      </c>
      <c r="C20" s="97"/>
      <c r="D20" s="78" t="s">
        <v>502</v>
      </c>
      <c r="E20" s="235">
        <f>E21</f>
        <v>5000</v>
      </c>
      <c r="F20" s="322">
        <f>F23</f>
        <v>5000</v>
      </c>
    </row>
    <row r="21" spans="1:6" ht="12.75" customHeight="1">
      <c r="A21" s="43"/>
      <c r="B21" s="40"/>
      <c r="C21" s="40" t="s">
        <v>490</v>
      </c>
      <c r="D21" s="10" t="s">
        <v>503</v>
      </c>
      <c r="E21" s="177">
        <f>'Dochody-ukł.wykon.'!G18</f>
        <v>5000</v>
      </c>
      <c r="F21" s="321"/>
    </row>
    <row r="22" spans="1:6" ht="12.75" customHeight="1">
      <c r="A22" s="43"/>
      <c r="B22" s="40"/>
      <c r="C22" s="40"/>
      <c r="D22" s="9" t="s">
        <v>504</v>
      </c>
      <c r="E22" s="176"/>
      <c r="F22" s="627"/>
    </row>
    <row r="23" spans="1:6" ht="12.75">
      <c r="A23" s="43"/>
      <c r="B23" s="39"/>
      <c r="C23" s="309" t="s">
        <v>208</v>
      </c>
      <c r="D23" s="76" t="s">
        <v>209</v>
      </c>
      <c r="E23" s="447"/>
      <c r="F23" s="627">
        <f>'WYDATKI ukł.wyk.'!G22</f>
        <v>5000</v>
      </c>
    </row>
    <row r="24" spans="1:6" ht="12.75">
      <c r="A24" s="43"/>
      <c r="B24" s="39"/>
      <c r="C24" s="309"/>
      <c r="D24" s="76"/>
      <c r="E24" s="447"/>
      <c r="F24" s="627"/>
    </row>
    <row r="25" spans="1:6" ht="13.5" thickBot="1">
      <c r="A25" s="46">
        <v>852</v>
      </c>
      <c r="B25" s="48"/>
      <c r="C25" s="635"/>
      <c r="D25" s="312" t="s">
        <v>277</v>
      </c>
      <c r="E25" s="446">
        <f>E26</f>
        <v>340000</v>
      </c>
      <c r="F25" s="631">
        <f>F26</f>
        <v>340000</v>
      </c>
    </row>
    <row r="26" spans="1:6" ht="12.75">
      <c r="A26" s="43"/>
      <c r="B26" s="286">
        <v>85295</v>
      </c>
      <c r="C26" s="636"/>
      <c r="D26" s="629" t="s">
        <v>25</v>
      </c>
      <c r="E26" s="449">
        <f>E27</f>
        <v>340000</v>
      </c>
      <c r="F26" s="630">
        <f>SUM(F29:F31)</f>
        <v>340000</v>
      </c>
    </row>
    <row r="27" spans="1:6" ht="12.75">
      <c r="A27" s="43"/>
      <c r="B27" s="39"/>
      <c r="C27" s="40" t="s">
        <v>490</v>
      </c>
      <c r="D27" s="10" t="s">
        <v>503</v>
      </c>
      <c r="E27" s="447">
        <f>'Dochody-ukł.wykon.'!G203</f>
        <v>340000</v>
      </c>
      <c r="F27" s="627"/>
    </row>
    <row r="28" spans="1:6" ht="12.75">
      <c r="A28" s="43"/>
      <c r="B28" s="39"/>
      <c r="C28" s="40"/>
      <c r="D28" s="9" t="s">
        <v>504</v>
      </c>
      <c r="E28" s="447"/>
      <c r="F28" s="627"/>
    </row>
    <row r="29" spans="1:6" ht="12.75">
      <c r="A29" s="43"/>
      <c r="B29" s="39"/>
      <c r="C29" s="39">
        <v>4210</v>
      </c>
      <c r="D29" s="9" t="s">
        <v>217</v>
      </c>
      <c r="E29" s="447"/>
      <c r="F29" s="627">
        <f>'WYDATKI ukł.wyk.'!G390</f>
        <v>123663</v>
      </c>
    </row>
    <row r="30" spans="1:6" ht="12.75">
      <c r="A30" s="43"/>
      <c r="B30" s="39"/>
      <c r="C30" s="39">
        <v>4270</v>
      </c>
      <c r="D30" s="9" t="s">
        <v>219</v>
      </c>
      <c r="E30" s="447"/>
      <c r="F30" s="627">
        <f>'WYDATKI ukł.wyk.'!G391</f>
        <v>206357</v>
      </c>
    </row>
    <row r="31" spans="1:6" ht="12.75">
      <c r="A31" s="43"/>
      <c r="B31" s="39"/>
      <c r="C31" s="309" t="s">
        <v>208</v>
      </c>
      <c r="D31" s="76" t="s">
        <v>209</v>
      </c>
      <c r="E31" s="447"/>
      <c r="F31" s="627">
        <f>'WYDATKI ukł.wyk.'!G392</f>
        <v>9980</v>
      </c>
    </row>
    <row r="32" spans="1:6" ht="12.75">
      <c r="A32" s="43"/>
      <c r="B32" s="39"/>
      <c r="C32" s="309"/>
      <c r="D32" s="76"/>
      <c r="E32" s="447"/>
      <c r="F32" s="627"/>
    </row>
    <row r="33" spans="1:6" ht="12.75">
      <c r="A33" s="43"/>
      <c r="B33" s="39"/>
      <c r="C33" s="40"/>
      <c r="D33" s="9"/>
      <c r="E33" s="176"/>
      <c r="F33" s="627"/>
    </row>
    <row r="34" spans="1:6" ht="13.5" thickBot="1">
      <c r="A34" s="46">
        <v>853</v>
      </c>
      <c r="B34" s="48"/>
      <c r="C34" s="391"/>
      <c r="D34" s="53" t="s">
        <v>273</v>
      </c>
      <c r="E34" s="265">
        <f>E35</f>
        <v>0</v>
      </c>
      <c r="F34" s="631">
        <f>F35</f>
        <v>0</v>
      </c>
    </row>
    <row r="35" spans="1:6" ht="12.75">
      <c r="A35" s="43"/>
      <c r="B35" s="286">
        <v>85395</v>
      </c>
      <c r="C35" s="628"/>
      <c r="D35" s="629" t="s">
        <v>25</v>
      </c>
      <c r="E35" s="481">
        <f>E36</f>
        <v>0</v>
      </c>
      <c r="F35" s="630">
        <f>SUM(F38:F39)</f>
        <v>0</v>
      </c>
    </row>
    <row r="36" spans="1:6" ht="12.75">
      <c r="A36" s="43"/>
      <c r="B36" s="39"/>
      <c r="C36" s="40" t="s">
        <v>490</v>
      </c>
      <c r="D36" s="10" t="s">
        <v>503</v>
      </c>
      <c r="E36" s="176">
        <f>'Dochody-ukł.wykon.'!G219</f>
        <v>0</v>
      </c>
      <c r="F36" s="627"/>
    </row>
    <row r="37" spans="1:6" ht="12.75">
      <c r="A37" s="43"/>
      <c r="B37" s="39"/>
      <c r="C37" s="40"/>
      <c r="D37" s="9" t="s">
        <v>504</v>
      </c>
      <c r="E37" s="176"/>
      <c r="F37" s="627"/>
    </row>
    <row r="38" spans="1:6" ht="12.75">
      <c r="A38" s="43"/>
      <c r="B38" s="39"/>
      <c r="C38" s="39">
        <v>4210</v>
      </c>
      <c r="D38" s="9" t="s">
        <v>217</v>
      </c>
      <c r="E38" s="176"/>
      <c r="F38" s="627">
        <v>0</v>
      </c>
    </row>
    <row r="39" spans="1:6" ht="12.75">
      <c r="A39" s="43"/>
      <c r="B39" s="39"/>
      <c r="C39" s="39">
        <v>4270</v>
      </c>
      <c r="D39" s="9" t="s">
        <v>219</v>
      </c>
      <c r="E39" s="176"/>
      <c r="F39" s="627">
        <v>0</v>
      </c>
    </row>
    <row r="40" spans="1:6" ht="12.75" thickBot="1">
      <c r="A40" s="164"/>
      <c r="B40" s="165"/>
      <c r="C40" s="144"/>
      <c r="D40" s="550"/>
      <c r="E40" s="633"/>
      <c r="F40" s="38"/>
    </row>
    <row r="41" spans="1:6" ht="12">
      <c r="A41" s="215"/>
      <c r="B41" s="283"/>
      <c r="C41" s="141"/>
      <c r="D41" s="632"/>
      <c r="E41" s="634"/>
      <c r="F41" s="37"/>
    </row>
    <row r="42" spans="1:7" ht="12">
      <c r="A42" s="167"/>
      <c r="B42" s="160"/>
      <c r="C42" s="158"/>
      <c r="D42" s="168" t="s">
        <v>312</v>
      </c>
      <c r="E42" s="169">
        <f>E19+E34+E25</f>
        <v>345000</v>
      </c>
      <c r="F42" s="284">
        <f>F19+F34+F25</f>
        <v>345000</v>
      </c>
      <c r="G42" s="30"/>
    </row>
    <row r="43" spans="1:6" ht="12.75" thickBot="1">
      <c r="A43" s="170"/>
      <c r="B43" s="165"/>
      <c r="C43" s="166"/>
      <c r="D43" s="166"/>
      <c r="E43" s="166"/>
      <c r="F43" s="171"/>
    </row>
  </sheetData>
  <mergeCells count="7">
    <mergeCell ref="A15:A16"/>
    <mergeCell ref="B15:B16"/>
    <mergeCell ref="C15:C16"/>
    <mergeCell ref="A8:F8"/>
    <mergeCell ref="A9:F9"/>
    <mergeCell ref="A10:F10"/>
    <mergeCell ref="A14:C14"/>
  </mergeCells>
  <printOptions horizontalCentered="1"/>
  <pageMargins left="0.2755905511811024" right="0.2755905511811024" top="0.66929133858267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6"/>
  <sheetViews>
    <sheetView workbookViewId="0" topLeftCell="A50">
      <selection activeCell="B55" sqref="B55"/>
    </sheetView>
  </sheetViews>
  <sheetFormatPr defaultColWidth="9.00390625" defaultRowHeight="12.75"/>
  <cols>
    <col min="1" max="1" width="6.25390625" style="14" customWidth="1"/>
    <col min="2" max="2" width="7.125" style="14" customWidth="1"/>
    <col min="3" max="3" width="6.00390625" style="14" customWidth="1"/>
    <col min="4" max="4" width="49.00390625" style="14" customWidth="1"/>
    <col min="5" max="5" width="13.625" style="14" customWidth="1"/>
    <col min="6" max="6" width="14.00390625" style="14" customWidth="1"/>
    <col min="7" max="8" width="9.125" style="14" customWidth="1"/>
    <col min="9" max="9" width="13.875" style="14" customWidth="1"/>
    <col min="10" max="16384" width="9.125" style="14" customWidth="1"/>
  </cols>
  <sheetData>
    <row r="1" spans="5:6" ht="12">
      <c r="E1" s="15" t="s">
        <v>313</v>
      </c>
      <c r="F1" s="107"/>
    </row>
    <row r="2" spans="5:6" ht="12">
      <c r="E2" s="15" t="s">
        <v>307</v>
      </c>
      <c r="F2" s="107"/>
    </row>
    <row r="3" spans="4:6" ht="12">
      <c r="D3" s="16"/>
      <c r="E3" s="15" t="s">
        <v>50</v>
      </c>
      <c r="F3" s="107"/>
    </row>
    <row r="4" spans="4:6" ht="12">
      <c r="D4" s="16"/>
      <c r="E4" s="15" t="s">
        <v>639</v>
      </c>
      <c r="F4" s="107"/>
    </row>
    <row r="5" spans="4:6" ht="17.25" customHeight="1">
      <c r="D5" s="16"/>
      <c r="E5" s="15"/>
      <c r="F5" s="15"/>
    </row>
    <row r="6" spans="1:6" ht="12">
      <c r="A6" s="769" t="s">
        <v>456</v>
      </c>
      <c r="B6" s="769"/>
      <c r="C6" s="769"/>
      <c r="D6" s="769"/>
      <c r="E6" s="769"/>
      <c r="F6" s="769"/>
    </row>
    <row r="7" spans="1:6" ht="12">
      <c r="A7" s="769" t="s">
        <v>457</v>
      </c>
      <c r="B7" s="769"/>
      <c r="C7" s="769"/>
      <c r="D7" s="769"/>
      <c r="E7" s="769"/>
      <c r="F7" s="769"/>
    </row>
    <row r="8" spans="1:6" ht="11.25" customHeight="1">
      <c r="A8" s="769" t="s">
        <v>494</v>
      </c>
      <c r="B8" s="769"/>
      <c r="C8" s="769"/>
      <c r="D8" s="769"/>
      <c r="E8" s="769"/>
      <c r="F8" s="769"/>
    </row>
    <row r="9" spans="1:6" ht="27.75" customHeight="1" thickBot="1">
      <c r="A9" s="16"/>
      <c r="B9" s="16"/>
      <c r="C9" s="16"/>
      <c r="D9" s="16"/>
      <c r="E9" s="16"/>
      <c r="F9" s="59" t="s">
        <v>308</v>
      </c>
    </row>
    <row r="10" spans="1:6" ht="12.75" customHeight="1">
      <c r="A10" s="770" t="s">
        <v>344</v>
      </c>
      <c r="B10" s="771"/>
      <c r="C10" s="772"/>
      <c r="D10" s="733" t="s">
        <v>115</v>
      </c>
      <c r="E10" s="733" t="s">
        <v>286</v>
      </c>
      <c r="F10" s="779" t="s">
        <v>289</v>
      </c>
    </row>
    <row r="11" spans="1:6" ht="11.25" customHeight="1" thickBot="1">
      <c r="A11" s="767" t="s">
        <v>63</v>
      </c>
      <c r="B11" s="768" t="s">
        <v>47</v>
      </c>
      <c r="C11" s="768" t="s">
        <v>0</v>
      </c>
      <c r="D11" s="734"/>
      <c r="E11" s="734"/>
      <c r="F11" s="780"/>
    </row>
    <row r="12" spans="1:6" ht="0.75" customHeight="1" hidden="1" thickBot="1">
      <c r="A12" s="721"/>
      <c r="B12" s="735"/>
      <c r="C12" s="735"/>
      <c r="D12" s="735"/>
      <c r="E12" s="735"/>
      <c r="F12" s="781"/>
    </row>
    <row r="13" spans="1:6" ht="10.5" thickBot="1">
      <c r="A13" s="60">
        <v>1</v>
      </c>
      <c r="B13" s="61">
        <v>2</v>
      </c>
      <c r="C13" s="281">
        <v>3</v>
      </c>
      <c r="D13" s="281">
        <v>4</v>
      </c>
      <c r="E13" s="281">
        <v>5</v>
      </c>
      <c r="F13" s="282">
        <v>6</v>
      </c>
    </row>
    <row r="14" spans="1:6" ht="15" customHeight="1" thickBot="1">
      <c r="A14" s="776" t="s">
        <v>576</v>
      </c>
      <c r="B14" s="777"/>
      <c r="C14" s="777"/>
      <c r="D14" s="777"/>
      <c r="E14" s="777"/>
      <c r="F14" s="778"/>
    </row>
    <row r="15" spans="1:6" ht="12.75" customHeight="1" thickBot="1">
      <c r="A15" s="561">
        <v>803</v>
      </c>
      <c r="B15" s="562"/>
      <c r="C15" s="543"/>
      <c r="D15" s="565" t="s">
        <v>670</v>
      </c>
      <c r="E15" s="569">
        <f>E16</f>
        <v>144959</v>
      </c>
      <c r="F15" s="637">
        <f>F16</f>
        <v>144959</v>
      </c>
    </row>
    <row r="16" spans="1:6" ht="13.5" customHeight="1">
      <c r="A16" s="536"/>
      <c r="B16" s="563">
        <v>80309</v>
      </c>
      <c r="C16" s="564"/>
      <c r="D16" s="566" t="s">
        <v>671</v>
      </c>
      <c r="E16" s="568">
        <f>SUM(E18:E21)</f>
        <v>144959</v>
      </c>
      <c r="F16" s="638">
        <f>SUM(F19:F26)</f>
        <v>144959</v>
      </c>
    </row>
    <row r="17" spans="1:9" ht="13.5" customHeight="1">
      <c r="A17" s="536"/>
      <c r="B17" s="560"/>
      <c r="C17" s="149">
        <v>2328</v>
      </c>
      <c r="D17" s="15" t="s">
        <v>698</v>
      </c>
      <c r="E17" s="567"/>
      <c r="F17" s="639"/>
      <c r="I17" s="30">
        <f>E15+E28+E35+E45+E59+E74</f>
        <v>1279339</v>
      </c>
    </row>
    <row r="18" spans="1:6" ht="13.5" customHeight="1">
      <c r="A18" s="536"/>
      <c r="B18" s="560"/>
      <c r="C18" s="149"/>
      <c r="D18" s="15" t="s">
        <v>699</v>
      </c>
      <c r="E18" s="567">
        <f>'Dochody-ukł.wykon.'!G146</f>
        <v>108719</v>
      </c>
      <c r="F18" s="639"/>
    </row>
    <row r="19" spans="1:6" ht="13.5" customHeight="1">
      <c r="A19" s="536"/>
      <c r="B19" s="560"/>
      <c r="C19" s="538">
        <v>3218</v>
      </c>
      <c r="D19" s="556" t="s">
        <v>672</v>
      </c>
      <c r="E19" s="567"/>
      <c r="F19" s="639">
        <f>'WYDATKI ukł.wyk.'!G269</f>
        <v>105389</v>
      </c>
    </row>
    <row r="20" spans="1:6" ht="13.5" customHeight="1">
      <c r="A20" s="536"/>
      <c r="B20" s="560"/>
      <c r="C20" s="149">
        <v>2329</v>
      </c>
      <c r="D20" s="15" t="s">
        <v>698</v>
      </c>
      <c r="E20" s="567"/>
      <c r="F20" s="639"/>
    </row>
    <row r="21" spans="1:6" ht="13.5" customHeight="1">
      <c r="A21" s="536"/>
      <c r="B21" s="560"/>
      <c r="C21" s="149"/>
      <c r="D21" s="15" t="s">
        <v>699</v>
      </c>
      <c r="E21" s="567">
        <f>'Dochody-ukł.wykon.'!G148</f>
        <v>36240</v>
      </c>
      <c r="F21" s="639"/>
    </row>
    <row r="22" spans="1:6" ht="13.5" customHeight="1">
      <c r="A22" s="536"/>
      <c r="B22" s="560"/>
      <c r="C22" s="538">
        <v>3219</v>
      </c>
      <c r="D22" s="556" t="s">
        <v>672</v>
      </c>
      <c r="E22" s="567"/>
      <c r="F22" s="639">
        <f>'WYDATKI ukł.wyk.'!G270</f>
        <v>35130</v>
      </c>
    </row>
    <row r="23" spans="1:6" ht="13.5" customHeight="1">
      <c r="A23" s="536"/>
      <c r="B23" s="560"/>
      <c r="C23" s="149">
        <v>4218</v>
      </c>
      <c r="D23" s="15" t="s">
        <v>217</v>
      </c>
      <c r="E23" s="567"/>
      <c r="F23" s="639">
        <f>'WYDATKI ukł.wyk.'!G273</f>
        <v>225</v>
      </c>
    </row>
    <row r="24" spans="1:6" ht="13.5" customHeight="1">
      <c r="A24" s="536"/>
      <c r="B24" s="560"/>
      <c r="C24" s="149">
        <v>4219</v>
      </c>
      <c r="D24" s="15" t="s">
        <v>217</v>
      </c>
      <c r="E24" s="567"/>
      <c r="F24" s="639">
        <f>'WYDATKI ukł.wyk.'!G274</f>
        <v>75</v>
      </c>
    </row>
    <row r="25" spans="1:6" ht="13.5" customHeight="1">
      <c r="A25" s="536"/>
      <c r="B25" s="560"/>
      <c r="C25" s="149">
        <v>4308</v>
      </c>
      <c r="D25" s="556" t="s">
        <v>209</v>
      </c>
      <c r="E25" s="567"/>
      <c r="F25" s="639">
        <f>'WYDATKI ukł.wyk.'!G275</f>
        <v>3105</v>
      </c>
    </row>
    <row r="26" spans="1:6" ht="13.5" customHeight="1">
      <c r="A26" s="536"/>
      <c r="B26" s="560"/>
      <c r="C26" s="149">
        <v>4309</v>
      </c>
      <c r="D26" s="556" t="s">
        <v>209</v>
      </c>
      <c r="E26" s="567"/>
      <c r="F26" s="639">
        <f>'WYDATKI ukł.wyk.'!G276</f>
        <v>1035</v>
      </c>
    </row>
    <row r="27" spans="1:6" ht="12.75" customHeight="1">
      <c r="A27" s="536"/>
      <c r="B27" s="560"/>
      <c r="C27" s="538"/>
      <c r="D27" s="560"/>
      <c r="E27" s="538"/>
      <c r="F27" s="640"/>
    </row>
    <row r="28" spans="1:6" ht="12.75" thickBot="1">
      <c r="A28" s="150">
        <v>851</v>
      </c>
      <c r="B28" s="151"/>
      <c r="C28" s="152"/>
      <c r="D28" s="153" t="s">
        <v>18</v>
      </c>
      <c r="E28" s="559">
        <f>E29</f>
        <v>13700</v>
      </c>
      <c r="F28" s="154">
        <f>SUM(F29)</f>
        <v>13700</v>
      </c>
    </row>
    <row r="29" spans="1:6" ht="12">
      <c r="A29" s="146"/>
      <c r="B29" s="147">
        <v>85154</v>
      </c>
      <c r="C29" s="155"/>
      <c r="D29" s="156" t="s">
        <v>39</v>
      </c>
      <c r="E29" s="354">
        <f>E32</f>
        <v>13700</v>
      </c>
      <c r="F29" s="148">
        <f>SUM(F33:F33)</f>
        <v>13700</v>
      </c>
    </row>
    <row r="30" spans="1:6" ht="12">
      <c r="A30" s="146"/>
      <c r="B30" s="149"/>
      <c r="C30" s="143">
        <v>2330</v>
      </c>
      <c r="D30" s="157" t="s">
        <v>309</v>
      </c>
      <c r="E30" s="149"/>
      <c r="F30" s="32"/>
    </row>
    <row r="31" spans="1:6" ht="12">
      <c r="A31" s="146"/>
      <c r="B31" s="149"/>
      <c r="C31" s="143"/>
      <c r="D31" s="157" t="s">
        <v>310</v>
      </c>
      <c r="E31" s="149"/>
      <c r="F31" s="32"/>
    </row>
    <row r="32" spans="1:6" ht="12">
      <c r="A32" s="146"/>
      <c r="B32" s="149"/>
      <c r="C32" s="143"/>
      <c r="D32" s="157" t="s">
        <v>311</v>
      </c>
      <c r="E32" s="293">
        <f>'Dochody-ukł.wykon.'!G157</f>
        <v>13700</v>
      </c>
      <c r="F32" s="32"/>
    </row>
    <row r="33" spans="1:6" ht="12">
      <c r="A33" s="146"/>
      <c r="B33" s="143"/>
      <c r="C33" s="143">
        <v>4300</v>
      </c>
      <c r="D33" s="158" t="s">
        <v>209</v>
      </c>
      <c r="E33" s="149"/>
      <c r="F33" s="383">
        <f>'WYDATKI ukł.wyk.'!G288</f>
        <v>13700</v>
      </c>
    </row>
    <row r="34" spans="1:6" ht="12">
      <c r="A34" s="146"/>
      <c r="B34" s="551"/>
      <c r="C34" s="149"/>
      <c r="D34" s="15"/>
      <c r="E34" s="149"/>
      <c r="F34" s="383"/>
    </row>
    <row r="35" spans="1:6" ht="12.75" thickBot="1">
      <c r="A35" s="150">
        <v>854</v>
      </c>
      <c r="B35" s="525"/>
      <c r="C35" s="151"/>
      <c r="D35" s="552" t="s">
        <v>29</v>
      </c>
      <c r="E35" s="559">
        <f>E36</f>
        <v>505075</v>
      </c>
      <c r="F35" s="154">
        <f>F36</f>
        <v>505075</v>
      </c>
    </row>
    <row r="36" spans="1:6" ht="12">
      <c r="A36" s="146"/>
      <c r="B36" s="553">
        <v>85415</v>
      </c>
      <c r="C36" s="452"/>
      <c r="D36" s="554" t="s">
        <v>43</v>
      </c>
      <c r="E36" s="558">
        <f>SUM(E38:E41)</f>
        <v>505075</v>
      </c>
      <c r="F36" s="555">
        <f>SUM(F39:F42)</f>
        <v>505075</v>
      </c>
    </row>
    <row r="37" spans="1:6" ht="12">
      <c r="A37" s="146"/>
      <c r="B37" s="551"/>
      <c r="C37" s="149">
        <v>2328</v>
      </c>
      <c r="D37" s="158" t="s">
        <v>698</v>
      </c>
      <c r="E37" s="149"/>
      <c r="F37" s="383"/>
    </row>
    <row r="38" spans="1:6" ht="12">
      <c r="A38" s="146"/>
      <c r="B38" s="149"/>
      <c r="C38" s="143"/>
      <c r="D38" s="158" t="s">
        <v>699</v>
      </c>
      <c r="E38" s="293">
        <f>'Dochody-ukł.wykon.'!G232</f>
        <v>343451</v>
      </c>
      <c r="F38" s="383"/>
    </row>
    <row r="39" spans="1:6" ht="12">
      <c r="A39" s="146"/>
      <c r="B39" s="149"/>
      <c r="C39" s="143">
        <v>3248</v>
      </c>
      <c r="D39" s="556" t="s">
        <v>675</v>
      </c>
      <c r="E39" s="557"/>
      <c r="F39" s="383">
        <f>'WYDATKI ukł.wyk.'!G483</f>
        <v>343451</v>
      </c>
    </row>
    <row r="40" spans="1:6" ht="12">
      <c r="A40" s="146"/>
      <c r="B40" s="149"/>
      <c r="C40" s="143">
        <v>2329</v>
      </c>
      <c r="D40" s="158" t="s">
        <v>698</v>
      </c>
      <c r="E40" s="557"/>
      <c r="F40" s="383"/>
    </row>
    <row r="41" spans="1:6" ht="12">
      <c r="A41" s="146"/>
      <c r="B41" s="149"/>
      <c r="C41" s="143"/>
      <c r="D41" s="158" t="s">
        <v>699</v>
      </c>
      <c r="E41" s="293">
        <f>'Dochody-ukł.wykon.'!G234</f>
        <v>161624</v>
      </c>
      <c r="F41" s="383"/>
    </row>
    <row r="42" spans="1:6" ht="12">
      <c r="A42" s="146"/>
      <c r="B42" s="149"/>
      <c r="C42" s="143">
        <v>3249</v>
      </c>
      <c r="D42" s="556" t="s">
        <v>675</v>
      </c>
      <c r="E42" s="149"/>
      <c r="F42" s="383">
        <f>'WYDATKI ukł.wyk.'!G484</f>
        <v>161624</v>
      </c>
    </row>
    <row r="43" spans="1:6" ht="12.75" thickBot="1">
      <c r="A43" s="359"/>
      <c r="B43" s="549"/>
      <c r="C43" s="292"/>
      <c r="D43" s="550"/>
      <c r="E43" s="292"/>
      <c r="F43" s="360"/>
    </row>
    <row r="44" spans="1:6" ht="15" customHeight="1" thickBot="1">
      <c r="A44" s="773" t="s">
        <v>577</v>
      </c>
      <c r="B44" s="774"/>
      <c r="C44" s="774"/>
      <c r="D44" s="774"/>
      <c r="E44" s="774"/>
      <c r="F44" s="775"/>
    </row>
    <row r="45" spans="1:6" ht="12" customHeight="1" thickBot="1">
      <c r="A45" s="561">
        <v>801</v>
      </c>
      <c r="B45" s="543"/>
      <c r="C45" s="543"/>
      <c r="D45" s="591" t="s">
        <v>24</v>
      </c>
      <c r="E45" s="569">
        <f>E54+E46</f>
        <v>23000</v>
      </c>
      <c r="F45" s="594">
        <f>F54+F46</f>
        <v>23000</v>
      </c>
    </row>
    <row r="46" spans="1:6" ht="12" customHeight="1">
      <c r="A46" s="602"/>
      <c r="B46" s="564">
        <v>80120</v>
      </c>
      <c r="C46" s="564"/>
      <c r="D46" s="621" t="s">
        <v>36</v>
      </c>
      <c r="E46" s="568">
        <f>E51+E48</f>
        <v>18000</v>
      </c>
      <c r="F46" s="571">
        <f>F52+F49</f>
        <v>18000</v>
      </c>
    </row>
    <row r="47" spans="1:6" ht="12" customHeight="1">
      <c r="A47" s="607"/>
      <c r="B47" s="538"/>
      <c r="C47" s="143">
        <v>2310</v>
      </c>
      <c r="D47" s="158" t="s">
        <v>563</v>
      </c>
      <c r="E47" s="567"/>
      <c r="F47" s="537"/>
    </row>
    <row r="48" spans="1:6" ht="12" customHeight="1">
      <c r="A48" s="607"/>
      <c r="B48" s="538"/>
      <c r="C48" s="143"/>
      <c r="D48" s="160" t="s">
        <v>699</v>
      </c>
      <c r="E48" s="567">
        <f>'Dochody-ukł.wykon.'!G118</f>
        <v>3000</v>
      </c>
      <c r="F48" s="537"/>
    </row>
    <row r="49" spans="1:6" ht="12" customHeight="1">
      <c r="A49" s="607"/>
      <c r="B49" s="538"/>
      <c r="C49" s="538">
        <v>4010</v>
      </c>
      <c r="D49" s="158" t="s">
        <v>213</v>
      </c>
      <c r="E49" s="567"/>
      <c r="F49" s="537">
        <v>3000</v>
      </c>
    </row>
    <row r="50" spans="1:6" ht="12" customHeight="1">
      <c r="A50" s="607"/>
      <c r="B50" s="538"/>
      <c r="C50" s="610" t="s">
        <v>737</v>
      </c>
      <c r="D50" s="160" t="s">
        <v>738</v>
      </c>
      <c r="E50" s="567"/>
      <c r="F50" s="537"/>
    </row>
    <row r="51" spans="1:6" ht="12" customHeight="1">
      <c r="A51" s="607"/>
      <c r="B51" s="538"/>
      <c r="C51" s="610"/>
      <c r="D51" s="160" t="s">
        <v>739</v>
      </c>
      <c r="E51" s="567">
        <f>'Dochody-ukł.wykon.'!G120</f>
        <v>15000</v>
      </c>
      <c r="F51" s="537"/>
    </row>
    <row r="52" spans="1:6" ht="12" customHeight="1">
      <c r="A52" s="607"/>
      <c r="B52" s="538"/>
      <c r="C52" s="143">
        <v>6050</v>
      </c>
      <c r="D52" s="556" t="s">
        <v>226</v>
      </c>
      <c r="E52" s="567"/>
      <c r="F52" s="537">
        <v>15000</v>
      </c>
    </row>
    <row r="53" spans="1:6" ht="12" customHeight="1">
      <c r="A53" s="607"/>
      <c r="B53" s="538"/>
      <c r="C53" s="538"/>
      <c r="D53" s="609"/>
      <c r="E53" s="567"/>
      <c r="F53" s="537"/>
    </row>
    <row r="54" spans="1:6" ht="12" customHeight="1">
      <c r="A54" s="536"/>
      <c r="B54" s="603">
        <v>80130</v>
      </c>
      <c r="C54" s="603"/>
      <c r="D54" s="604" t="s">
        <v>37</v>
      </c>
      <c r="E54" s="605">
        <f>E56</f>
        <v>5000</v>
      </c>
      <c r="F54" s="606">
        <f>F57</f>
        <v>5000</v>
      </c>
    </row>
    <row r="55" spans="1:6" ht="12" customHeight="1">
      <c r="A55" s="536"/>
      <c r="B55" s="538"/>
      <c r="C55" s="538">
        <v>2310</v>
      </c>
      <c r="D55" s="158" t="s">
        <v>563</v>
      </c>
      <c r="E55" s="592"/>
      <c r="F55" s="593"/>
    </row>
    <row r="56" spans="1:6" ht="12" customHeight="1">
      <c r="A56" s="536"/>
      <c r="B56" s="538"/>
      <c r="C56" s="538"/>
      <c r="D56" s="160" t="s">
        <v>699</v>
      </c>
      <c r="E56" s="567">
        <f>'Dochody-ukł.wykon.'!G130</f>
        <v>5000</v>
      </c>
      <c r="F56" s="593"/>
    </row>
    <row r="57" spans="1:6" ht="12" customHeight="1">
      <c r="A57" s="536"/>
      <c r="B57" s="538"/>
      <c r="C57" s="538">
        <v>4240</v>
      </c>
      <c r="D57" s="9" t="s">
        <v>245</v>
      </c>
      <c r="E57" s="592"/>
      <c r="F57" s="537">
        <v>5000</v>
      </c>
    </row>
    <row r="58" spans="1:6" ht="12" customHeight="1">
      <c r="A58" s="536"/>
      <c r="B58" s="538"/>
      <c r="C58" s="538"/>
      <c r="D58" s="538"/>
      <c r="E58" s="538"/>
      <c r="F58" s="608"/>
    </row>
    <row r="59" spans="1:7" ht="12.75" thickBot="1">
      <c r="A59" s="150">
        <v>852</v>
      </c>
      <c r="B59" s="152"/>
      <c r="C59" s="161"/>
      <c r="D59" s="508" t="s">
        <v>277</v>
      </c>
      <c r="E59" s="590">
        <f>E69+E60</f>
        <v>517605</v>
      </c>
      <c r="F59" s="36">
        <f>F69+F60</f>
        <v>517605</v>
      </c>
      <c r="G59" s="30"/>
    </row>
    <row r="60" spans="1:7" ht="12">
      <c r="A60" s="451"/>
      <c r="B60" s="452">
        <v>85201</v>
      </c>
      <c r="C60" s="453"/>
      <c r="D60" s="453" t="s">
        <v>26</v>
      </c>
      <c r="E60" s="509">
        <f>E62</f>
        <v>478800</v>
      </c>
      <c r="F60" s="454">
        <f>SUM(F63:F67)</f>
        <v>478800</v>
      </c>
      <c r="G60" s="30"/>
    </row>
    <row r="61" spans="1:7" ht="12">
      <c r="A61" s="451"/>
      <c r="B61" s="510"/>
      <c r="C61" s="143">
        <v>2310</v>
      </c>
      <c r="D61" s="158" t="s">
        <v>563</v>
      </c>
      <c r="E61" s="169"/>
      <c r="F61" s="356"/>
      <c r="G61" s="30"/>
    </row>
    <row r="62" spans="1:7" ht="12">
      <c r="A62" s="451"/>
      <c r="B62" s="510"/>
      <c r="C62" s="143"/>
      <c r="D62" s="160" t="s">
        <v>699</v>
      </c>
      <c r="E62" s="295">
        <f>'Dochody-ukł.wykon.'!G174</f>
        <v>478800</v>
      </c>
      <c r="F62" s="35"/>
      <c r="G62" s="30"/>
    </row>
    <row r="63" spans="1:7" ht="12">
      <c r="A63" s="451"/>
      <c r="B63" s="510"/>
      <c r="C63" s="143">
        <v>4010</v>
      </c>
      <c r="D63" s="158" t="s">
        <v>213</v>
      </c>
      <c r="E63" s="295"/>
      <c r="F63" s="35">
        <v>371963</v>
      </c>
      <c r="G63" s="30"/>
    </row>
    <row r="64" spans="1:7" ht="12">
      <c r="A64" s="451"/>
      <c r="B64" s="510"/>
      <c r="C64" s="143">
        <v>4110</v>
      </c>
      <c r="D64" s="158" t="s">
        <v>679</v>
      </c>
      <c r="E64" s="295"/>
      <c r="F64" s="35">
        <v>82620</v>
      </c>
      <c r="G64" s="30"/>
    </row>
    <row r="65" spans="1:7" ht="12">
      <c r="A65" s="451"/>
      <c r="B65" s="510"/>
      <c r="C65" s="143">
        <v>4120</v>
      </c>
      <c r="D65" s="160" t="s">
        <v>216</v>
      </c>
      <c r="E65" s="295"/>
      <c r="F65" s="35">
        <v>11417</v>
      </c>
      <c r="G65" s="30"/>
    </row>
    <row r="66" spans="1:7" ht="12">
      <c r="A66" s="451"/>
      <c r="B66" s="510"/>
      <c r="C66" s="143">
        <v>4210</v>
      </c>
      <c r="D66" s="158" t="s">
        <v>217</v>
      </c>
      <c r="E66" s="295"/>
      <c r="F66" s="35">
        <v>7000</v>
      </c>
      <c r="G66" s="30"/>
    </row>
    <row r="67" spans="1:7" ht="12">
      <c r="A67" s="451"/>
      <c r="B67" s="510"/>
      <c r="C67" s="143">
        <v>4300</v>
      </c>
      <c r="D67" s="158" t="s">
        <v>209</v>
      </c>
      <c r="E67" s="295"/>
      <c r="F67" s="35">
        <v>5800</v>
      </c>
      <c r="G67" s="30"/>
    </row>
    <row r="68" spans="1:7" ht="12">
      <c r="A68" s="451"/>
      <c r="B68" s="510"/>
      <c r="C68" s="511"/>
      <c r="D68" s="511"/>
      <c r="E68" s="169"/>
      <c r="F68" s="356"/>
      <c r="G68" s="30"/>
    </row>
    <row r="69" spans="1:6" ht="12">
      <c r="A69" s="146"/>
      <c r="B69" s="147">
        <v>85204</v>
      </c>
      <c r="C69" s="162"/>
      <c r="D69" s="162" t="s">
        <v>28</v>
      </c>
      <c r="E69" s="297">
        <f>E71</f>
        <v>38805</v>
      </c>
      <c r="F69" s="163">
        <f>F72</f>
        <v>38805</v>
      </c>
    </row>
    <row r="70" spans="1:6" ht="12">
      <c r="A70" s="159"/>
      <c r="B70" s="160"/>
      <c r="C70" s="143">
        <v>2310</v>
      </c>
      <c r="D70" s="158" t="s">
        <v>563</v>
      </c>
      <c r="E70" s="295"/>
      <c r="F70" s="35"/>
    </row>
    <row r="71" spans="1:6" ht="12">
      <c r="A71" s="159"/>
      <c r="B71" s="160"/>
      <c r="C71" s="143"/>
      <c r="D71" s="160" t="s">
        <v>699</v>
      </c>
      <c r="E71" s="295">
        <f>'Dochody-ukł.wykon.'!G190</f>
        <v>38805</v>
      </c>
      <c r="F71" s="35"/>
    </row>
    <row r="72" spans="1:6" ht="12">
      <c r="A72" s="159"/>
      <c r="B72" s="160"/>
      <c r="C72" s="143">
        <v>3110</v>
      </c>
      <c r="D72" s="160" t="s">
        <v>251</v>
      </c>
      <c r="E72" s="295"/>
      <c r="F72" s="35">
        <v>38805</v>
      </c>
    </row>
    <row r="73" spans="1:6" ht="12">
      <c r="A73" s="159"/>
      <c r="B73" s="160"/>
      <c r="C73" s="143"/>
      <c r="D73" s="158"/>
      <c r="E73" s="295"/>
      <c r="F73" s="35"/>
    </row>
    <row r="74" spans="1:6" ht="12" customHeight="1" thickBot="1">
      <c r="A74" s="150">
        <v>853</v>
      </c>
      <c r="B74" s="508"/>
      <c r="C74" s="152"/>
      <c r="D74" s="161" t="s">
        <v>273</v>
      </c>
      <c r="E74" s="304">
        <f>E75</f>
        <v>75000</v>
      </c>
      <c r="F74" s="36">
        <f>F75</f>
        <v>75000</v>
      </c>
    </row>
    <row r="75" spans="1:6" ht="12">
      <c r="A75" s="159"/>
      <c r="B75" s="452">
        <v>85395</v>
      </c>
      <c r="C75" s="507"/>
      <c r="D75" s="453" t="s">
        <v>25</v>
      </c>
      <c r="E75" s="509">
        <f>E77</f>
        <v>75000</v>
      </c>
      <c r="F75" s="454">
        <f>F78</f>
        <v>75000</v>
      </c>
    </row>
    <row r="76" spans="1:6" ht="12">
      <c r="A76" s="159"/>
      <c r="B76" s="160"/>
      <c r="C76" s="143">
        <v>2310</v>
      </c>
      <c r="D76" s="158" t="s">
        <v>563</v>
      </c>
      <c r="E76" s="295"/>
      <c r="F76" s="35"/>
    </row>
    <row r="77" spans="1:6" ht="12">
      <c r="A77" s="159"/>
      <c r="B77" s="160"/>
      <c r="C77" s="143"/>
      <c r="D77" s="160" t="s">
        <v>699</v>
      </c>
      <c r="E77" s="295">
        <f>'Dochody-ukł.wykon.'!G221</f>
        <v>75000</v>
      </c>
      <c r="F77" s="35"/>
    </row>
    <row r="78" spans="1:6" ht="12">
      <c r="A78" s="159"/>
      <c r="B78" s="160"/>
      <c r="C78" s="143">
        <v>4270</v>
      </c>
      <c r="D78" s="158" t="s">
        <v>219</v>
      </c>
      <c r="E78" s="295"/>
      <c r="F78" s="35">
        <v>75000</v>
      </c>
    </row>
    <row r="79" spans="1:6" ht="12" customHeight="1" thickBot="1">
      <c r="A79" s="159"/>
      <c r="B79" s="160"/>
      <c r="C79" s="39"/>
      <c r="D79" s="10"/>
      <c r="E79" s="295"/>
      <c r="F79" s="35"/>
    </row>
    <row r="80" spans="1:7" ht="13.5" customHeight="1" thickBot="1">
      <c r="A80" s="572"/>
      <c r="B80" s="573"/>
      <c r="C80" s="573"/>
      <c r="D80" s="574" t="s">
        <v>312</v>
      </c>
      <c r="E80" s="569">
        <f>E59+E28+E74+E35+E15+E45</f>
        <v>1279339</v>
      </c>
      <c r="F80" s="570">
        <f>F59+F28+F74+F35+F15+F45</f>
        <v>1279339</v>
      </c>
      <c r="G80" s="107"/>
    </row>
    <row r="81" spans="1:7" ht="12">
      <c r="A81" s="107"/>
      <c r="B81" s="107"/>
      <c r="C81" s="107"/>
      <c r="D81" s="107"/>
      <c r="E81" s="107"/>
      <c r="F81" s="107"/>
      <c r="G81" s="107"/>
    </row>
    <row r="82" spans="1:7" ht="12">
      <c r="A82" s="107"/>
      <c r="B82" s="107"/>
      <c r="C82" s="107"/>
      <c r="D82" s="107"/>
      <c r="E82" s="107"/>
      <c r="F82" s="107"/>
      <c r="G82" s="107"/>
    </row>
    <row r="83" spans="1:7" ht="12">
      <c r="A83" s="107"/>
      <c r="B83" s="107"/>
      <c r="C83" s="107"/>
      <c r="D83" s="107"/>
      <c r="E83" s="107"/>
      <c r="F83" s="107"/>
      <c r="G83" s="107"/>
    </row>
    <row r="84" spans="1:7" ht="12">
      <c r="A84" s="107"/>
      <c r="B84" s="107"/>
      <c r="C84" s="107"/>
      <c r="D84" s="107"/>
      <c r="E84" s="107"/>
      <c r="F84" s="107"/>
      <c r="G84" s="107"/>
    </row>
    <row r="85" spans="1:7" ht="12">
      <c r="A85" s="107"/>
      <c r="B85" s="107"/>
      <c r="C85" s="107"/>
      <c r="D85" s="107"/>
      <c r="E85" s="107"/>
      <c r="F85" s="107"/>
      <c r="G85" s="107"/>
    </row>
    <row r="86" spans="1:7" ht="12">
      <c r="A86" s="107"/>
      <c r="B86" s="107"/>
      <c r="C86" s="107"/>
      <c r="D86" s="107"/>
      <c r="E86" s="107"/>
      <c r="F86" s="107"/>
      <c r="G86" s="107"/>
    </row>
    <row r="87" spans="1:7" ht="12">
      <c r="A87" s="107"/>
      <c r="B87" s="107"/>
      <c r="C87" s="107"/>
      <c r="D87" s="107"/>
      <c r="E87" s="107"/>
      <c r="F87" s="107"/>
      <c r="G87" s="107"/>
    </row>
    <row r="88" spans="1:7" ht="12">
      <c r="A88" s="107"/>
      <c r="B88" s="107"/>
      <c r="C88" s="107"/>
      <c r="D88" s="107"/>
      <c r="E88" s="107"/>
      <c r="F88" s="107"/>
      <c r="G88" s="107"/>
    </row>
    <row r="89" spans="1:7" ht="12">
      <c r="A89" s="107"/>
      <c r="B89" s="107"/>
      <c r="C89" s="107"/>
      <c r="D89" s="107"/>
      <c r="E89" s="107"/>
      <c r="F89" s="107"/>
      <c r="G89" s="107"/>
    </row>
    <row r="90" spans="1:7" ht="12">
      <c r="A90" s="107"/>
      <c r="B90" s="107"/>
      <c r="C90" s="107"/>
      <c r="D90" s="107"/>
      <c r="E90" s="107"/>
      <c r="F90" s="107"/>
      <c r="G90" s="107"/>
    </row>
    <row r="91" spans="1:7" ht="12">
      <c r="A91" s="107"/>
      <c r="B91" s="107"/>
      <c r="C91" s="107"/>
      <c r="D91" s="107"/>
      <c r="E91" s="107"/>
      <c r="F91" s="107"/>
      <c r="G91" s="107"/>
    </row>
    <row r="92" spans="1:7" ht="12">
      <c r="A92" s="107"/>
      <c r="B92" s="107"/>
      <c r="C92" s="107"/>
      <c r="D92" s="107"/>
      <c r="E92" s="107"/>
      <c r="F92" s="107"/>
      <c r="G92" s="107"/>
    </row>
    <row r="93" spans="1:7" ht="12">
      <c r="A93" s="107"/>
      <c r="B93" s="107"/>
      <c r="C93" s="107"/>
      <c r="D93" s="107"/>
      <c r="E93" s="107"/>
      <c r="F93" s="107"/>
      <c r="G93" s="107"/>
    </row>
    <row r="94" spans="1:7" ht="12">
      <c r="A94" s="107"/>
      <c r="B94" s="107"/>
      <c r="C94" s="107"/>
      <c r="D94" s="107"/>
      <c r="E94" s="107"/>
      <c r="F94" s="107"/>
      <c r="G94" s="107"/>
    </row>
    <row r="95" spans="1:7" ht="12">
      <c r="A95" s="107"/>
      <c r="B95" s="107"/>
      <c r="C95" s="107"/>
      <c r="D95" s="107"/>
      <c r="E95" s="107"/>
      <c r="F95" s="107"/>
      <c r="G95" s="107"/>
    </row>
    <row r="96" spans="1:7" ht="12">
      <c r="A96" s="107"/>
      <c r="B96" s="107"/>
      <c r="C96" s="107"/>
      <c r="D96" s="107"/>
      <c r="E96" s="107"/>
      <c r="F96" s="107"/>
      <c r="G96" s="107"/>
    </row>
    <row r="97" spans="1:7" ht="12">
      <c r="A97" s="107"/>
      <c r="B97" s="107"/>
      <c r="C97" s="107"/>
      <c r="D97" s="107"/>
      <c r="E97" s="107"/>
      <c r="F97" s="107"/>
      <c r="G97" s="107"/>
    </row>
    <row r="98" spans="1:7" ht="12">
      <c r="A98" s="107"/>
      <c r="B98" s="107"/>
      <c r="C98" s="107"/>
      <c r="D98" s="107"/>
      <c r="E98" s="107"/>
      <c r="F98" s="107"/>
      <c r="G98" s="107"/>
    </row>
    <row r="99" spans="1:7" ht="12">
      <c r="A99" s="107"/>
      <c r="B99" s="107"/>
      <c r="C99" s="107"/>
      <c r="D99" s="107"/>
      <c r="E99" s="107"/>
      <c r="F99" s="107"/>
      <c r="G99" s="107"/>
    </row>
    <row r="100" spans="1:7" ht="12">
      <c r="A100" s="107"/>
      <c r="B100" s="107"/>
      <c r="C100" s="107"/>
      <c r="D100" s="107"/>
      <c r="E100" s="107"/>
      <c r="F100" s="107"/>
      <c r="G100" s="107"/>
    </row>
    <row r="101" spans="1:7" ht="12">
      <c r="A101" s="107"/>
      <c r="B101" s="107"/>
      <c r="C101" s="107"/>
      <c r="D101" s="107"/>
      <c r="E101" s="107"/>
      <c r="F101" s="107"/>
      <c r="G101" s="107"/>
    </row>
    <row r="102" spans="1:7" ht="12">
      <c r="A102" s="107"/>
      <c r="B102" s="107"/>
      <c r="C102" s="107"/>
      <c r="D102" s="107"/>
      <c r="E102" s="107"/>
      <c r="F102" s="107"/>
      <c r="G102" s="107"/>
    </row>
    <row r="103" spans="1:7" ht="12">
      <c r="A103" s="107"/>
      <c r="B103" s="107"/>
      <c r="C103" s="107"/>
      <c r="D103" s="107"/>
      <c r="E103" s="107"/>
      <c r="F103" s="107"/>
      <c r="G103" s="107"/>
    </row>
    <row r="104" spans="1:7" ht="12">
      <c r="A104" s="107"/>
      <c r="B104" s="107"/>
      <c r="C104" s="107"/>
      <c r="D104" s="107"/>
      <c r="E104" s="107"/>
      <c r="F104" s="107"/>
      <c r="G104" s="107"/>
    </row>
    <row r="105" spans="1:7" ht="12">
      <c r="A105" s="107"/>
      <c r="B105" s="107"/>
      <c r="C105" s="107"/>
      <c r="D105" s="107"/>
      <c r="E105" s="107"/>
      <c r="F105" s="107"/>
      <c r="G105" s="107"/>
    </row>
    <row r="106" spans="1:7" ht="12">
      <c r="A106" s="107"/>
      <c r="B106" s="107"/>
      <c r="C106" s="107"/>
      <c r="D106" s="107"/>
      <c r="E106" s="107"/>
      <c r="F106" s="107"/>
      <c r="G106" s="107"/>
    </row>
    <row r="107" spans="1:7" ht="12">
      <c r="A107" s="107"/>
      <c r="B107" s="107"/>
      <c r="C107" s="107"/>
      <c r="D107" s="107"/>
      <c r="E107" s="107"/>
      <c r="F107" s="107"/>
      <c r="G107" s="107"/>
    </row>
    <row r="108" spans="1:7" ht="12">
      <c r="A108" s="107"/>
      <c r="B108" s="107"/>
      <c r="C108" s="107"/>
      <c r="D108" s="107"/>
      <c r="E108" s="107"/>
      <c r="F108" s="107"/>
      <c r="G108" s="107"/>
    </row>
    <row r="109" spans="1:7" ht="12">
      <c r="A109" s="107"/>
      <c r="B109" s="107"/>
      <c r="C109" s="107"/>
      <c r="D109" s="107"/>
      <c r="E109" s="107"/>
      <c r="F109" s="107"/>
      <c r="G109" s="107"/>
    </row>
    <row r="110" spans="1:7" ht="12">
      <c r="A110" s="107"/>
      <c r="B110" s="107"/>
      <c r="C110" s="107"/>
      <c r="D110" s="107"/>
      <c r="E110" s="107"/>
      <c r="F110" s="107"/>
      <c r="G110" s="107"/>
    </row>
    <row r="111" spans="1:7" ht="12">
      <c r="A111" s="107"/>
      <c r="B111" s="107"/>
      <c r="C111" s="107"/>
      <c r="D111" s="107"/>
      <c r="E111" s="107"/>
      <c r="F111" s="107"/>
      <c r="G111" s="107"/>
    </row>
    <row r="112" spans="1:7" ht="12">
      <c r="A112" s="107"/>
      <c r="B112" s="107"/>
      <c r="C112" s="107"/>
      <c r="D112" s="107"/>
      <c r="E112" s="107"/>
      <c r="F112" s="107"/>
      <c r="G112" s="107"/>
    </row>
    <row r="113" spans="1:7" ht="12">
      <c r="A113" s="107"/>
      <c r="B113" s="107"/>
      <c r="C113" s="107"/>
      <c r="D113" s="107"/>
      <c r="E113" s="107"/>
      <c r="F113" s="107"/>
      <c r="G113" s="107"/>
    </row>
    <row r="114" spans="1:7" ht="12">
      <c r="A114" s="107"/>
      <c r="B114" s="107"/>
      <c r="C114" s="107"/>
      <c r="D114" s="107"/>
      <c r="E114" s="107"/>
      <c r="F114" s="107"/>
      <c r="G114" s="107"/>
    </row>
    <row r="115" spans="1:7" ht="12">
      <c r="A115" s="107"/>
      <c r="B115" s="107"/>
      <c r="C115" s="107"/>
      <c r="D115" s="107"/>
      <c r="E115" s="107"/>
      <c r="F115" s="107"/>
      <c r="G115" s="107"/>
    </row>
    <row r="116" spans="1:7" ht="12">
      <c r="A116" s="107"/>
      <c r="B116" s="107"/>
      <c r="C116" s="107"/>
      <c r="D116" s="107"/>
      <c r="E116" s="107"/>
      <c r="F116" s="107"/>
      <c r="G116" s="107"/>
    </row>
    <row r="117" spans="1:7" ht="12">
      <c r="A117" s="107"/>
      <c r="B117" s="107"/>
      <c r="C117" s="107"/>
      <c r="D117" s="107"/>
      <c r="E117" s="107"/>
      <c r="F117" s="107"/>
      <c r="G117" s="107"/>
    </row>
    <row r="118" spans="1:7" ht="12">
      <c r="A118" s="107"/>
      <c r="B118" s="107"/>
      <c r="C118" s="107"/>
      <c r="D118" s="107"/>
      <c r="E118" s="107"/>
      <c r="F118" s="107"/>
      <c r="G118" s="107"/>
    </row>
    <row r="119" spans="1:7" ht="12">
      <c r="A119" s="107"/>
      <c r="B119" s="107"/>
      <c r="C119" s="107"/>
      <c r="D119" s="107"/>
      <c r="E119" s="107"/>
      <c r="F119" s="107"/>
      <c r="G119" s="107"/>
    </row>
    <row r="120" spans="1:7" ht="12">
      <c r="A120" s="107"/>
      <c r="B120" s="107"/>
      <c r="C120" s="107"/>
      <c r="D120" s="107"/>
      <c r="E120" s="107"/>
      <c r="F120" s="107"/>
      <c r="G120" s="107"/>
    </row>
    <row r="121" spans="1:7" ht="12">
      <c r="A121" s="107"/>
      <c r="B121" s="107"/>
      <c r="C121" s="107"/>
      <c r="D121" s="107"/>
      <c r="E121" s="107"/>
      <c r="F121" s="107"/>
      <c r="G121" s="107"/>
    </row>
    <row r="122" spans="1:7" ht="12">
      <c r="A122" s="107"/>
      <c r="B122" s="107"/>
      <c r="C122" s="107"/>
      <c r="D122" s="107"/>
      <c r="E122" s="107"/>
      <c r="F122" s="107"/>
      <c r="G122" s="107"/>
    </row>
    <row r="123" spans="1:7" ht="12">
      <c r="A123" s="107"/>
      <c r="B123" s="107"/>
      <c r="C123" s="107"/>
      <c r="D123" s="107"/>
      <c r="E123" s="107"/>
      <c r="F123" s="107"/>
      <c r="G123" s="107"/>
    </row>
    <row r="124" spans="1:7" ht="12">
      <c r="A124" s="107"/>
      <c r="B124" s="107"/>
      <c r="C124" s="107"/>
      <c r="D124" s="107"/>
      <c r="E124" s="107"/>
      <c r="F124" s="107"/>
      <c r="G124" s="107"/>
    </row>
    <row r="125" spans="1:7" ht="12">
      <c r="A125" s="107"/>
      <c r="B125" s="107"/>
      <c r="C125" s="107"/>
      <c r="D125" s="107"/>
      <c r="E125" s="107"/>
      <c r="F125" s="107"/>
      <c r="G125" s="107"/>
    </row>
    <row r="126" spans="1:7" ht="12">
      <c r="A126" s="107"/>
      <c r="B126" s="107"/>
      <c r="C126" s="107"/>
      <c r="D126" s="107"/>
      <c r="E126" s="107"/>
      <c r="F126" s="107"/>
      <c r="G126" s="107"/>
    </row>
    <row r="127" spans="1:7" ht="12">
      <c r="A127" s="107"/>
      <c r="B127" s="107"/>
      <c r="C127" s="107"/>
      <c r="D127" s="107"/>
      <c r="E127" s="107"/>
      <c r="F127" s="107"/>
      <c r="G127" s="107"/>
    </row>
    <row r="128" spans="1:7" ht="12">
      <c r="A128" s="107"/>
      <c r="B128" s="107"/>
      <c r="C128" s="107"/>
      <c r="D128" s="107"/>
      <c r="E128" s="107"/>
      <c r="F128" s="107"/>
      <c r="G128" s="107"/>
    </row>
    <row r="129" spans="1:7" ht="12">
      <c r="A129" s="107"/>
      <c r="B129" s="107"/>
      <c r="C129" s="107"/>
      <c r="D129" s="107"/>
      <c r="E129" s="107"/>
      <c r="F129" s="107"/>
      <c r="G129" s="107"/>
    </row>
    <row r="130" spans="1:7" ht="12">
      <c r="A130" s="107"/>
      <c r="B130" s="107"/>
      <c r="C130" s="107"/>
      <c r="D130" s="107"/>
      <c r="E130" s="107"/>
      <c r="F130" s="107"/>
      <c r="G130" s="107"/>
    </row>
    <row r="131" spans="1:7" ht="12">
      <c r="A131" s="107"/>
      <c r="B131" s="107"/>
      <c r="C131" s="107"/>
      <c r="D131" s="107"/>
      <c r="E131" s="107"/>
      <c r="F131" s="107"/>
      <c r="G131" s="107"/>
    </row>
    <row r="132" spans="1:7" ht="12">
      <c r="A132" s="107"/>
      <c r="B132" s="107"/>
      <c r="C132" s="107"/>
      <c r="D132" s="107"/>
      <c r="E132" s="107"/>
      <c r="F132" s="107"/>
      <c r="G132" s="107"/>
    </row>
    <row r="133" spans="1:7" ht="12">
      <c r="A133" s="107"/>
      <c r="B133" s="107"/>
      <c r="C133" s="107"/>
      <c r="D133" s="107"/>
      <c r="E133" s="107"/>
      <c r="F133" s="107"/>
      <c r="G133" s="107"/>
    </row>
    <row r="134" spans="1:7" ht="12">
      <c r="A134" s="107"/>
      <c r="B134" s="107"/>
      <c r="C134" s="107"/>
      <c r="D134" s="107"/>
      <c r="E134" s="107"/>
      <c r="F134" s="107"/>
      <c r="G134" s="107"/>
    </row>
    <row r="135" spans="1:7" ht="12">
      <c r="A135" s="107"/>
      <c r="B135" s="107"/>
      <c r="C135" s="107"/>
      <c r="D135" s="107"/>
      <c r="E135" s="107"/>
      <c r="F135" s="107"/>
      <c r="G135" s="107"/>
    </row>
    <row r="136" spans="1:7" ht="12">
      <c r="A136" s="107"/>
      <c r="B136" s="107"/>
      <c r="C136" s="107"/>
      <c r="D136" s="107"/>
      <c r="E136" s="107"/>
      <c r="F136" s="107"/>
      <c r="G136" s="107"/>
    </row>
    <row r="137" spans="1:7" ht="12">
      <c r="A137" s="107"/>
      <c r="B137" s="107"/>
      <c r="C137" s="107"/>
      <c r="D137" s="107"/>
      <c r="E137" s="107"/>
      <c r="F137" s="107"/>
      <c r="G137" s="107"/>
    </row>
    <row r="138" spans="1:7" ht="12">
      <c r="A138" s="107"/>
      <c r="B138" s="107"/>
      <c r="C138" s="107"/>
      <c r="D138" s="107"/>
      <c r="E138" s="107"/>
      <c r="F138" s="107"/>
      <c r="G138" s="107"/>
    </row>
    <row r="139" spans="1:7" ht="12">
      <c r="A139" s="107"/>
      <c r="B139" s="107"/>
      <c r="C139" s="107"/>
      <c r="D139" s="107"/>
      <c r="E139" s="107"/>
      <c r="F139" s="107"/>
      <c r="G139" s="107"/>
    </row>
    <row r="140" spans="1:7" ht="12">
      <c r="A140" s="107"/>
      <c r="B140" s="107"/>
      <c r="C140" s="107"/>
      <c r="D140" s="107"/>
      <c r="E140" s="107"/>
      <c r="F140" s="107"/>
      <c r="G140" s="107"/>
    </row>
    <row r="141" spans="1:7" ht="12">
      <c r="A141" s="107"/>
      <c r="B141" s="107"/>
      <c r="C141" s="107"/>
      <c r="D141" s="107"/>
      <c r="E141" s="107"/>
      <c r="F141" s="107"/>
      <c r="G141" s="107"/>
    </row>
    <row r="142" spans="1:7" ht="12">
      <c r="A142" s="107"/>
      <c r="B142" s="107"/>
      <c r="C142" s="107"/>
      <c r="D142" s="107"/>
      <c r="E142" s="107"/>
      <c r="F142" s="107"/>
      <c r="G142" s="107"/>
    </row>
    <row r="143" spans="1:7" ht="12">
      <c r="A143" s="107"/>
      <c r="B143" s="107"/>
      <c r="C143" s="107"/>
      <c r="D143" s="107"/>
      <c r="E143" s="107"/>
      <c r="F143" s="107"/>
      <c r="G143" s="107"/>
    </row>
    <row r="144" spans="1:7" ht="12">
      <c r="A144" s="107"/>
      <c r="B144" s="107"/>
      <c r="C144" s="107"/>
      <c r="D144" s="107"/>
      <c r="E144" s="107"/>
      <c r="F144" s="107"/>
      <c r="G144" s="107"/>
    </row>
    <row r="145" spans="1:7" ht="12">
      <c r="A145" s="107"/>
      <c r="B145" s="107"/>
      <c r="C145" s="107"/>
      <c r="D145" s="107"/>
      <c r="E145" s="107"/>
      <c r="F145" s="107"/>
      <c r="G145" s="107"/>
    </row>
    <row r="146" spans="1:7" ht="12">
      <c r="A146" s="107"/>
      <c r="B146" s="107"/>
      <c r="C146" s="107"/>
      <c r="D146" s="107"/>
      <c r="E146" s="107"/>
      <c r="F146" s="107"/>
      <c r="G146" s="107"/>
    </row>
    <row r="147" spans="1:7" ht="12">
      <c r="A147" s="107"/>
      <c r="B147" s="107"/>
      <c r="C147" s="107"/>
      <c r="D147" s="107"/>
      <c r="E147" s="107"/>
      <c r="F147" s="107"/>
      <c r="G147" s="107"/>
    </row>
    <row r="148" spans="1:7" ht="12">
      <c r="A148" s="107"/>
      <c r="B148" s="107"/>
      <c r="C148" s="107"/>
      <c r="D148" s="107"/>
      <c r="E148" s="107"/>
      <c r="F148" s="107"/>
      <c r="G148" s="107"/>
    </row>
    <row r="149" spans="1:7" ht="12">
      <c r="A149" s="107"/>
      <c r="B149" s="107"/>
      <c r="C149" s="107"/>
      <c r="D149" s="107"/>
      <c r="E149" s="107"/>
      <c r="F149" s="107"/>
      <c r="G149" s="107"/>
    </row>
    <row r="150" spans="1:7" ht="12">
      <c r="A150" s="107"/>
      <c r="B150" s="107"/>
      <c r="C150" s="107"/>
      <c r="D150" s="107"/>
      <c r="E150" s="107"/>
      <c r="F150" s="107"/>
      <c r="G150" s="107"/>
    </row>
    <row r="151" spans="1:7" ht="12">
      <c r="A151" s="107"/>
      <c r="B151" s="107"/>
      <c r="C151" s="107"/>
      <c r="D151" s="107"/>
      <c r="E151" s="107"/>
      <c r="F151" s="107"/>
      <c r="G151" s="107"/>
    </row>
    <row r="152" spans="1:7" ht="12">
      <c r="A152" s="107"/>
      <c r="B152" s="107"/>
      <c r="C152" s="107"/>
      <c r="D152" s="107"/>
      <c r="E152" s="107"/>
      <c r="F152" s="107"/>
      <c r="G152" s="107"/>
    </row>
    <row r="153" spans="1:7" ht="12">
      <c r="A153" s="107"/>
      <c r="B153" s="107"/>
      <c r="C153" s="107"/>
      <c r="D153" s="107"/>
      <c r="E153" s="107"/>
      <c r="F153" s="107"/>
      <c r="G153" s="107"/>
    </row>
    <row r="154" spans="1:7" ht="12">
      <c r="A154" s="107"/>
      <c r="B154" s="107"/>
      <c r="C154" s="107"/>
      <c r="D154" s="107"/>
      <c r="E154" s="107"/>
      <c r="F154" s="107"/>
      <c r="G154" s="107"/>
    </row>
    <row r="155" spans="1:7" ht="12">
      <c r="A155" s="107"/>
      <c r="B155" s="107"/>
      <c r="C155" s="107"/>
      <c r="D155" s="107"/>
      <c r="E155" s="107"/>
      <c r="F155" s="107"/>
      <c r="G155" s="107"/>
    </row>
    <row r="156" spans="1:7" ht="12">
      <c r="A156" s="107"/>
      <c r="B156" s="107"/>
      <c r="C156" s="107"/>
      <c r="D156" s="107"/>
      <c r="E156" s="107"/>
      <c r="F156" s="107"/>
      <c r="G156" s="107"/>
    </row>
    <row r="157" spans="1:7" ht="12">
      <c r="A157" s="107"/>
      <c r="B157" s="107"/>
      <c r="C157" s="107"/>
      <c r="D157" s="107"/>
      <c r="E157" s="107"/>
      <c r="F157" s="107"/>
      <c r="G157" s="107"/>
    </row>
    <row r="158" spans="1:7" ht="12">
      <c r="A158" s="107"/>
      <c r="B158" s="107"/>
      <c r="C158" s="107"/>
      <c r="D158" s="107"/>
      <c r="E158" s="107"/>
      <c r="F158" s="107"/>
      <c r="G158" s="107"/>
    </row>
    <row r="159" spans="1:7" ht="12">
      <c r="A159" s="107"/>
      <c r="B159" s="107"/>
      <c r="C159" s="107"/>
      <c r="D159" s="107"/>
      <c r="E159" s="107"/>
      <c r="F159" s="107"/>
      <c r="G159" s="107"/>
    </row>
    <row r="160" spans="1:7" ht="12">
      <c r="A160" s="107"/>
      <c r="B160" s="107"/>
      <c r="C160" s="107"/>
      <c r="D160" s="107"/>
      <c r="E160" s="107"/>
      <c r="F160" s="107"/>
      <c r="G160" s="107"/>
    </row>
    <row r="161" spans="1:7" ht="12">
      <c r="A161" s="107"/>
      <c r="B161" s="107"/>
      <c r="C161" s="107"/>
      <c r="D161" s="107"/>
      <c r="E161" s="107"/>
      <c r="F161" s="107"/>
      <c r="G161" s="107"/>
    </row>
    <row r="162" spans="1:7" ht="12">
      <c r="A162" s="107"/>
      <c r="B162" s="107"/>
      <c r="C162" s="107"/>
      <c r="D162" s="107"/>
      <c r="E162" s="107"/>
      <c r="F162" s="107"/>
      <c r="G162" s="107"/>
    </row>
    <row r="163" spans="1:7" ht="12">
      <c r="A163" s="107"/>
      <c r="B163" s="107"/>
      <c r="C163" s="107"/>
      <c r="D163" s="107"/>
      <c r="E163" s="107"/>
      <c r="F163" s="107"/>
      <c r="G163" s="107"/>
    </row>
    <row r="164" spans="1:7" ht="12">
      <c r="A164" s="107"/>
      <c r="B164" s="107"/>
      <c r="C164" s="107"/>
      <c r="D164" s="107"/>
      <c r="E164" s="107"/>
      <c r="F164" s="107"/>
      <c r="G164" s="107"/>
    </row>
    <row r="165" spans="1:7" ht="12">
      <c r="A165" s="107"/>
      <c r="B165" s="107"/>
      <c r="C165" s="107"/>
      <c r="D165" s="107"/>
      <c r="E165" s="107"/>
      <c r="F165" s="107"/>
      <c r="G165" s="107"/>
    </row>
    <row r="166" spans="1:7" ht="12">
      <c r="A166" s="107"/>
      <c r="B166" s="107"/>
      <c r="C166" s="107"/>
      <c r="D166" s="107"/>
      <c r="E166" s="107"/>
      <c r="F166" s="107"/>
      <c r="G166" s="107"/>
    </row>
    <row r="167" spans="1:7" ht="12">
      <c r="A167" s="107"/>
      <c r="B167" s="107"/>
      <c r="C167" s="107"/>
      <c r="D167" s="107"/>
      <c r="E167" s="107"/>
      <c r="F167" s="107"/>
      <c r="G167" s="107"/>
    </row>
    <row r="168" spans="1:7" ht="12">
      <c r="A168" s="107"/>
      <c r="B168" s="107"/>
      <c r="C168" s="107"/>
      <c r="D168" s="107"/>
      <c r="E168" s="107"/>
      <c r="F168" s="107"/>
      <c r="G168" s="107"/>
    </row>
    <row r="169" spans="1:7" ht="12">
      <c r="A169" s="107"/>
      <c r="B169" s="107"/>
      <c r="C169" s="107"/>
      <c r="D169" s="107"/>
      <c r="E169" s="107"/>
      <c r="F169" s="107"/>
      <c r="G169" s="107"/>
    </row>
    <row r="170" spans="1:7" ht="12">
      <c r="A170" s="107"/>
      <c r="B170" s="107"/>
      <c r="C170" s="107"/>
      <c r="D170" s="107"/>
      <c r="E170" s="107"/>
      <c r="F170" s="107"/>
      <c r="G170" s="107"/>
    </row>
    <row r="171" spans="1:7" ht="12">
      <c r="A171" s="107"/>
      <c r="B171" s="107"/>
      <c r="C171" s="107"/>
      <c r="D171" s="107"/>
      <c r="E171" s="107"/>
      <c r="F171" s="107"/>
      <c r="G171" s="107"/>
    </row>
    <row r="172" spans="1:7" ht="12">
      <c r="A172" s="107"/>
      <c r="B172" s="107"/>
      <c r="C172" s="107"/>
      <c r="D172" s="107"/>
      <c r="E172" s="107"/>
      <c r="F172" s="107"/>
      <c r="G172" s="107"/>
    </row>
    <row r="173" spans="1:7" ht="12">
      <c r="A173" s="107"/>
      <c r="B173" s="107"/>
      <c r="C173" s="107"/>
      <c r="D173" s="107"/>
      <c r="E173" s="107"/>
      <c r="F173" s="107"/>
      <c r="G173" s="107"/>
    </row>
    <row r="174" spans="1:7" ht="12">
      <c r="A174" s="107"/>
      <c r="B174" s="107"/>
      <c r="C174" s="107"/>
      <c r="D174" s="107"/>
      <c r="E174" s="107"/>
      <c r="F174" s="107"/>
      <c r="G174" s="107"/>
    </row>
    <row r="175" spans="1:7" ht="12">
      <c r="A175" s="107"/>
      <c r="B175" s="107"/>
      <c r="C175" s="107"/>
      <c r="D175" s="107"/>
      <c r="E175" s="107"/>
      <c r="F175" s="107"/>
      <c r="G175" s="107"/>
    </row>
    <row r="176" spans="1:7" ht="12">
      <c r="A176" s="107"/>
      <c r="B176" s="107"/>
      <c r="C176" s="107"/>
      <c r="D176" s="107"/>
      <c r="E176" s="107"/>
      <c r="F176" s="107"/>
      <c r="G176" s="107"/>
    </row>
    <row r="177" spans="1:7" ht="12">
      <c r="A177" s="107"/>
      <c r="B177" s="107"/>
      <c r="C177" s="107"/>
      <c r="D177" s="107"/>
      <c r="E177" s="107"/>
      <c r="F177" s="107"/>
      <c r="G177" s="107"/>
    </row>
    <row r="178" spans="1:7" ht="12">
      <c r="A178" s="107"/>
      <c r="B178" s="107"/>
      <c r="C178" s="107"/>
      <c r="D178" s="107"/>
      <c r="E178" s="107"/>
      <c r="F178" s="107"/>
      <c r="G178" s="107"/>
    </row>
    <row r="179" spans="1:7" ht="12">
      <c r="A179" s="107"/>
      <c r="B179" s="107"/>
      <c r="C179" s="107"/>
      <c r="D179" s="107"/>
      <c r="E179" s="107"/>
      <c r="F179" s="107"/>
      <c r="G179" s="107"/>
    </row>
    <row r="180" spans="1:7" ht="12">
      <c r="A180" s="107"/>
      <c r="B180" s="107"/>
      <c r="C180" s="107"/>
      <c r="D180" s="107"/>
      <c r="E180" s="107"/>
      <c r="F180" s="107"/>
      <c r="G180" s="107"/>
    </row>
    <row r="181" spans="1:7" ht="12">
      <c r="A181" s="107"/>
      <c r="B181" s="107"/>
      <c r="C181" s="107"/>
      <c r="D181" s="107"/>
      <c r="E181" s="107"/>
      <c r="F181" s="107"/>
      <c r="G181" s="107"/>
    </row>
    <row r="182" spans="1:7" ht="12">
      <c r="A182" s="107"/>
      <c r="B182" s="107"/>
      <c r="C182" s="107"/>
      <c r="D182" s="107"/>
      <c r="E182" s="107"/>
      <c r="F182" s="107"/>
      <c r="G182" s="107"/>
    </row>
    <row r="183" spans="1:7" ht="12">
      <c r="A183" s="107"/>
      <c r="B183" s="107"/>
      <c r="C183" s="107"/>
      <c r="D183" s="107"/>
      <c r="E183" s="107"/>
      <c r="F183" s="107"/>
      <c r="G183" s="107"/>
    </row>
    <row r="184" spans="1:7" ht="12">
      <c r="A184" s="107"/>
      <c r="B184" s="107"/>
      <c r="C184" s="107"/>
      <c r="D184" s="107"/>
      <c r="E184" s="107"/>
      <c r="F184" s="107"/>
      <c r="G184" s="107"/>
    </row>
    <row r="185" spans="1:7" ht="12">
      <c r="A185" s="107"/>
      <c r="B185" s="107"/>
      <c r="C185" s="107"/>
      <c r="D185" s="107"/>
      <c r="E185" s="107"/>
      <c r="F185" s="107"/>
      <c r="G185" s="107"/>
    </row>
    <row r="186" spans="1:7" ht="12">
      <c r="A186" s="107"/>
      <c r="B186" s="107"/>
      <c r="C186" s="107"/>
      <c r="D186" s="107"/>
      <c r="E186" s="107"/>
      <c r="F186" s="107"/>
      <c r="G186" s="107"/>
    </row>
    <row r="187" spans="1:7" ht="12">
      <c r="A187" s="107"/>
      <c r="B187" s="107"/>
      <c r="C187" s="107"/>
      <c r="D187" s="107"/>
      <c r="E187" s="107"/>
      <c r="F187" s="107"/>
      <c r="G187" s="107"/>
    </row>
    <row r="188" spans="1:7" ht="12">
      <c r="A188" s="107"/>
      <c r="B188" s="107"/>
      <c r="C188" s="107"/>
      <c r="D188" s="107"/>
      <c r="E188" s="107"/>
      <c r="F188" s="107"/>
      <c r="G188" s="107"/>
    </row>
    <row r="189" spans="1:7" ht="12">
      <c r="A189" s="107"/>
      <c r="B189" s="107"/>
      <c r="C189" s="107"/>
      <c r="D189" s="107"/>
      <c r="E189" s="107"/>
      <c r="F189" s="107"/>
      <c r="G189" s="107"/>
    </row>
    <row r="190" spans="1:7" ht="12">
      <c r="A190" s="107"/>
      <c r="B190" s="107"/>
      <c r="C190" s="107"/>
      <c r="D190" s="107"/>
      <c r="E190" s="107"/>
      <c r="F190" s="107"/>
      <c r="G190" s="107"/>
    </row>
    <row r="191" spans="1:7" ht="12">
      <c r="A191" s="107"/>
      <c r="B191" s="107"/>
      <c r="C191" s="107"/>
      <c r="D191" s="107"/>
      <c r="E191" s="107"/>
      <c r="F191" s="107"/>
      <c r="G191" s="107"/>
    </row>
    <row r="192" spans="1:7" ht="12">
      <c r="A192" s="107"/>
      <c r="B192" s="107"/>
      <c r="C192" s="107"/>
      <c r="D192" s="107"/>
      <c r="E192" s="107"/>
      <c r="F192" s="107"/>
      <c r="G192" s="107"/>
    </row>
    <row r="193" spans="1:7" ht="12">
      <c r="A193" s="107"/>
      <c r="B193" s="107"/>
      <c r="C193" s="107"/>
      <c r="D193" s="107"/>
      <c r="E193" s="107"/>
      <c r="F193" s="107"/>
      <c r="G193" s="107"/>
    </row>
    <row r="194" spans="1:7" ht="12">
      <c r="A194" s="107"/>
      <c r="B194" s="107"/>
      <c r="C194" s="107"/>
      <c r="D194" s="107"/>
      <c r="E194" s="107"/>
      <c r="F194" s="107"/>
      <c r="G194" s="107"/>
    </row>
    <row r="195" spans="1:7" ht="12">
      <c r="A195" s="107"/>
      <c r="B195" s="107"/>
      <c r="C195" s="107"/>
      <c r="D195" s="107"/>
      <c r="E195" s="107"/>
      <c r="F195" s="107"/>
      <c r="G195" s="107"/>
    </row>
    <row r="196" spans="1:7" ht="12">
      <c r="A196" s="107"/>
      <c r="B196" s="107"/>
      <c r="C196" s="107"/>
      <c r="D196" s="107"/>
      <c r="E196" s="107"/>
      <c r="F196" s="107"/>
      <c r="G196" s="107"/>
    </row>
    <row r="197" spans="1:7" ht="12">
      <c r="A197" s="107"/>
      <c r="B197" s="107"/>
      <c r="C197" s="107"/>
      <c r="D197" s="107"/>
      <c r="E197" s="107"/>
      <c r="F197" s="107"/>
      <c r="G197" s="107"/>
    </row>
    <row r="198" spans="1:7" ht="12">
      <c r="A198" s="107"/>
      <c r="B198" s="107"/>
      <c r="C198" s="107"/>
      <c r="D198" s="107"/>
      <c r="E198" s="107"/>
      <c r="F198" s="107"/>
      <c r="G198" s="107"/>
    </row>
    <row r="199" spans="1:7" ht="12">
      <c r="A199" s="107"/>
      <c r="B199" s="107"/>
      <c r="C199" s="107"/>
      <c r="D199" s="107"/>
      <c r="E199" s="107"/>
      <c r="F199" s="107"/>
      <c r="G199" s="107"/>
    </row>
    <row r="200" spans="1:7" ht="12">
      <c r="A200" s="107"/>
      <c r="B200" s="107"/>
      <c r="C200" s="107"/>
      <c r="D200" s="107"/>
      <c r="E200" s="107"/>
      <c r="F200" s="107"/>
      <c r="G200" s="107"/>
    </row>
    <row r="201" spans="1:7" ht="12">
      <c r="A201" s="107"/>
      <c r="B201" s="107"/>
      <c r="C201" s="107"/>
      <c r="D201" s="107"/>
      <c r="E201" s="107"/>
      <c r="F201" s="107"/>
      <c r="G201" s="107"/>
    </row>
    <row r="202" spans="1:7" ht="12">
      <c r="A202" s="107"/>
      <c r="B202" s="107"/>
      <c r="C202" s="107"/>
      <c r="D202" s="107"/>
      <c r="E202" s="107"/>
      <c r="F202" s="107"/>
      <c r="G202" s="107"/>
    </row>
    <row r="203" spans="1:7" ht="12">
      <c r="A203" s="107"/>
      <c r="B203" s="107"/>
      <c r="C203" s="107"/>
      <c r="D203" s="107"/>
      <c r="E203" s="107"/>
      <c r="F203" s="107"/>
      <c r="G203" s="107"/>
    </row>
    <row r="204" spans="1:7" ht="12">
      <c r="A204" s="107"/>
      <c r="B204" s="107"/>
      <c r="C204" s="107"/>
      <c r="D204" s="107"/>
      <c r="E204" s="107"/>
      <c r="F204" s="107"/>
      <c r="G204" s="107"/>
    </row>
    <row r="205" spans="1:7" ht="12">
      <c r="A205" s="107"/>
      <c r="B205" s="107"/>
      <c r="C205" s="107"/>
      <c r="D205" s="107"/>
      <c r="E205" s="107"/>
      <c r="F205" s="107"/>
      <c r="G205" s="107"/>
    </row>
    <row r="206" spans="1:7" ht="12">
      <c r="A206" s="107"/>
      <c r="B206" s="107"/>
      <c r="C206" s="107"/>
      <c r="D206" s="107"/>
      <c r="E206" s="107"/>
      <c r="F206" s="107"/>
      <c r="G206" s="107"/>
    </row>
    <row r="207" spans="1:7" ht="12">
      <c r="A207" s="107"/>
      <c r="B207" s="107"/>
      <c r="C207" s="107"/>
      <c r="D207" s="107"/>
      <c r="E207" s="107"/>
      <c r="F207" s="107"/>
      <c r="G207" s="107"/>
    </row>
    <row r="208" spans="1:7" ht="12">
      <c r="A208" s="107"/>
      <c r="B208" s="107"/>
      <c r="C208" s="107"/>
      <c r="D208" s="107"/>
      <c r="E208" s="107"/>
      <c r="F208" s="107"/>
      <c r="G208" s="107"/>
    </row>
    <row r="209" spans="1:7" ht="12">
      <c r="A209" s="107"/>
      <c r="B209" s="107"/>
      <c r="C209" s="107"/>
      <c r="D209" s="107"/>
      <c r="E209" s="107"/>
      <c r="F209" s="107"/>
      <c r="G209" s="107"/>
    </row>
    <row r="210" spans="1:7" ht="12">
      <c r="A210" s="107"/>
      <c r="B210" s="107"/>
      <c r="C210" s="107"/>
      <c r="D210" s="107"/>
      <c r="E210" s="107"/>
      <c r="F210" s="107"/>
      <c r="G210" s="107"/>
    </row>
    <row r="211" spans="1:7" ht="12">
      <c r="A211" s="107"/>
      <c r="B211" s="107"/>
      <c r="C211" s="107"/>
      <c r="D211" s="107"/>
      <c r="E211" s="107"/>
      <c r="F211" s="107"/>
      <c r="G211" s="107"/>
    </row>
    <row r="212" spans="1:7" ht="12">
      <c r="A212" s="107"/>
      <c r="B212" s="107"/>
      <c r="C212" s="107"/>
      <c r="D212" s="107"/>
      <c r="E212" s="107"/>
      <c r="F212" s="107"/>
      <c r="G212" s="107"/>
    </row>
    <row r="213" spans="1:7" ht="12">
      <c r="A213" s="107"/>
      <c r="B213" s="107"/>
      <c r="C213" s="107"/>
      <c r="D213" s="107"/>
      <c r="E213" s="107"/>
      <c r="F213" s="107"/>
      <c r="G213" s="107"/>
    </row>
    <row r="214" spans="1:7" ht="12">
      <c r="A214" s="107"/>
      <c r="B214" s="107"/>
      <c r="C214" s="107"/>
      <c r="D214" s="107"/>
      <c r="E214" s="107"/>
      <c r="F214" s="107"/>
      <c r="G214" s="107"/>
    </row>
    <row r="215" spans="1:7" ht="12">
      <c r="A215" s="107"/>
      <c r="B215" s="107"/>
      <c r="C215" s="107"/>
      <c r="D215" s="107"/>
      <c r="E215" s="107"/>
      <c r="F215" s="107"/>
      <c r="G215" s="107"/>
    </row>
    <row r="216" spans="1:7" ht="12">
      <c r="A216" s="107"/>
      <c r="B216" s="107"/>
      <c r="C216" s="107"/>
      <c r="D216" s="107"/>
      <c r="E216" s="107"/>
      <c r="F216" s="107"/>
      <c r="G216" s="107"/>
    </row>
    <row r="217" spans="1:7" ht="12">
      <c r="A217" s="107"/>
      <c r="B217" s="107"/>
      <c r="C217" s="107"/>
      <c r="D217" s="107"/>
      <c r="E217" s="107"/>
      <c r="F217" s="107"/>
      <c r="G217" s="107"/>
    </row>
    <row r="218" spans="1:7" ht="12">
      <c r="A218" s="107"/>
      <c r="B218" s="107"/>
      <c r="C218" s="107"/>
      <c r="D218" s="107"/>
      <c r="E218" s="107"/>
      <c r="F218" s="107"/>
      <c r="G218" s="107"/>
    </row>
    <row r="219" spans="1:7" ht="12">
      <c r="A219" s="107"/>
      <c r="B219" s="107"/>
      <c r="C219" s="107"/>
      <c r="D219" s="107"/>
      <c r="E219" s="107"/>
      <c r="F219" s="107"/>
      <c r="G219" s="107"/>
    </row>
    <row r="220" spans="1:7" ht="12">
      <c r="A220" s="107"/>
      <c r="B220" s="107"/>
      <c r="C220" s="107"/>
      <c r="D220" s="107"/>
      <c r="E220" s="107"/>
      <c r="F220" s="107"/>
      <c r="G220" s="107"/>
    </row>
    <row r="221" spans="1:7" ht="12">
      <c r="A221" s="107"/>
      <c r="B221" s="107"/>
      <c r="C221" s="107"/>
      <c r="D221" s="107"/>
      <c r="E221" s="107"/>
      <c r="F221" s="107"/>
      <c r="G221" s="107"/>
    </row>
    <row r="222" spans="1:7" ht="12">
      <c r="A222" s="107"/>
      <c r="B222" s="107"/>
      <c r="C222" s="107"/>
      <c r="D222" s="107"/>
      <c r="E222" s="107"/>
      <c r="F222" s="107"/>
      <c r="G222" s="107"/>
    </row>
    <row r="223" spans="1:7" ht="12">
      <c r="A223" s="107"/>
      <c r="B223" s="107"/>
      <c r="C223" s="107"/>
      <c r="D223" s="107"/>
      <c r="E223" s="107"/>
      <c r="F223" s="107"/>
      <c r="G223" s="107"/>
    </row>
    <row r="224" spans="1:7" ht="12">
      <c r="A224" s="107"/>
      <c r="B224" s="107"/>
      <c r="C224" s="107"/>
      <c r="D224" s="107"/>
      <c r="E224" s="107"/>
      <c r="F224" s="107"/>
      <c r="G224" s="107"/>
    </row>
    <row r="225" spans="1:7" ht="12">
      <c r="A225" s="107"/>
      <c r="B225" s="107"/>
      <c r="C225" s="107"/>
      <c r="D225" s="107"/>
      <c r="E225" s="107"/>
      <c r="F225" s="107"/>
      <c r="G225" s="107"/>
    </row>
    <row r="226" spans="1:7" ht="12">
      <c r="A226" s="107"/>
      <c r="B226" s="107"/>
      <c r="C226" s="107"/>
      <c r="D226" s="107"/>
      <c r="E226" s="107"/>
      <c r="F226" s="107"/>
      <c r="G226" s="107"/>
    </row>
    <row r="227" spans="1:7" ht="12">
      <c r="A227" s="107"/>
      <c r="B227" s="107"/>
      <c r="C227" s="107"/>
      <c r="D227" s="107"/>
      <c r="E227" s="107"/>
      <c r="F227" s="107"/>
      <c r="G227" s="107"/>
    </row>
    <row r="228" spans="1:7" ht="12">
      <c r="A228" s="107"/>
      <c r="B228" s="107"/>
      <c r="C228" s="107"/>
      <c r="D228" s="107"/>
      <c r="E228" s="107"/>
      <c r="F228" s="107"/>
      <c r="G228" s="107"/>
    </row>
    <row r="229" spans="1:7" ht="12">
      <c r="A229" s="107"/>
      <c r="B229" s="107"/>
      <c r="C229" s="107"/>
      <c r="D229" s="107"/>
      <c r="E229" s="107"/>
      <c r="F229" s="107"/>
      <c r="G229" s="107"/>
    </row>
    <row r="230" spans="1:7" ht="12">
      <c r="A230" s="107"/>
      <c r="B230" s="107"/>
      <c r="C230" s="107"/>
      <c r="D230" s="107"/>
      <c r="E230" s="107"/>
      <c r="F230" s="107"/>
      <c r="G230" s="107"/>
    </row>
    <row r="231" spans="1:7" ht="12">
      <c r="A231" s="107"/>
      <c r="B231" s="107"/>
      <c r="C231" s="107"/>
      <c r="D231" s="107"/>
      <c r="E231" s="107"/>
      <c r="F231" s="107"/>
      <c r="G231" s="107"/>
    </row>
    <row r="232" spans="1:7" ht="12">
      <c r="A232" s="107"/>
      <c r="B232" s="107"/>
      <c r="C232" s="107"/>
      <c r="D232" s="107"/>
      <c r="E232" s="107"/>
      <c r="F232" s="107"/>
      <c r="G232" s="107"/>
    </row>
    <row r="233" spans="1:7" ht="12">
      <c r="A233" s="107"/>
      <c r="B233" s="107"/>
      <c r="C233" s="107"/>
      <c r="D233" s="107"/>
      <c r="E233" s="107"/>
      <c r="F233" s="107"/>
      <c r="G233" s="107"/>
    </row>
    <row r="234" spans="1:7" ht="12">
      <c r="A234" s="107"/>
      <c r="B234" s="107"/>
      <c r="C234" s="107"/>
      <c r="D234" s="107"/>
      <c r="E234" s="107"/>
      <c r="F234" s="107"/>
      <c r="G234" s="107"/>
    </row>
    <row r="235" spans="1:7" ht="12">
      <c r="A235" s="107"/>
      <c r="B235" s="107"/>
      <c r="C235" s="107"/>
      <c r="D235" s="107"/>
      <c r="E235" s="107"/>
      <c r="F235" s="107"/>
      <c r="G235" s="107"/>
    </row>
    <row r="236" spans="1:7" ht="12">
      <c r="A236" s="107"/>
      <c r="B236" s="107"/>
      <c r="C236" s="107"/>
      <c r="D236" s="107"/>
      <c r="E236" s="107"/>
      <c r="F236" s="107"/>
      <c r="G236" s="107"/>
    </row>
    <row r="237" spans="1:7" ht="12">
      <c r="A237" s="107"/>
      <c r="B237" s="107"/>
      <c r="C237" s="107"/>
      <c r="D237" s="107"/>
      <c r="E237" s="107"/>
      <c r="F237" s="107"/>
      <c r="G237" s="107"/>
    </row>
    <row r="238" spans="1:7" ht="12">
      <c r="A238" s="107"/>
      <c r="B238" s="107"/>
      <c r="C238" s="107"/>
      <c r="D238" s="107"/>
      <c r="E238" s="107"/>
      <c r="F238" s="107"/>
      <c r="G238" s="107"/>
    </row>
    <row r="239" spans="1:7" ht="12">
      <c r="A239" s="107"/>
      <c r="B239" s="107"/>
      <c r="C239" s="107"/>
      <c r="D239" s="107"/>
      <c r="E239" s="107"/>
      <c r="F239" s="107"/>
      <c r="G239" s="107"/>
    </row>
    <row r="240" spans="1:7" ht="12">
      <c r="A240" s="107"/>
      <c r="B240" s="107"/>
      <c r="C240" s="107"/>
      <c r="D240" s="107"/>
      <c r="E240" s="107"/>
      <c r="F240" s="107"/>
      <c r="G240" s="107"/>
    </row>
    <row r="241" spans="1:7" ht="12">
      <c r="A241" s="107"/>
      <c r="B241" s="107"/>
      <c r="C241" s="107"/>
      <c r="D241" s="107"/>
      <c r="E241" s="107"/>
      <c r="F241" s="107"/>
      <c r="G241" s="107"/>
    </row>
    <row r="242" spans="1:7" ht="12">
      <c r="A242" s="107"/>
      <c r="B242" s="107"/>
      <c r="C242" s="107"/>
      <c r="D242" s="107"/>
      <c r="E242" s="107"/>
      <c r="F242" s="107"/>
      <c r="G242" s="107"/>
    </row>
    <row r="243" spans="1:7" ht="12">
      <c r="A243" s="107"/>
      <c r="B243" s="107"/>
      <c r="C243" s="107"/>
      <c r="D243" s="107"/>
      <c r="E243" s="107"/>
      <c r="F243" s="107"/>
      <c r="G243" s="107"/>
    </row>
    <row r="244" spans="1:7" ht="12">
      <c r="A244" s="107"/>
      <c r="B244" s="107"/>
      <c r="C244" s="107"/>
      <c r="D244" s="107"/>
      <c r="E244" s="107"/>
      <c r="F244" s="107"/>
      <c r="G244" s="107"/>
    </row>
    <row r="245" spans="1:7" ht="12">
      <c r="A245" s="107"/>
      <c r="B245" s="107"/>
      <c r="C245" s="107"/>
      <c r="D245" s="107"/>
      <c r="E245" s="107"/>
      <c r="F245" s="107"/>
      <c r="G245" s="107"/>
    </row>
    <row r="246" spans="1:7" ht="12">
      <c r="A246" s="107"/>
      <c r="B246" s="107"/>
      <c r="C246" s="107"/>
      <c r="D246" s="107"/>
      <c r="E246" s="107"/>
      <c r="F246" s="107"/>
      <c r="G246" s="107"/>
    </row>
    <row r="247" spans="1:7" ht="12">
      <c r="A247" s="107"/>
      <c r="B247" s="107"/>
      <c r="C247" s="107"/>
      <c r="D247" s="107"/>
      <c r="E247" s="107"/>
      <c r="F247" s="107"/>
      <c r="G247" s="107"/>
    </row>
    <row r="248" spans="1:7" ht="12">
      <c r="A248" s="107"/>
      <c r="B248" s="107"/>
      <c r="C248" s="107"/>
      <c r="D248" s="107"/>
      <c r="E248" s="107"/>
      <c r="F248" s="107"/>
      <c r="G248" s="107"/>
    </row>
    <row r="249" spans="1:7" ht="12">
      <c r="A249" s="107"/>
      <c r="B249" s="107"/>
      <c r="C249" s="107"/>
      <c r="D249" s="107"/>
      <c r="E249" s="107"/>
      <c r="F249" s="107"/>
      <c r="G249" s="107"/>
    </row>
    <row r="250" spans="1:7" ht="12">
      <c r="A250" s="107"/>
      <c r="B250" s="107"/>
      <c r="C250" s="107"/>
      <c r="D250" s="107"/>
      <c r="E250" s="107"/>
      <c r="F250" s="107"/>
      <c r="G250" s="107"/>
    </row>
    <row r="251" spans="1:7" ht="12">
      <c r="A251" s="107"/>
      <c r="B251" s="107"/>
      <c r="C251" s="107"/>
      <c r="D251" s="107"/>
      <c r="E251" s="107"/>
      <c r="F251" s="107"/>
      <c r="G251" s="107"/>
    </row>
    <row r="252" spans="1:7" ht="12">
      <c r="A252" s="107"/>
      <c r="B252" s="107"/>
      <c r="C252" s="107"/>
      <c r="D252" s="107"/>
      <c r="E252" s="107"/>
      <c r="F252" s="107"/>
      <c r="G252" s="107"/>
    </row>
    <row r="253" spans="1:7" ht="12">
      <c r="A253" s="107"/>
      <c r="B253" s="107"/>
      <c r="C253" s="107"/>
      <c r="D253" s="107"/>
      <c r="E253" s="107"/>
      <c r="F253" s="107"/>
      <c r="G253" s="107"/>
    </row>
    <row r="254" spans="1:7" ht="12">
      <c r="A254" s="107"/>
      <c r="B254" s="107"/>
      <c r="C254" s="107"/>
      <c r="D254" s="107"/>
      <c r="E254" s="107"/>
      <c r="F254" s="107"/>
      <c r="G254" s="107"/>
    </row>
    <row r="255" spans="1:7" ht="12">
      <c r="A255" s="107"/>
      <c r="B255" s="107"/>
      <c r="C255" s="107"/>
      <c r="D255" s="107"/>
      <c r="E255" s="107"/>
      <c r="F255" s="107"/>
      <c r="G255" s="107"/>
    </row>
    <row r="256" spans="1:7" ht="12">
      <c r="A256" s="107"/>
      <c r="B256" s="107"/>
      <c r="C256" s="107"/>
      <c r="D256" s="107"/>
      <c r="E256" s="107"/>
      <c r="F256" s="107"/>
      <c r="G256" s="107"/>
    </row>
    <row r="257" spans="1:7" ht="12">
      <c r="A257" s="107"/>
      <c r="B257" s="107"/>
      <c r="C257" s="107"/>
      <c r="D257" s="107"/>
      <c r="E257" s="107"/>
      <c r="F257" s="107"/>
      <c r="G257" s="107"/>
    </row>
    <row r="258" spans="1:7" ht="12">
      <c r="A258" s="107"/>
      <c r="B258" s="107"/>
      <c r="C258" s="107"/>
      <c r="D258" s="107"/>
      <c r="E258" s="107"/>
      <c r="F258" s="107"/>
      <c r="G258" s="107"/>
    </row>
    <row r="259" spans="1:7" ht="12">
      <c r="A259" s="107"/>
      <c r="B259" s="107"/>
      <c r="C259" s="107"/>
      <c r="D259" s="107"/>
      <c r="E259" s="107"/>
      <c r="F259" s="107"/>
      <c r="G259" s="107"/>
    </row>
    <row r="260" spans="1:7" ht="12">
      <c r="A260" s="107"/>
      <c r="B260" s="107"/>
      <c r="C260" s="107"/>
      <c r="D260" s="107"/>
      <c r="E260" s="107"/>
      <c r="F260" s="107"/>
      <c r="G260" s="107"/>
    </row>
    <row r="261" spans="1:7" ht="12">
      <c r="A261" s="107"/>
      <c r="B261" s="107"/>
      <c r="C261" s="107"/>
      <c r="D261" s="107"/>
      <c r="E261" s="107"/>
      <c r="F261" s="107"/>
      <c r="G261" s="107"/>
    </row>
    <row r="262" spans="1:7" ht="12">
      <c r="A262" s="107"/>
      <c r="B262" s="107"/>
      <c r="C262" s="107"/>
      <c r="D262" s="107"/>
      <c r="E262" s="107"/>
      <c r="F262" s="107"/>
      <c r="G262" s="107"/>
    </row>
    <row r="263" spans="1:7" ht="12">
      <c r="A263" s="107"/>
      <c r="B263" s="107"/>
      <c r="C263" s="107"/>
      <c r="D263" s="107"/>
      <c r="E263" s="107"/>
      <c r="F263" s="107"/>
      <c r="G263" s="107"/>
    </row>
    <row r="264" spans="1:7" ht="12">
      <c r="A264" s="107"/>
      <c r="B264" s="107"/>
      <c r="C264" s="107"/>
      <c r="D264" s="107"/>
      <c r="E264" s="107"/>
      <c r="F264" s="107"/>
      <c r="G264" s="107"/>
    </row>
    <row r="265" spans="1:7" ht="12">
      <c r="A265" s="107"/>
      <c r="B265" s="107"/>
      <c r="C265" s="107"/>
      <c r="D265" s="107"/>
      <c r="E265" s="107"/>
      <c r="F265" s="107"/>
      <c r="G265" s="107"/>
    </row>
    <row r="266" spans="1:7" ht="12">
      <c r="A266" s="107"/>
      <c r="B266" s="107"/>
      <c r="C266" s="107"/>
      <c r="D266" s="107"/>
      <c r="E266" s="107"/>
      <c r="F266" s="107"/>
      <c r="G266" s="107"/>
    </row>
    <row r="267" spans="1:7" ht="12">
      <c r="A267" s="107"/>
      <c r="B267" s="107"/>
      <c r="C267" s="107"/>
      <c r="D267" s="107"/>
      <c r="E267" s="107"/>
      <c r="F267" s="107"/>
      <c r="G267" s="107"/>
    </row>
    <row r="268" spans="1:7" ht="12">
      <c r="A268" s="107"/>
      <c r="B268" s="107"/>
      <c r="C268" s="107"/>
      <c r="D268" s="107"/>
      <c r="E268" s="107"/>
      <c r="F268" s="107"/>
      <c r="G268" s="107"/>
    </row>
    <row r="269" spans="1:7" ht="12">
      <c r="A269" s="107"/>
      <c r="B269" s="107"/>
      <c r="C269" s="107"/>
      <c r="D269" s="107"/>
      <c r="E269" s="107"/>
      <c r="F269" s="107"/>
      <c r="G269" s="107"/>
    </row>
    <row r="270" spans="1:7" ht="12">
      <c r="A270" s="107"/>
      <c r="B270" s="107"/>
      <c r="C270" s="107"/>
      <c r="D270" s="107"/>
      <c r="E270" s="107"/>
      <c r="F270" s="107"/>
      <c r="G270" s="107"/>
    </row>
    <row r="271" spans="1:7" ht="12">
      <c r="A271" s="107"/>
      <c r="B271" s="107"/>
      <c r="C271" s="107"/>
      <c r="D271" s="107"/>
      <c r="E271" s="107"/>
      <c r="F271" s="107"/>
      <c r="G271" s="107"/>
    </row>
    <row r="272" spans="1:7" ht="12">
      <c r="A272" s="107"/>
      <c r="B272" s="107"/>
      <c r="C272" s="107"/>
      <c r="D272" s="107"/>
      <c r="E272" s="107"/>
      <c r="F272" s="107"/>
      <c r="G272" s="107"/>
    </row>
    <row r="273" spans="1:7" ht="12">
      <c r="A273" s="107"/>
      <c r="B273" s="107"/>
      <c r="C273" s="107"/>
      <c r="D273" s="107"/>
      <c r="E273" s="107"/>
      <c r="F273" s="107"/>
      <c r="G273" s="107"/>
    </row>
    <row r="274" spans="1:7" ht="12">
      <c r="A274" s="107"/>
      <c r="B274" s="107"/>
      <c r="C274" s="107"/>
      <c r="D274" s="107"/>
      <c r="E274" s="107"/>
      <c r="F274" s="107"/>
      <c r="G274" s="107"/>
    </row>
    <row r="275" spans="1:7" ht="12">
      <c r="A275" s="107"/>
      <c r="B275" s="107"/>
      <c r="C275" s="107"/>
      <c r="D275" s="107"/>
      <c r="E275" s="107"/>
      <c r="F275" s="107"/>
      <c r="G275" s="107"/>
    </row>
    <row r="276" spans="1:7" ht="12">
      <c r="A276" s="107"/>
      <c r="B276" s="107"/>
      <c r="C276" s="107"/>
      <c r="D276" s="107"/>
      <c r="E276" s="107"/>
      <c r="F276" s="107"/>
      <c r="G276" s="107"/>
    </row>
    <row r="277" spans="1:7" ht="12">
      <c r="A277" s="107"/>
      <c r="B277" s="107"/>
      <c r="C277" s="107"/>
      <c r="D277" s="107"/>
      <c r="E277" s="107"/>
      <c r="F277" s="107"/>
      <c r="G277" s="107"/>
    </row>
    <row r="278" spans="1:7" ht="12">
      <c r="A278" s="107"/>
      <c r="B278" s="107"/>
      <c r="C278" s="107"/>
      <c r="D278" s="107"/>
      <c r="E278" s="107"/>
      <c r="F278" s="107"/>
      <c r="G278" s="107"/>
    </row>
    <row r="279" spans="1:7" ht="12">
      <c r="A279" s="107"/>
      <c r="B279" s="107"/>
      <c r="C279" s="107"/>
      <c r="D279" s="107"/>
      <c r="E279" s="107"/>
      <c r="F279" s="107"/>
      <c r="G279" s="107"/>
    </row>
    <row r="280" spans="1:7" ht="12">
      <c r="A280" s="107"/>
      <c r="B280" s="107"/>
      <c r="C280" s="107"/>
      <c r="D280" s="107"/>
      <c r="E280" s="107"/>
      <c r="F280" s="107"/>
      <c r="G280" s="107"/>
    </row>
    <row r="281" spans="1:7" ht="12">
      <c r="A281" s="107"/>
      <c r="B281" s="107"/>
      <c r="C281" s="107"/>
      <c r="D281" s="107"/>
      <c r="E281" s="107"/>
      <c r="F281" s="107"/>
      <c r="G281" s="107"/>
    </row>
    <row r="282" spans="1:7" ht="12">
      <c r="A282" s="107"/>
      <c r="B282" s="107"/>
      <c r="C282" s="107"/>
      <c r="D282" s="107"/>
      <c r="E282" s="107"/>
      <c r="F282" s="107"/>
      <c r="G282" s="107"/>
    </row>
    <row r="283" spans="1:7" ht="12">
      <c r="A283" s="107"/>
      <c r="B283" s="107"/>
      <c r="C283" s="107"/>
      <c r="D283" s="107"/>
      <c r="E283" s="107"/>
      <c r="F283" s="107"/>
      <c r="G283" s="107"/>
    </row>
    <row r="284" spans="1:7" ht="12">
      <c r="A284" s="107"/>
      <c r="B284" s="107"/>
      <c r="C284" s="107"/>
      <c r="D284" s="107"/>
      <c r="E284" s="107"/>
      <c r="F284" s="107"/>
      <c r="G284" s="107"/>
    </row>
    <row r="285" spans="1:7" ht="12">
      <c r="A285" s="107"/>
      <c r="B285" s="107"/>
      <c r="C285" s="107"/>
      <c r="D285" s="107"/>
      <c r="E285" s="107"/>
      <c r="F285" s="107"/>
      <c r="G285" s="107"/>
    </row>
    <row r="286" spans="1:7" ht="12">
      <c r="A286" s="107"/>
      <c r="B286" s="107"/>
      <c r="C286" s="107"/>
      <c r="D286" s="107"/>
      <c r="E286" s="107"/>
      <c r="F286" s="107"/>
      <c r="G286" s="107"/>
    </row>
    <row r="287" spans="1:7" ht="12">
      <c r="A287" s="107"/>
      <c r="B287" s="107"/>
      <c r="C287" s="107"/>
      <c r="D287" s="107"/>
      <c r="E287" s="107"/>
      <c r="F287" s="107"/>
      <c r="G287" s="107"/>
    </row>
    <row r="288" spans="1:7" ht="12">
      <c r="A288" s="107"/>
      <c r="B288" s="107"/>
      <c r="C288" s="107"/>
      <c r="D288" s="107"/>
      <c r="E288" s="107"/>
      <c r="F288" s="107"/>
      <c r="G288" s="107"/>
    </row>
    <row r="289" spans="1:7" ht="12">
      <c r="A289" s="107"/>
      <c r="B289" s="107"/>
      <c r="C289" s="107"/>
      <c r="D289" s="107"/>
      <c r="E289" s="107"/>
      <c r="F289" s="107"/>
      <c r="G289" s="107"/>
    </row>
    <row r="290" spans="1:7" ht="12">
      <c r="A290" s="107"/>
      <c r="B290" s="107"/>
      <c r="C290" s="107"/>
      <c r="D290" s="107"/>
      <c r="E290" s="107"/>
      <c r="F290" s="107"/>
      <c r="G290" s="107"/>
    </row>
    <row r="291" spans="1:7" ht="12">
      <c r="A291" s="107"/>
      <c r="B291" s="107"/>
      <c r="C291" s="107"/>
      <c r="D291" s="107"/>
      <c r="E291" s="107"/>
      <c r="F291" s="107"/>
      <c r="G291" s="107"/>
    </row>
    <row r="292" spans="1:7" ht="12">
      <c r="A292" s="107"/>
      <c r="B292" s="107"/>
      <c r="C292" s="107"/>
      <c r="D292" s="107"/>
      <c r="E292" s="107"/>
      <c r="F292" s="107"/>
      <c r="G292" s="107"/>
    </row>
    <row r="293" spans="1:7" ht="12">
      <c r="A293" s="107"/>
      <c r="B293" s="107"/>
      <c r="C293" s="107"/>
      <c r="D293" s="107"/>
      <c r="E293" s="107"/>
      <c r="F293" s="107"/>
      <c r="G293" s="107"/>
    </row>
    <row r="294" spans="1:7" ht="12">
      <c r="A294" s="107"/>
      <c r="B294" s="107"/>
      <c r="C294" s="107"/>
      <c r="D294" s="107"/>
      <c r="E294" s="107"/>
      <c r="F294" s="107"/>
      <c r="G294" s="107"/>
    </row>
    <row r="295" spans="1:7" ht="12">
      <c r="A295" s="107"/>
      <c r="B295" s="107"/>
      <c r="C295" s="107"/>
      <c r="D295" s="107"/>
      <c r="E295" s="107"/>
      <c r="F295" s="107"/>
      <c r="G295" s="107"/>
    </row>
    <row r="296" spans="1:7" ht="12">
      <c r="A296" s="107"/>
      <c r="B296" s="107"/>
      <c r="C296" s="107"/>
      <c r="D296" s="107"/>
      <c r="E296" s="107"/>
      <c r="F296" s="107"/>
      <c r="G296" s="107"/>
    </row>
    <row r="297" spans="1:7" ht="12">
      <c r="A297" s="107"/>
      <c r="B297" s="107"/>
      <c r="C297" s="107"/>
      <c r="D297" s="107"/>
      <c r="E297" s="107"/>
      <c r="F297" s="107"/>
      <c r="G297" s="107"/>
    </row>
    <row r="298" spans="1:7" ht="12">
      <c r="A298" s="107"/>
      <c r="B298" s="107"/>
      <c r="C298" s="107"/>
      <c r="D298" s="107"/>
      <c r="E298" s="107"/>
      <c r="F298" s="107"/>
      <c r="G298" s="107"/>
    </row>
    <row r="299" spans="1:7" ht="12">
      <c r="A299" s="107"/>
      <c r="B299" s="107"/>
      <c r="C299" s="107"/>
      <c r="D299" s="107"/>
      <c r="E299" s="107"/>
      <c r="F299" s="107"/>
      <c r="G299" s="107"/>
    </row>
    <row r="300" spans="1:7" ht="12">
      <c r="A300" s="107"/>
      <c r="B300" s="107"/>
      <c r="C300" s="107"/>
      <c r="D300" s="107"/>
      <c r="E300" s="107"/>
      <c r="F300" s="107"/>
      <c r="G300" s="107"/>
    </row>
    <row r="301" spans="1:7" ht="12">
      <c r="A301" s="107"/>
      <c r="B301" s="107"/>
      <c r="C301" s="107"/>
      <c r="D301" s="107"/>
      <c r="E301" s="107"/>
      <c r="F301" s="107"/>
      <c r="G301" s="107"/>
    </row>
    <row r="302" spans="1:7" ht="12">
      <c r="A302" s="107"/>
      <c r="B302" s="107"/>
      <c r="C302" s="107"/>
      <c r="D302" s="107"/>
      <c r="E302" s="107"/>
      <c r="F302" s="107"/>
      <c r="G302" s="107"/>
    </row>
    <row r="303" spans="1:7" ht="12">
      <c r="A303" s="107"/>
      <c r="B303" s="107"/>
      <c r="C303" s="107"/>
      <c r="D303" s="107"/>
      <c r="E303" s="107"/>
      <c r="F303" s="107"/>
      <c r="G303" s="107"/>
    </row>
    <row r="304" spans="1:7" ht="12">
      <c r="A304" s="107"/>
      <c r="B304" s="107"/>
      <c r="C304" s="107"/>
      <c r="D304" s="107"/>
      <c r="E304" s="107"/>
      <c r="F304" s="107"/>
      <c r="G304" s="107"/>
    </row>
    <row r="305" spans="1:7" ht="12">
      <c r="A305" s="107"/>
      <c r="B305" s="107"/>
      <c r="C305" s="107"/>
      <c r="D305" s="107"/>
      <c r="E305" s="107"/>
      <c r="F305" s="107"/>
      <c r="G305" s="107"/>
    </row>
    <row r="306" spans="1:7" ht="12">
      <c r="A306" s="107"/>
      <c r="B306" s="107"/>
      <c r="C306" s="107"/>
      <c r="D306" s="107"/>
      <c r="E306" s="107"/>
      <c r="F306" s="107"/>
      <c r="G306" s="107"/>
    </row>
    <row r="307" spans="1:7" ht="12">
      <c r="A307" s="107"/>
      <c r="B307" s="107"/>
      <c r="C307" s="107"/>
      <c r="D307" s="107"/>
      <c r="E307" s="107"/>
      <c r="F307" s="107"/>
      <c r="G307" s="107"/>
    </row>
    <row r="308" spans="1:7" ht="12">
      <c r="A308" s="107"/>
      <c r="B308" s="107"/>
      <c r="C308" s="107"/>
      <c r="D308" s="107"/>
      <c r="E308" s="107"/>
      <c r="F308" s="107"/>
      <c r="G308" s="107"/>
    </row>
    <row r="309" spans="1:7" ht="12">
      <c r="A309" s="107"/>
      <c r="B309" s="107"/>
      <c r="C309" s="107"/>
      <c r="D309" s="107"/>
      <c r="E309" s="107"/>
      <c r="F309" s="107"/>
      <c r="G309" s="107"/>
    </row>
    <row r="310" spans="1:7" ht="12">
      <c r="A310" s="107"/>
      <c r="B310" s="107"/>
      <c r="C310" s="107"/>
      <c r="D310" s="107"/>
      <c r="E310" s="107"/>
      <c r="F310" s="107"/>
      <c r="G310" s="107"/>
    </row>
    <row r="311" spans="1:7" ht="12">
      <c r="A311" s="107"/>
      <c r="B311" s="107"/>
      <c r="C311" s="107"/>
      <c r="D311" s="107"/>
      <c r="E311" s="107"/>
      <c r="F311" s="107"/>
      <c r="G311" s="107"/>
    </row>
    <row r="312" spans="1:7" ht="12">
      <c r="A312" s="107"/>
      <c r="B312" s="107"/>
      <c r="C312" s="107"/>
      <c r="D312" s="107"/>
      <c r="E312" s="107"/>
      <c r="F312" s="107"/>
      <c r="G312" s="107"/>
    </row>
    <row r="313" spans="1:7" ht="12">
      <c r="A313" s="107"/>
      <c r="B313" s="107"/>
      <c r="C313" s="107"/>
      <c r="D313" s="107"/>
      <c r="E313" s="107"/>
      <c r="F313" s="107"/>
      <c r="G313" s="107"/>
    </row>
    <row r="314" spans="1:7" ht="12">
      <c r="A314" s="107"/>
      <c r="B314" s="107"/>
      <c r="C314" s="107"/>
      <c r="D314" s="107"/>
      <c r="E314" s="107"/>
      <c r="F314" s="107"/>
      <c r="G314" s="107"/>
    </row>
    <row r="315" spans="1:7" ht="12">
      <c r="A315" s="107"/>
      <c r="B315" s="107"/>
      <c r="C315" s="107"/>
      <c r="D315" s="107"/>
      <c r="E315" s="107"/>
      <c r="F315" s="107"/>
      <c r="G315" s="107"/>
    </row>
    <row r="316" spans="1:7" ht="12">
      <c r="A316" s="107"/>
      <c r="B316" s="107"/>
      <c r="C316" s="107"/>
      <c r="D316" s="107"/>
      <c r="E316" s="107"/>
      <c r="F316" s="107"/>
      <c r="G316" s="107"/>
    </row>
    <row r="317" spans="1:7" ht="12">
      <c r="A317" s="107"/>
      <c r="B317" s="107"/>
      <c r="C317" s="107"/>
      <c r="D317" s="107"/>
      <c r="E317" s="107"/>
      <c r="F317" s="107"/>
      <c r="G317" s="107"/>
    </row>
    <row r="318" spans="1:7" ht="12">
      <c r="A318" s="107"/>
      <c r="B318" s="107"/>
      <c r="C318" s="107"/>
      <c r="D318" s="107"/>
      <c r="E318" s="107"/>
      <c r="F318" s="107"/>
      <c r="G318" s="107"/>
    </row>
    <row r="319" spans="1:7" ht="12">
      <c r="A319" s="107"/>
      <c r="B319" s="107"/>
      <c r="C319" s="107"/>
      <c r="D319" s="107"/>
      <c r="E319" s="107"/>
      <c r="F319" s="107"/>
      <c r="G319" s="107"/>
    </row>
    <row r="320" spans="1:7" ht="12">
      <c r="A320" s="107"/>
      <c r="B320" s="107"/>
      <c r="C320" s="107"/>
      <c r="D320" s="107"/>
      <c r="E320" s="107"/>
      <c r="F320" s="107"/>
      <c r="G320" s="107"/>
    </row>
    <row r="321" spans="1:7" ht="12">
      <c r="A321" s="107"/>
      <c r="B321" s="107"/>
      <c r="C321" s="107"/>
      <c r="D321" s="107"/>
      <c r="E321" s="107"/>
      <c r="F321" s="107"/>
      <c r="G321" s="107"/>
    </row>
    <row r="322" spans="1:7" ht="12">
      <c r="A322" s="107"/>
      <c r="B322" s="107"/>
      <c r="C322" s="107"/>
      <c r="D322" s="107"/>
      <c r="E322" s="107"/>
      <c r="F322" s="107"/>
      <c r="G322" s="107"/>
    </row>
    <row r="323" spans="1:7" ht="12">
      <c r="A323" s="107"/>
      <c r="B323" s="107"/>
      <c r="C323" s="107"/>
      <c r="D323" s="107"/>
      <c r="E323" s="107"/>
      <c r="F323" s="107"/>
      <c r="G323" s="107"/>
    </row>
    <row r="324" spans="1:7" ht="12">
      <c r="A324" s="107"/>
      <c r="B324" s="107"/>
      <c r="C324" s="107"/>
      <c r="D324" s="107"/>
      <c r="E324" s="107"/>
      <c r="F324" s="107"/>
      <c r="G324" s="107"/>
    </row>
    <row r="325" spans="1:7" ht="12">
      <c r="A325" s="107"/>
      <c r="B325" s="107"/>
      <c r="C325" s="107"/>
      <c r="D325" s="107"/>
      <c r="E325" s="107"/>
      <c r="F325" s="107"/>
      <c r="G325" s="107"/>
    </row>
    <row r="326" spans="1:7" ht="12">
      <c r="A326" s="107"/>
      <c r="B326" s="107"/>
      <c r="C326" s="107"/>
      <c r="D326" s="107"/>
      <c r="E326" s="107"/>
      <c r="F326" s="107"/>
      <c r="G326" s="107"/>
    </row>
    <row r="327" spans="1:7" ht="12">
      <c r="A327" s="107"/>
      <c r="B327" s="107"/>
      <c r="C327" s="107"/>
      <c r="D327" s="107"/>
      <c r="E327" s="107"/>
      <c r="F327" s="107"/>
      <c r="G327" s="107"/>
    </row>
    <row r="328" spans="1:7" ht="12">
      <c r="A328" s="107"/>
      <c r="B328" s="107"/>
      <c r="C328" s="107"/>
      <c r="D328" s="107"/>
      <c r="E328" s="107"/>
      <c r="F328" s="107"/>
      <c r="G328" s="107"/>
    </row>
    <row r="329" spans="1:7" ht="12">
      <c r="A329" s="107"/>
      <c r="B329" s="107"/>
      <c r="C329" s="107"/>
      <c r="D329" s="107"/>
      <c r="E329" s="107"/>
      <c r="F329" s="107"/>
      <c r="G329" s="107"/>
    </row>
    <row r="330" spans="1:7" ht="12">
      <c r="A330" s="107"/>
      <c r="B330" s="107"/>
      <c r="C330" s="107"/>
      <c r="D330" s="107"/>
      <c r="E330" s="107"/>
      <c r="F330" s="107"/>
      <c r="G330" s="107"/>
    </row>
    <row r="331" spans="1:7" ht="12">
      <c r="A331" s="107"/>
      <c r="B331" s="107"/>
      <c r="C331" s="107"/>
      <c r="D331" s="107"/>
      <c r="E331" s="107"/>
      <c r="F331" s="107"/>
      <c r="G331" s="107"/>
    </row>
    <row r="332" spans="1:7" ht="12">
      <c r="A332" s="107"/>
      <c r="B332" s="107"/>
      <c r="C332" s="107"/>
      <c r="D332" s="107"/>
      <c r="E332" s="107"/>
      <c r="F332" s="107"/>
      <c r="G332" s="107"/>
    </row>
    <row r="333" spans="1:7" ht="12">
      <c r="A333" s="107"/>
      <c r="B333" s="107"/>
      <c r="C333" s="107"/>
      <c r="D333" s="107"/>
      <c r="E333" s="107"/>
      <c r="F333" s="107"/>
      <c r="G333" s="107"/>
    </row>
    <row r="334" spans="1:7" ht="12">
      <c r="A334" s="107"/>
      <c r="B334" s="107"/>
      <c r="C334" s="107"/>
      <c r="D334" s="107"/>
      <c r="E334" s="107"/>
      <c r="F334" s="107"/>
      <c r="G334" s="107"/>
    </row>
    <row r="335" spans="1:7" ht="12">
      <c r="A335" s="107"/>
      <c r="B335" s="107"/>
      <c r="C335" s="107"/>
      <c r="D335" s="107"/>
      <c r="E335" s="107"/>
      <c r="F335" s="107"/>
      <c r="G335" s="107"/>
    </row>
    <row r="336" spans="1:7" ht="12">
      <c r="A336" s="107"/>
      <c r="B336" s="107"/>
      <c r="C336" s="107"/>
      <c r="D336" s="107"/>
      <c r="E336" s="107"/>
      <c r="F336" s="107"/>
      <c r="G336" s="107"/>
    </row>
    <row r="337" spans="1:7" ht="12">
      <c r="A337" s="107"/>
      <c r="B337" s="107"/>
      <c r="C337" s="107"/>
      <c r="D337" s="107"/>
      <c r="E337" s="107"/>
      <c r="F337" s="107"/>
      <c r="G337" s="107"/>
    </row>
    <row r="338" spans="1:7" ht="12">
      <c r="A338" s="107"/>
      <c r="B338" s="107"/>
      <c r="C338" s="107"/>
      <c r="D338" s="107"/>
      <c r="E338" s="107"/>
      <c r="F338" s="107"/>
      <c r="G338" s="107"/>
    </row>
    <row r="339" spans="1:7" ht="12">
      <c r="A339" s="107"/>
      <c r="B339" s="107"/>
      <c r="C339" s="107"/>
      <c r="D339" s="107"/>
      <c r="E339" s="107"/>
      <c r="F339" s="107"/>
      <c r="G339" s="107"/>
    </row>
    <row r="340" spans="1:7" ht="12">
      <c r="A340" s="107"/>
      <c r="B340" s="107"/>
      <c r="C340" s="107"/>
      <c r="D340" s="107"/>
      <c r="E340" s="107"/>
      <c r="F340" s="107"/>
      <c r="G340" s="107"/>
    </row>
    <row r="341" spans="1:7" ht="12">
      <c r="A341" s="107"/>
      <c r="B341" s="107"/>
      <c r="C341" s="107"/>
      <c r="D341" s="107"/>
      <c r="E341" s="107"/>
      <c r="F341" s="107"/>
      <c r="G341" s="107"/>
    </row>
    <row r="342" spans="1:7" ht="12">
      <c r="A342" s="107"/>
      <c r="B342" s="107"/>
      <c r="C342" s="107"/>
      <c r="D342" s="107"/>
      <c r="E342" s="107"/>
      <c r="F342" s="107"/>
      <c r="G342" s="107"/>
    </row>
    <row r="343" spans="1:7" ht="12">
      <c r="A343" s="107"/>
      <c r="B343" s="107"/>
      <c r="C343" s="107"/>
      <c r="D343" s="107"/>
      <c r="E343" s="107"/>
      <c r="F343" s="107"/>
      <c r="G343" s="107"/>
    </row>
    <row r="344" spans="1:7" ht="12">
      <c r="A344" s="107"/>
      <c r="B344" s="107"/>
      <c r="C344" s="107"/>
      <c r="D344" s="107"/>
      <c r="E344" s="107"/>
      <c r="F344" s="107"/>
      <c r="G344" s="107"/>
    </row>
    <row r="345" spans="1:7" ht="12">
      <c r="A345" s="107"/>
      <c r="B345" s="107"/>
      <c r="C345" s="107"/>
      <c r="D345" s="107"/>
      <c r="E345" s="107"/>
      <c r="F345" s="107"/>
      <c r="G345" s="107"/>
    </row>
    <row r="346" spans="1:7" ht="12">
      <c r="A346" s="107"/>
      <c r="B346" s="107"/>
      <c r="C346" s="107"/>
      <c r="D346" s="107"/>
      <c r="E346" s="107"/>
      <c r="F346" s="107"/>
      <c r="G346" s="107"/>
    </row>
    <row r="347" spans="1:7" ht="12">
      <c r="A347" s="107"/>
      <c r="B347" s="107"/>
      <c r="C347" s="107"/>
      <c r="D347" s="107"/>
      <c r="E347" s="107"/>
      <c r="F347" s="107"/>
      <c r="G347" s="107"/>
    </row>
    <row r="348" spans="1:7" ht="12">
      <c r="A348" s="107"/>
      <c r="B348" s="107"/>
      <c r="C348" s="107"/>
      <c r="D348" s="107"/>
      <c r="E348" s="107"/>
      <c r="F348" s="107"/>
      <c r="G348" s="107"/>
    </row>
    <row r="349" spans="1:7" ht="12">
      <c r="A349" s="107"/>
      <c r="B349" s="107"/>
      <c r="C349" s="107"/>
      <c r="D349" s="107"/>
      <c r="E349" s="107"/>
      <c r="F349" s="107"/>
      <c r="G349" s="107"/>
    </row>
    <row r="350" spans="1:7" ht="12">
      <c r="A350" s="107"/>
      <c r="B350" s="107"/>
      <c r="C350" s="107"/>
      <c r="D350" s="107"/>
      <c r="E350" s="107"/>
      <c r="F350" s="107"/>
      <c r="G350" s="107"/>
    </row>
    <row r="351" spans="1:7" ht="12">
      <c r="A351" s="107"/>
      <c r="B351" s="107"/>
      <c r="C351" s="107"/>
      <c r="D351" s="107"/>
      <c r="E351" s="107"/>
      <c r="F351" s="107"/>
      <c r="G351" s="107"/>
    </row>
    <row r="352" spans="1:7" ht="12">
      <c r="A352" s="107"/>
      <c r="B352" s="107"/>
      <c r="C352" s="107"/>
      <c r="D352" s="107"/>
      <c r="E352" s="107"/>
      <c r="F352" s="107"/>
      <c r="G352" s="107"/>
    </row>
    <row r="353" spans="1:7" ht="12">
      <c r="A353" s="107"/>
      <c r="B353" s="107"/>
      <c r="C353" s="107"/>
      <c r="D353" s="107"/>
      <c r="E353" s="107"/>
      <c r="F353" s="107"/>
      <c r="G353" s="107"/>
    </row>
    <row r="354" spans="1:7" ht="12">
      <c r="A354" s="107"/>
      <c r="B354" s="107"/>
      <c r="C354" s="107"/>
      <c r="D354" s="107"/>
      <c r="E354" s="107"/>
      <c r="F354" s="107"/>
      <c r="G354" s="107"/>
    </row>
    <row r="355" spans="1:7" ht="12">
      <c r="A355" s="107"/>
      <c r="B355" s="107"/>
      <c r="C355" s="107"/>
      <c r="D355" s="107"/>
      <c r="E355" s="107"/>
      <c r="F355" s="107"/>
      <c r="G355" s="107"/>
    </row>
    <row r="356" spans="1:7" ht="12">
      <c r="A356" s="107"/>
      <c r="B356" s="107"/>
      <c r="C356" s="107"/>
      <c r="D356" s="107"/>
      <c r="E356" s="107"/>
      <c r="F356" s="107"/>
      <c r="G356" s="107"/>
    </row>
    <row r="357" spans="1:7" ht="12">
      <c r="A357" s="107"/>
      <c r="B357" s="107"/>
      <c r="C357" s="107"/>
      <c r="D357" s="107"/>
      <c r="E357" s="107"/>
      <c r="F357" s="107"/>
      <c r="G357" s="107"/>
    </row>
    <row r="358" spans="1:7" ht="12">
      <c r="A358" s="107"/>
      <c r="B358" s="107"/>
      <c r="C358" s="107"/>
      <c r="D358" s="107"/>
      <c r="E358" s="107"/>
      <c r="F358" s="107"/>
      <c r="G358" s="107"/>
    </row>
    <row r="359" spans="1:7" ht="12">
      <c r="A359" s="107"/>
      <c r="B359" s="107"/>
      <c r="C359" s="107"/>
      <c r="D359" s="107"/>
      <c r="E359" s="107"/>
      <c r="F359" s="107"/>
      <c r="G359" s="107"/>
    </row>
    <row r="360" spans="1:7" ht="12">
      <c r="A360" s="107"/>
      <c r="B360" s="107"/>
      <c r="C360" s="107"/>
      <c r="D360" s="107"/>
      <c r="E360" s="107"/>
      <c r="F360" s="107"/>
      <c r="G360" s="107"/>
    </row>
    <row r="361" spans="1:7" ht="12">
      <c r="A361" s="107"/>
      <c r="B361" s="107"/>
      <c r="C361" s="107"/>
      <c r="D361" s="107"/>
      <c r="E361" s="107"/>
      <c r="F361" s="107"/>
      <c r="G361" s="107"/>
    </row>
    <row r="362" spans="1:7" ht="12">
      <c r="A362" s="107"/>
      <c r="B362" s="107"/>
      <c r="C362" s="107"/>
      <c r="D362" s="107"/>
      <c r="E362" s="107"/>
      <c r="F362" s="107"/>
      <c r="G362" s="107"/>
    </row>
    <row r="363" spans="1:7" ht="12">
      <c r="A363" s="107"/>
      <c r="B363" s="107"/>
      <c r="C363" s="107"/>
      <c r="D363" s="107"/>
      <c r="E363" s="107"/>
      <c r="F363" s="107"/>
      <c r="G363" s="107"/>
    </row>
    <row r="364" spans="1:7" ht="12">
      <c r="A364" s="107"/>
      <c r="B364" s="107"/>
      <c r="C364" s="107"/>
      <c r="D364" s="107"/>
      <c r="E364" s="107"/>
      <c r="F364" s="107"/>
      <c r="G364" s="107"/>
    </row>
    <row r="365" spans="1:7" ht="12">
      <c r="A365" s="107"/>
      <c r="B365" s="107"/>
      <c r="C365" s="107"/>
      <c r="D365" s="107"/>
      <c r="E365" s="107"/>
      <c r="F365" s="107"/>
      <c r="G365" s="107"/>
    </row>
    <row r="366" spans="1:7" ht="12">
      <c r="A366" s="107"/>
      <c r="B366" s="107"/>
      <c r="C366" s="107"/>
      <c r="D366" s="107"/>
      <c r="E366" s="107"/>
      <c r="F366" s="107"/>
      <c r="G366" s="107"/>
    </row>
    <row r="367" spans="1:7" ht="12">
      <c r="A367" s="107"/>
      <c r="B367" s="107"/>
      <c r="C367" s="107"/>
      <c r="D367" s="107"/>
      <c r="E367" s="107"/>
      <c r="F367" s="107"/>
      <c r="G367" s="107"/>
    </row>
    <row r="368" spans="1:7" ht="12">
      <c r="A368" s="107"/>
      <c r="B368" s="107"/>
      <c r="C368" s="107"/>
      <c r="D368" s="107"/>
      <c r="E368" s="107"/>
      <c r="F368" s="107"/>
      <c r="G368" s="107"/>
    </row>
    <row r="369" spans="1:7" ht="12">
      <c r="A369" s="107"/>
      <c r="B369" s="107"/>
      <c r="C369" s="107"/>
      <c r="D369" s="107"/>
      <c r="E369" s="107"/>
      <c r="F369" s="107"/>
      <c r="G369" s="107"/>
    </row>
    <row r="370" spans="1:7" ht="12">
      <c r="A370" s="107"/>
      <c r="B370" s="107"/>
      <c r="C370" s="107"/>
      <c r="D370" s="107"/>
      <c r="E370" s="107"/>
      <c r="F370" s="107"/>
      <c r="G370" s="107"/>
    </row>
    <row r="371" spans="1:7" ht="12">
      <c r="A371" s="107"/>
      <c r="B371" s="107"/>
      <c r="C371" s="107"/>
      <c r="D371" s="107"/>
      <c r="E371" s="107"/>
      <c r="F371" s="107"/>
      <c r="G371" s="107"/>
    </row>
    <row r="372" spans="1:7" ht="12">
      <c r="A372" s="107"/>
      <c r="B372" s="107"/>
      <c r="C372" s="107"/>
      <c r="D372" s="107"/>
      <c r="E372" s="107"/>
      <c r="F372" s="107"/>
      <c r="G372" s="107"/>
    </row>
    <row r="373" spans="1:7" ht="12">
      <c r="A373" s="107"/>
      <c r="B373" s="107"/>
      <c r="C373" s="107"/>
      <c r="D373" s="107"/>
      <c r="E373" s="107"/>
      <c r="F373" s="107"/>
      <c r="G373" s="107"/>
    </row>
    <row r="374" spans="1:7" ht="12">
      <c r="A374" s="107"/>
      <c r="B374" s="107"/>
      <c r="C374" s="107"/>
      <c r="D374" s="107"/>
      <c r="E374" s="107"/>
      <c r="F374" s="107"/>
      <c r="G374" s="107"/>
    </row>
    <row r="375" spans="1:7" ht="12">
      <c r="A375" s="107"/>
      <c r="B375" s="107"/>
      <c r="C375" s="107"/>
      <c r="D375" s="107"/>
      <c r="E375" s="107"/>
      <c r="F375" s="107"/>
      <c r="G375" s="107"/>
    </row>
    <row r="376" spans="1:7" ht="12">
      <c r="A376" s="107"/>
      <c r="B376" s="107"/>
      <c r="C376" s="107"/>
      <c r="D376" s="107"/>
      <c r="E376" s="107"/>
      <c r="F376" s="107"/>
      <c r="G376" s="107"/>
    </row>
    <row r="377" spans="1:7" ht="12">
      <c r="A377" s="107"/>
      <c r="B377" s="107"/>
      <c r="C377" s="107"/>
      <c r="D377" s="107"/>
      <c r="E377" s="107"/>
      <c r="F377" s="107"/>
      <c r="G377" s="107"/>
    </row>
    <row r="378" spans="1:7" ht="12">
      <c r="A378" s="107"/>
      <c r="B378" s="107"/>
      <c r="C378" s="107"/>
      <c r="D378" s="107"/>
      <c r="E378" s="107"/>
      <c r="F378" s="107"/>
      <c r="G378" s="107"/>
    </row>
    <row r="379" spans="1:7" ht="12">
      <c r="A379" s="107"/>
      <c r="B379" s="107"/>
      <c r="C379" s="107"/>
      <c r="D379" s="107"/>
      <c r="E379" s="107"/>
      <c r="F379" s="107"/>
      <c r="G379" s="107"/>
    </row>
    <row r="380" spans="1:7" ht="12">
      <c r="A380" s="107"/>
      <c r="B380" s="107"/>
      <c r="C380" s="107"/>
      <c r="D380" s="107"/>
      <c r="E380" s="107"/>
      <c r="F380" s="107"/>
      <c r="G380" s="107"/>
    </row>
    <row r="381" spans="1:7" ht="12">
      <c r="A381" s="107"/>
      <c r="B381" s="107"/>
      <c r="C381" s="107"/>
      <c r="D381" s="107"/>
      <c r="E381" s="107"/>
      <c r="F381" s="107"/>
      <c r="G381" s="107"/>
    </row>
    <row r="382" spans="1:7" ht="12">
      <c r="A382" s="107"/>
      <c r="B382" s="107"/>
      <c r="C382" s="107"/>
      <c r="D382" s="107"/>
      <c r="E382" s="107"/>
      <c r="F382" s="107"/>
      <c r="G382" s="107"/>
    </row>
    <row r="383" spans="1:7" ht="12">
      <c r="A383" s="107"/>
      <c r="B383" s="107"/>
      <c r="C383" s="107"/>
      <c r="D383" s="107"/>
      <c r="E383" s="107"/>
      <c r="F383" s="107"/>
      <c r="G383" s="107"/>
    </row>
    <row r="384" spans="1:7" ht="12">
      <c r="A384" s="107"/>
      <c r="B384" s="107"/>
      <c r="C384" s="107"/>
      <c r="D384" s="107"/>
      <c r="E384" s="107"/>
      <c r="F384" s="107"/>
      <c r="G384" s="107"/>
    </row>
    <row r="385" spans="1:7" ht="12">
      <c r="A385" s="107"/>
      <c r="B385" s="107"/>
      <c r="C385" s="107"/>
      <c r="D385" s="107"/>
      <c r="E385" s="107"/>
      <c r="F385" s="107"/>
      <c r="G385" s="107"/>
    </row>
    <row r="386" spans="1:7" ht="12">
      <c r="A386" s="107"/>
      <c r="B386" s="107"/>
      <c r="C386" s="107"/>
      <c r="D386" s="107"/>
      <c r="E386" s="107"/>
      <c r="F386" s="107"/>
      <c r="G386" s="107"/>
    </row>
  </sheetData>
  <mergeCells count="12">
    <mergeCell ref="A6:F6"/>
    <mergeCell ref="A7:F7"/>
    <mergeCell ref="A8:F8"/>
    <mergeCell ref="A10:C10"/>
    <mergeCell ref="A44:F44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41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8">
      <selection activeCell="I28" sqref="I28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49.00390625" style="0" bestFit="1" customWidth="1"/>
    <col min="5" max="5" width="20.00390625" style="0" customWidth="1"/>
  </cols>
  <sheetData>
    <row r="1" spans="1:5" ht="12.75">
      <c r="A1" s="14"/>
      <c r="B1" s="14"/>
      <c r="C1" s="14"/>
      <c r="D1" s="14"/>
      <c r="E1" s="15" t="s">
        <v>336</v>
      </c>
    </row>
    <row r="2" spans="1:5" ht="12.75">
      <c r="A2" s="14"/>
      <c r="B2" s="14"/>
      <c r="C2" s="14"/>
      <c r="D2" s="14"/>
      <c r="E2" s="15" t="s">
        <v>307</v>
      </c>
    </row>
    <row r="3" spans="1:5" ht="12.75">
      <c r="A3" s="14"/>
      <c r="B3" s="14"/>
      <c r="C3" s="14"/>
      <c r="D3" s="16"/>
      <c r="E3" s="15" t="s">
        <v>50</v>
      </c>
    </row>
    <row r="4" spans="1:5" ht="12.75">
      <c r="A4" s="14"/>
      <c r="B4" s="14"/>
      <c r="C4" s="14"/>
      <c r="D4" s="16"/>
      <c r="E4" s="15" t="s">
        <v>644</v>
      </c>
    </row>
    <row r="5" spans="1:5" ht="12.75">
      <c r="A5" s="14"/>
      <c r="B5" s="14"/>
      <c r="C5" s="14"/>
      <c r="D5" s="16"/>
      <c r="E5" s="15"/>
    </row>
    <row r="6" spans="1:5" ht="12.75">
      <c r="A6" s="14"/>
      <c r="B6" s="14"/>
      <c r="C6" s="14"/>
      <c r="D6" s="16"/>
      <c r="E6" s="16"/>
    </row>
    <row r="7" spans="1:5" ht="12.75">
      <c r="A7" s="14"/>
      <c r="B7" s="14"/>
      <c r="C7" s="14"/>
      <c r="D7" s="14"/>
      <c r="E7" s="14"/>
    </row>
    <row r="8" spans="1:5" ht="12.75">
      <c r="A8" s="769" t="s">
        <v>337</v>
      </c>
      <c r="B8" s="769"/>
      <c r="C8" s="769"/>
      <c r="D8" s="769"/>
      <c r="E8" s="769"/>
    </row>
    <row r="9" spans="1:5" ht="12.75">
      <c r="A9" s="769" t="s">
        <v>457</v>
      </c>
      <c r="B9" s="769"/>
      <c r="C9" s="769"/>
      <c r="D9" s="769"/>
      <c r="E9" s="769"/>
    </row>
    <row r="10" spans="1:5" ht="12.75">
      <c r="A10" s="769" t="s">
        <v>494</v>
      </c>
      <c r="B10" s="769"/>
      <c r="C10" s="769"/>
      <c r="D10" s="769"/>
      <c r="E10" s="769"/>
    </row>
    <row r="11" spans="1:5" ht="12.75">
      <c r="A11" s="14"/>
      <c r="B11" s="18"/>
      <c r="C11" s="14"/>
      <c r="D11" s="14"/>
      <c r="E11" s="14"/>
    </row>
    <row r="12" spans="1:5" ht="12.75">
      <c r="A12" s="14"/>
      <c r="B12" s="18"/>
      <c r="C12" s="14"/>
      <c r="D12" s="14"/>
      <c r="E12" s="14"/>
    </row>
    <row r="13" spans="1:5" ht="13.5" thickBot="1">
      <c r="A13" s="16"/>
      <c r="B13" s="16"/>
      <c r="C13" s="16"/>
      <c r="D13" s="16"/>
      <c r="E13" s="59" t="s">
        <v>308</v>
      </c>
    </row>
    <row r="14" spans="1:5" ht="12.75">
      <c r="A14" s="770" t="s">
        <v>344</v>
      </c>
      <c r="B14" s="771"/>
      <c r="C14" s="772"/>
      <c r="D14" s="141"/>
      <c r="E14" s="142"/>
    </row>
    <row r="15" spans="1:5" ht="12.75">
      <c r="A15" s="767" t="s">
        <v>63</v>
      </c>
      <c r="B15" s="768" t="s">
        <v>47</v>
      </c>
      <c r="C15" s="768" t="s">
        <v>0</v>
      </c>
      <c r="D15" s="143" t="s">
        <v>115</v>
      </c>
      <c r="E15" s="32" t="s">
        <v>289</v>
      </c>
    </row>
    <row r="16" spans="1:5" ht="13.5" thickBot="1">
      <c r="A16" s="721"/>
      <c r="B16" s="735"/>
      <c r="C16" s="735"/>
      <c r="D16" s="144"/>
      <c r="E16" s="145"/>
    </row>
    <row r="17" spans="1:5" ht="13.5" thickBot="1">
      <c r="A17" s="60">
        <v>1</v>
      </c>
      <c r="B17" s="61">
        <v>2</v>
      </c>
      <c r="C17" s="281">
        <v>3</v>
      </c>
      <c r="D17" s="281">
        <v>4</v>
      </c>
      <c r="E17" s="282">
        <v>5</v>
      </c>
    </row>
    <row r="18" spans="1:5" ht="13.5" thickBot="1">
      <c r="A18" s="150">
        <v>600</v>
      </c>
      <c r="B18" s="151"/>
      <c r="C18" s="152"/>
      <c r="D18" s="161" t="s">
        <v>32</v>
      </c>
      <c r="E18" s="36">
        <f>E19</f>
        <v>28423</v>
      </c>
    </row>
    <row r="19" spans="1:5" ht="12.75">
      <c r="A19" s="146"/>
      <c r="B19" s="147">
        <v>60014</v>
      </c>
      <c r="C19" s="155"/>
      <c r="D19" s="162" t="s">
        <v>33</v>
      </c>
      <c r="E19" s="163">
        <f>E22</f>
        <v>28423</v>
      </c>
    </row>
    <row r="20" spans="1:5" ht="12.75">
      <c r="A20" s="146"/>
      <c r="B20" s="149"/>
      <c r="C20" s="143">
        <v>2310</v>
      </c>
      <c r="D20" s="158" t="s">
        <v>338</v>
      </c>
      <c r="E20" s="35"/>
    </row>
    <row r="21" spans="1:5" ht="12.75">
      <c r="A21" s="146"/>
      <c r="B21" s="149"/>
      <c r="C21" s="143"/>
      <c r="D21" s="158" t="s">
        <v>339</v>
      </c>
      <c r="E21" s="35"/>
    </row>
    <row r="22" spans="1:5" ht="12.75">
      <c r="A22" s="146"/>
      <c r="B22" s="149"/>
      <c r="C22" s="143"/>
      <c r="D22" s="158" t="s">
        <v>340</v>
      </c>
      <c r="E22" s="35">
        <f>'WYDATKI ukł.wyk.'!G33</f>
        <v>28423</v>
      </c>
    </row>
    <row r="23" spans="1:5" ht="12.75">
      <c r="A23" s="146"/>
      <c r="B23" s="149"/>
      <c r="C23" s="143"/>
      <c r="D23" s="158"/>
      <c r="E23" s="35"/>
    </row>
    <row r="24" spans="1:5" ht="13.5" thickBot="1">
      <c r="A24" s="150">
        <v>750</v>
      </c>
      <c r="B24" s="151"/>
      <c r="C24" s="152"/>
      <c r="D24" s="161" t="s">
        <v>15</v>
      </c>
      <c r="E24" s="36">
        <f>E25</f>
        <v>5059</v>
      </c>
    </row>
    <row r="25" spans="1:5" ht="12.75">
      <c r="A25" s="146"/>
      <c r="B25" s="147">
        <v>75095</v>
      </c>
      <c r="C25" s="155"/>
      <c r="D25" s="512" t="s">
        <v>25</v>
      </c>
      <c r="E25" s="163">
        <f>E27</f>
        <v>5059</v>
      </c>
    </row>
    <row r="26" spans="1:5" ht="12.75">
      <c r="A26" s="146"/>
      <c r="B26" s="149"/>
      <c r="C26" s="143">
        <v>2330</v>
      </c>
      <c r="D26" s="308" t="s">
        <v>667</v>
      </c>
      <c r="E26" s="35"/>
    </row>
    <row r="27" spans="1:5" ht="12.75">
      <c r="A27" s="146"/>
      <c r="B27" s="149"/>
      <c r="C27" s="143"/>
      <c r="D27" s="308" t="s">
        <v>668</v>
      </c>
      <c r="E27" s="35">
        <f>'WYDATKI ukł.wyk.'!G145</f>
        <v>5059</v>
      </c>
    </row>
    <row r="28" spans="1:5" ht="12.75">
      <c r="A28" s="146"/>
      <c r="B28" s="149"/>
      <c r="C28" s="143"/>
      <c r="D28" s="158"/>
      <c r="E28" s="35"/>
    </row>
    <row r="29" spans="1:5" ht="13.5" thickBot="1">
      <c r="A29" s="150">
        <v>852</v>
      </c>
      <c r="B29" s="151"/>
      <c r="C29" s="161"/>
      <c r="D29" s="161" t="s">
        <v>277</v>
      </c>
      <c r="E29" s="36">
        <f>E35+E30</f>
        <v>656571</v>
      </c>
    </row>
    <row r="30" spans="1:5" ht="12.75">
      <c r="A30" s="451"/>
      <c r="B30" s="452">
        <v>85201</v>
      </c>
      <c r="C30" s="453"/>
      <c r="D30" s="596" t="s">
        <v>26</v>
      </c>
      <c r="E30" s="454">
        <f>E33</f>
        <v>537155</v>
      </c>
    </row>
    <row r="31" spans="1:5" ht="12.75">
      <c r="A31" s="451"/>
      <c r="B31" s="149"/>
      <c r="C31" s="158">
        <v>2310</v>
      </c>
      <c r="D31" s="158" t="s">
        <v>338</v>
      </c>
      <c r="E31" s="35"/>
    </row>
    <row r="32" spans="1:5" ht="12.75">
      <c r="A32" s="451"/>
      <c r="B32" s="149"/>
      <c r="C32" s="158"/>
      <c r="D32" s="158" t="s">
        <v>339</v>
      </c>
      <c r="E32" s="35"/>
    </row>
    <row r="33" spans="1:5" ht="12.75">
      <c r="A33" s="451"/>
      <c r="B33" s="149"/>
      <c r="C33" s="158"/>
      <c r="D33" s="158" t="s">
        <v>340</v>
      </c>
      <c r="E33" s="35">
        <f>'WYDATKI ukł.wyk.'!G297</f>
        <v>537155</v>
      </c>
    </row>
    <row r="34" spans="1:5" ht="12.75">
      <c r="A34" s="451"/>
      <c r="B34" s="149"/>
      <c r="C34" s="158"/>
      <c r="D34" s="158"/>
      <c r="E34" s="35"/>
    </row>
    <row r="35" spans="1:5" ht="12.75">
      <c r="A35" s="146"/>
      <c r="B35" s="147">
        <v>85204</v>
      </c>
      <c r="C35" s="162"/>
      <c r="D35" s="162" t="s">
        <v>28</v>
      </c>
      <c r="E35" s="163">
        <f>E38</f>
        <v>119416</v>
      </c>
    </row>
    <row r="36" spans="1:5" ht="12.75">
      <c r="A36" s="159"/>
      <c r="B36" s="160"/>
      <c r="C36" s="143">
        <v>2310</v>
      </c>
      <c r="D36" s="158" t="s">
        <v>338</v>
      </c>
      <c r="E36" s="35"/>
    </row>
    <row r="37" spans="1:5" ht="12.75">
      <c r="A37" s="159"/>
      <c r="B37" s="160"/>
      <c r="C37" s="143"/>
      <c r="D37" s="158" t="s">
        <v>339</v>
      </c>
      <c r="E37" s="35"/>
    </row>
    <row r="38" spans="1:5" ht="12.75">
      <c r="A38" s="159"/>
      <c r="B38" s="160"/>
      <c r="C38" s="143"/>
      <c r="D38" s="158" t="s">
        <v>340</v>
      </c>
      <c r="E38" s="35">
        <f>'WYDATKI ukł.wyk.'!G357</f>
        <v>119416</v>
      </c>
    </row>
    <row r="39" spans="1:5" ht="12.75">
      <c r="A39" s="146"/>
      <c r="B39" s="149"/>
      <c r="C39" s="143"/>
      <c r="D39" s="158"/>
      <c r="E39" s="34"/>
    </row>
    <row r="40" spans="1:5" ht="13.5" thickBot="1">
      <c r="A40" s="150">
        <v>854</v>
      </c>
      <c r="B40" s="151"/>
      <c r="C40" s="152"/>
      <c r="D40" s="161" t="s">
        <v>29</v>
      </c>
      <c r="E40" s="36">
        <f>E42</f>
        <v>87384</v>
      </c>
    </row>
    <row r="41" spans="1:5" ht="12.75">
      <c r="A41" s="146"/>
      <c r="B41" s="149">
        <v>85406</v>
      </c>
      <c r="C41" s="143"/>
      <c r="D41" s="158" t="s">
        <v>190</v>
      </c>
      <c r="E41" s="35"/>
    </row>
    <row r="42" spans="1:5" ht="12.75">
      <c r="A42" s="146"/>
      <c r="B42" s="147"/>
      <c r="C42" s="155"/>
      <c r="D42" s="162" t="s">
        <v>341</v>
      </c>
      <c r="E42" s="163">
        <f>E45</f>
        <v>87384</v>
      </c>
    </row>
    <row r="43" spans="1:5" ht="12.75">
      <c r="A43" s="146"/>
      <c r="B43" s="149"/>
      <c r="C43" s="143">
        <v>2310</v>
      </c>
      <c r="D43" s="158" t="s">
        <v>338</v>
      </c>
      <c r="E43" s="35"/>
    </row>
    <row r="44" spans="1:5" ht="12.75">
      <c r="A44" s="146"/>
      <c r="B44" s="149"/>
      <c r="C44" s="143"/>
      <c r="D44" s="158" t="s">
        <v>339</v>
      </c>
      <c r="E44" s="35"/>
    </row>
    <row r="45" spans="1:5" ht="12.75">
      <c r="A45" s="146"/>
      <c r="B45" s="149"/>
      <c r="C45" s="143"/>
      <c r="D45" s="158" t="s">
        <v>340</v>
      </c>
      <c r="E45" s="35">
        <f>'WYDATKI ukł.wyk.'!G445</f>
        <v>87384</v>
      </c>
    </row>
    <row r="46" spans="1:5" ht="12.75">
      <c r="A46" s="146"/>
      <c r="B46" s="149"/>
      <c r="C46" s="143"/>
      <c r="D46" s="158"/>
      <c r="E46" s="35"/>
    </row>
    <row r="47" spans="1:5" ht="13.5" thickBot="1">
      <c r="A47" s="150">
        <v>921</v>
      </c>
      <c r="B47" s="151"/>
      <c r="C47" s="152"/>
      <c r="D47" s="161" t="s">
        <v>46</v>
      </c>
      <c r="E47" s="36">
        <f>E48</f>
        <v>35000</v>
      </c>
    </row>
    <row r="48" spans="1:5" ht="12.75">
      <c r="A48" s="146"/>
      <c r="B48" s="147">
        <v>92116</v>
      </c>
      <c r="C48" s="155"/>
      <c r="D48" s="162" t="s">
        <v>259</v>
      </c>
      <c r="E48" s="163">
        <f>E51</f>
        <v>35000</v>
      </c>
    </row>
    <row r="49" spans="1:5" ht="12.75">
      <c r="A49" s="146"/>
      <c r="B49" s="149"/>
      <c r="C49" s="143">
        <v>2310</v>
      </c>
      <c r="D49" s="158" t="s">
        <v>338</v>
      </c>
      <c r="E49" s="35"/>
    </row>
    <row r="50" spans="1:5" ht="12.75">
      <c r="A50" s="146"/>
      <c r="B50" s="149"/>
      <c r="C50" s="143"/>
      <c r="D50" s="158" t="s">
        <v>339</v>
      </c>
      <c r="E50" s="35"/>
    </row>
    <row r="51" spans="1:5" ht="13.5" thickBot="1">
      <c r="A51" s="146"/>
      <c r="B51" s="149"/>
      <c r="C51" s="143"/>
      <c r="D51" s="158" t="s">
        <v>340</v>
      </c>
      <c r="E51" s="35">
        <f>'WYDATKI ukł.wyk.'!G526</f>
        <v>35000</v>
      </c>
    </row>
    <row r="52" spans="1:5" ht="12.75">
      <c r="A52" s="185"/>
      <c r="B52" s="186"/>
      <c r="C52" s="93"/>
      <c r="D52" s="187"/>
      <c r="E52" s="355"/>
    </row>
    <row r="53" spans="1:5" ht="12.75">
      <c r="A53" s="188"/>
      <c r="B53" s="9"/>
      <c r="C53" s="9"/>
      <c r="D53" s="44" t="s">
        <v>312</v>
      </c>
      <c r="E53" s="356">
        <f>E47+E40+E18+E29+E24</f>
        <v>812437</v>
      </c>
    </row>
    <row r="54" spans="1:5" ht="13.5" thickBot="1">
      <c r="A54" s="190"/>
      <c r="B54" s="54"/>
      <c r="C54" s="54"/>
      <c r="D54" s="191"/>
      <c r="E54" s="171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8"/>
  <sheetViews>
    <sheetView zoomScale="95" zoomScaleNormal="95" workbookViewId="0" topLeftCell="A4">
      <selection activeCell="F29" sqref="F29"/>
    </sheetView>
  </sheetViews>
  <sheetFormatPr defaultColWidth="9.00390625" defaultRowHeight="12.75"/>
  <cols>
    <col min="1" max="1" width="5.625" style="14" customWidth="1"/>
    <col min="2" max="2" width="6.125" style="14" customWidth="1"/>
    <col min="3" max="3" width="51.375" style="14" customWidth="1"/>
    <col min="4" max="4" width="11.75390625" style="14" customWidth="1"/>
    <col min="5" max="5" width="10.75390625" style="14" customWidth="1"/>
    <col min="6" max="6" width="10.375" style="14" customWidth="1"/>
    <col min="7" max="7" width="8.375" style="14" customWidth="1"/>
    <col min="8" max="8" width="10.375" style="14" customWidth="1"/>
    <col min="9" max="9" width="14.00390625" style="14" customWidth="1"/>
    <col min="10" max="10" width="17.375" style="14" customWidth="1"/>
    <col min="11" max="16384" width="9.125" style="14" customWidth="1"/>
  </cols>
  <sheetData>
    <row r="1" ht="12">
      <c r="I1" s="15" t="s">
        <v>342</v>
      </c>
    </row>
    <row r="2" spans="7:10" ht="12">
      <c r="G2" s="30"/>
      <c r="I2" s="15" t="s">
        <v>314</v>
      </c>
      <c r="J2" s="16"/>
    </row>
    <row r="3" spans="9:10" ht="12">
      <c r="I3" s="15" t="s">
        <v>50</v>
      </c>
      <c r="J3" s="16"/>
    </row>
    <row r="4" spans="9:10" ht="12">
      <c r="I4" s="15" t="s">
        <v>642</v>
      </c>
      <c r="J4" s="16"/>
    </row>
    <row r="5" spans="1:10" ht="14.25" customHeight="1">
      <c r="A5" s="782" t="s">
        <v>495</v>
      </c>
      <c r="B5" s="782"/>
      <c r="C5" s="782"/>
      <c r="D5" s="782"/>
      <c r="E5" s="782"/>
      <c r="F5" s="782"/>
      <c r="G5" s="782"/>
      <c r="H5" s="782"/>
      <c r="I5" s="782"/>
      <c r="J5" s="782"/>
    </row>
    <row r="6" spans="1:10" ht="12.75" thickBot="1">
      <c r="A6" s="15"/>
      <c r="B6" s="15"/>
      <c r="C6" s="15"/>
      <c r="D6" s="15"/>
      <c r="E6" s="15"/>
      <c r="F6" s="15"/>
      <c r="G6" s="15"/>
      <c r="H6" s="15"/>
      <c r="I6" s="15"/>
      <c r="J6" s="328" t="s">
        <v>308</v>
      </c>
    </row>
    <row r="7" spans="1:10" ht="12">
      <c r="A7" s="516"/>
      <c r="B7" s="517"/>
      <c r="C7" s="517"/>
      <c r="D7" s="518"/>
      <c r="E7" s="517"/>
      <c r="F7" s="786" t="s">
        <v>486</v>
      </c>
      <c r="G7" s="787"/>
      <c r="H7" s="787"/>
      <c r="I7" s="788"/>
      <c r="J7" s="519"/>
    </row>
    <row r="8" spans="1:10" ht="12">
      <c r="A8" s="520"/>
      <c r="B8" s="511"/>
      <c r="C8" s="511"/>
      <c r="D8" s="168" t="s">
        <v>315</v>
      </c>
      <c r="E8" s="168" t="s">
        <v>316</v>
      </c>
      <c r="F8" s="783" t="s">
        <v>485</v>
      </c>
      <c r="G8" s="784"/>
      <c r="H8" s="784"/>
      <c r="I8" s="785"/>
      <c r="J8" s="521" t="s">
        <v>317</v>
      </c>
    </row>
    <row r="9" spans="1:10" ht="12">
      <c r="A9" s="451" t="s">
        <v>63</v>
      </c>
      <c r="B9" s="522" t="s">
        <v>47</v>
      </c>
      <c r="C9" s="510" t="s">
        <v>318</v>
      </c>
      <c r="D9" s="510" t="s">
        <v>319</v>
      </c>
      <c r="E9" s="523" t="s">
        <v>320</v>
      </c>
      <c r="F9" s="523" t="s">
        <v>321</v>
      </c>
      <c r="G9" s="510" t="s">
        <v>322</v>
      </c>
      <c r="H9" s="522" t="s">
        <v>323</v>
      </c>
      <c r="I9" s="524" t="s">
        <v>321</v>
      </c>
      <c r="J9" s="521" t="s">
        <v>487</v>
      </c>
    </row>
    <row r="10" spans="1:10" ht="12">
      <c r="A10" s="451"/>
      <c r="B10" s="522"/>
      <c r="C10" s="510" t="s">
        <v>324</v>
      </c>
      <c r="D10" s="510" t="s">
        <v>325</v>
      </c>
      <c r="E10" s="523">
        <v>2005</v>
      </c>
      <c r="F10" s="523" t="s">
        <v>326</v>
      </c>
      <c r="G10" s="510" t="s">
        <v>327</v>
      </c>
      <c r="H10" s="522" t="s">
        <v>328</v>
      </c>
      <c r="I10" s="510" t="s">
        <v>329</v>
      </c>
      <c r="J10" s="521" t="s">
        <v>330</v>
      </c>
    </row>
    <row r="11" spans="1:10" ht="12.75" thickBot="1">
      <c r="A11" s="150"/>
      <c r="B11" s="525"/>
      <c r="C11" s="151"/>
      <c r="D11" s="151"/>
      <c r="E11" s="151" t="s">
        <v>636</v>
      </c>
      <c r="F11" s="151"/>
      <c r="G11" s="151"/>
      <c r="H11" s="525" t="s">
        <v>331</v>
      </c>
      <c r="I11" s="151" t="s">
        <v>693</v>
      </c>
      <c r="J11" s="526" t="s">
        <v>333</v>
      </c>
    </row>
    <row r="12" spans="1:10" ht="13.5" thickBot="1">
      <c r="A12" s="21">
        <v>1</v>
      </c>
      <c r="B12" s="174">
        <v>2</v>
      </c>
      <c r="C12" s="174">
        <v>3</v>
      </c>
      <c r="D12" s="174">
        <v>4</v>
      </c>
      <c r="E12" s="174">
        <v>5</v>
      </c>
      <c r="F12" s="174">
        <v>6</v>
      </c>
      <c r="G12" s="174">
        <v>7</v>
      </c>
      <c r="H12" s="174">
        <v>8</v>
      </c>
      <c r="I12" s="174">
        <v>9</v>
      </c>
      <c r="J12" s="175">
        <v>10</v>
      </c>
    </row>
    <row r="13" spans="1:10" ht="12" customHeight="1">
      <c r="A13" s="23"/>
      <c r="B13" s="51"/>
      <c r="C13" s="371" t="s">
        <v>538</v>
      </c>
      <c r="D13" s="8"/>
      <c r="E13" s="39"/>
      <c r="F13" s="39"/>
      <c r="G13" s="39"/>
      <c r="H13" s="39"/>
      <c r="I13" s="39"/>
      <c r="J13" s="32" t="s">
        <v>536</v>
      </c>
    </row>
    <row r="14" spans="1:10" ht="12.75">
      <c r="A14" s="85">
        <v>600</v>
      </c>
      <c r="B14" s="99">
        <v>60014</v>
      </c>
      <c r="C14" s="372" t="s">
        <v>574</v>
      </c>
      <c r="D14" s="333">
        <f>E14</f>
        <v>20000</v>
      </c>
      <c r="E14" s="333">
        <f>SUM(F14+G14+H14+I14)</f>
        <v>20000</v>
      </c>
      <c r="F14" s="334">
        <v>20000</v>
      </c>
      <c r="G14" s="334">
        <v>0</v>
      </c>
      <c r="H14" s="334">
        <v>0</v>
      </c>
      <c r="I14" s="334">
        <v>0</v>
      </c>
      <c r="J14" s="358" t="s">
        <v>537</v>
      </c>
    </row>
    <row r="15" spans="1:10" ht="12.75">
      <c r="A15" s="364"/>
      <c r="B15" s="365"/>
      <c r="C15" s="373" t="s">
        <v>596</v>
      </c>
      <c r="D15" s="179"/>
      <c r="E15" s="366"/>
      <c r="F15" s="366"/>
      <c r="G15" s="366"/>
      <c r="H15" s="366"/>
      <c r="I15" s="366"/>
      <c r="J15" s="378" t="s">
        <v>536</v>
      </c>
    </row>
    <row r="16" spans="1:10" ht="12.75">
      <c r="A16" s="85">
        <v>600</v>
      </c>
      <c r="B16" s="99">
        <v>60014</v>
      </c>
      <c r="C16" s="372" t="s">
        <v>597</v>
      </c>
      <c r="D16" s="333">
        <f>E16</f>
        <v>39000</v>
      </c>
      <c r="E16" s="333">
        <f>SUM(F16+G16+H16+I16)</f>
        <v>39000</v>
      </c>
      <c r="F16" s="334">
        <v>39000</v>
      </c>
      <c r="G16" s="334">
        <v>0</v>
      </c>
      <c r="H16" s="334">
        <v>0</v>
      </c>
      <c r="I16" s="334">
        <v>0</v>
      </c>
      <c r="J16" s="358" t="s">
        <v>537</v>
      </c>
    </row>
    <row r="17" spans="1:10" ht="12.75">
      <c r="A17" s="23"/>
      <c r="B17" s="51"/>
      <c r="C17" s="374" t="s">
        <v>594</v>
      </c>
      <c r="D17" s="8"/>
      <c r="E17" s="39"/>
      <c r="F17" s="39"/>
      <c r="G17" s="39"/>
      <c r="H17" s="39"/>
      <c r="I17" s="39"/>
      <c r="J17" s="32" t="s">
        <v>536</v>
      </c>
    </row>
    <row r="18" spans="1:10" ht="12.75">
      <c r="A18" s="85">
        <v>600</v>
      </c>
      <c r="B18" s="99">
        <v>60014</v>
      </c>
      <c r="C18" s="372" t="s">
        <v>595</v>
      </c>
      <c r="D18" s="333">
        <f>E18</f>
        <v>5500</v>
      </c>
      <c r="E18" s="333">
        <f>SUM(F18+G18+H18+I18)</f>
        <v>5500</v>
      </c>
      <c r="F18" s="334">
        <f>31000-25500</f>
        <v>5500</v>
      </c>
      <c r="G18" s="334">
        <v>0</v>
      </c>
      <c r="H18" s="334">
        <v>0</v>
      </c>
      <c r="I18" s="334">
        <v>0</v>
      </c>
      <c r="J18" s="358" t="s">
        <v>537</v>
      </c>
    </row>
    <row r="19" spans="1:10" ht="12.75">
      <c r="A19" s="23"/>
      <c r="B19" s="51"/>
      <c r="C19" s="374"/>
      <c r="D19" s="8"/>
      <c r="E19" s="39"/>
      <c r="F19" s="39"/>
      <c r="G19" s="39"/>
      <c r="H19" s="39"/>
      <c r="I19" s="39"/>
      <c r="J19" s="32" t="s">
        <v>536</v>
      </c>
    </row>
    <row r="20" spans="1:10" ht="12.75">
      <c r="A20" s="85">
        <v>600</v>
      </c>
      <c r="B20" s="99">
        <v>60014</v>
      </c>
      <c r="C20" s="370" t="s">
        <v>681</v>
      </c>
      <c r="D20" s="333">
        <f>E20</f>
        <v>91500</v>
      </c>
      <c r="E20" s="333">
        <f>SUM(F20+G20+H20+I20)</f>
        <v>91500</v>
      </c>
      <c r="F20" s="334">
        <f>110000-18500</f>
        <v>91500</v>
      </c>
      <c r="G20" s="334">
        <v>0</v>
      </c>
      <c r="H20" s="334">
        <v>0</v>
      </c>
      <c r="I20" s="334">
        <v>0</v>
      </c>
      <c r="J20" s="358" t="s">
        <v>537</v>
      </c>
    </row>
    <row r="21" spans="1:10" ht="12.75" customHeight="1">
      <c r="A21" s="23"/>
      <c r="B21" s="51"/>
      <c r="C21" s="374"/>
      <c r="D21" s="176"/>
      <c r="E21" s="335"/>
      <c r="F21" s="335"/>
      <c r="G21" s="335"/>
      <c r="H21" s="335"/>
      <c r="I21" s="335"/>
      <c r="J21" s="32" t="s">
        <v>546</v>
      </c>
    </row>
    <row r="22" spans="1:10" ht="12.75">
      <c r="A22" s="85">
        <v>710</v>
      </c>
      <c r="B22" s="99">
        <v>71015</v>
      </c>
      <c r="C22" s="370" t="s">
        <v>554</v>
      </c>
      <c r="D22" s="333">
        <f>E22</f>
        <v>4500</v>
      </c>
      <c r="E22" s="333">
        <f>SUM(F22+G22+H22+I22)</f>
        <v>4500</v>
      </c>
      <c r="F22" s="334">
        <v>0</v>
      </c>
      <c r="G22" s="334">
        <v>4500</v>
      </c>
      <c r="H22" s="334">
        <v>0</v>
      </c>
      <c r="I22" s="334">
        <v>0</v>
      </c>
      <c r="J22" s="358" t="s">
        <v>547</v>
      </c>
    </row>
    <row r="23" spans="1:10" ht="12.75">
      <c r="A23" s="23"/>
      <c r="B23" s="51"/>
      <c r="C23" s="374" t="s">
        <v>555</v>
      </c>
      <c r="D23" s="176"/>
      <c r="E23" s="335"/>
      <c r="F23" s="335"/>
      <c r="G23" s="335"/>
      <c r="H23" s="335"/>
      <c r="I23" s="335"/>
      <c r="J23" s="32" t="s">
        <v>539</v>
      </c>
    </row>
    <row r="24" spans="1:10" ht="12.75">
      <c r="A24" s="85">
        <v>750</v>
      </c>
      <c r="B24" s="99">
        <v>75020</v>
      </c>
      <c r="C24" s="370" t="s">
        <v>556</v>
      </c>
      <c r="D24" s="333">
        <f>E24</f>
        <v>30000</v>
      </c>
      <c r="E24" s="333">
        <f>SUM(F24+G24+H24+I24)</f>
        <v>30000</v>
      </c>
      <c r="F24" s="334">
        <v>30000</v>
      </c>
      <c r="G24" s="334">
        <v>0</v>
      </c>
      <c r="H24" s="334">
        <v>0</v>
      </c>
      <c r="I24" s="334">
        <v>0</v>
      </c>
      <c r="J24" s="358" t="s">
        <v>540</v>
      </c>
    </row>
    <row r="25" spans="1:10" ht="12.75">
      <c r="A25" s="364"/>
      <c r="B25" s="365"/>
      <c r="C25" s="373"/>
      <c r="D25" s="176"/>
      <c r="E25" s="335"/>
      <c r="F25" s="335"/>
      <c r="G25" s="335"/>
      <c r="H25" s="335"/>
      <c r="I25" s="335"/>
      <c r="J25" s="32" t="s">
        <v>539</v>
      </c>
    </row>
    <row r="26" spans="1:10" ht="12.75">
      <c r="A26" s="85">
        <v>750</v>
      </c>
      <c r="B26" s="99">
        <v>75020</v>
      </c>
      <c r="C26" s="370" t="s">
        <v>704</v>
      </c>
      <c r="D26" s="333">
        <f>E26</f>
        <v>14326</v>
      </c>
      <c r="E26" s="333">
        <f>SUM(F26+G26+H26+I26)</f>
        <v>14326</v>
      </c>
      <c r="F26" s="334">
        <f>61272-46946</f>
        <v>14326</v>
      </c>
      <c r="G26" s="334">
        <v>0</v>
      </c>
      <c r="H26" s="334">
        <v>0</v>
      </c>
      <c r="I26" s="334">
        <v>0</v>
      </c>
      <c r="J26" s="358" t="s">
        <v>540</v>
      </c>
    </row>
    <row r="27" spans="1:10" ht="12.75">
      <c r="A27" s="23"/>
      <c r="B27" s="51"/>
      <c r="C27" s="374" t="s">
        <v>700</v>
      </c>
      <c r="D27" s="176"/>
      <c r="E27" s="335"/>
      <c r="F27" s="335"/>
      <c r="G27" s="335"/>
      <c r="H27" s="335"/>
      <c r="I27" s="335"/>
      <c r="J27" s="32" t="s">
        <v>539</v>
      </c>
    </row>
    <row r="28" spans="1:10" ht="12.75">
      <c r="A28" s="85">
        <v>750</v>
      </c>
      <c r="B28" s="99">
        <v>75020</v>
      </c>
      <c r="C28" s="370" t="s">
        <v>701</v>
      </c>
      <c r="D28" s="333">
        <f>E28</f>
        <v>511468</v>
      </c>
      <c r="E28" s="333">
        <f>SUM(F28+G28+H28+I28)</f>
        <v>511468</v>
      </c>
      <c r="F28" s="334">
        <f>78222+46946</f>
        <v>125168</v>
      </c>
      <c r="G28" s="334">
        <v>0</v>
      </c>
      <c r="H28" s="334">
        <v>386300</v>
      </c>
      <c r="I28" s="334">
        <v>0</v>
      </c>
      <c r="J28" s="358" t="s">
        <v>540</v>
      </c>
    </row>
    <row r="29" spans="1:10" ht="13.5" customHeight="1">
      <c r="A29" s="23"/>
      <c r="B29" s="51"/>
      <c r="C29" s="374"/>
      <c r="D29" s="176"/>
      <c r="E29" s="335"/>
      <c r="F29" s="335"/>
      <c r="G29" s="335"/>
      <c r="H29" s="335"/>
      <c r="I29" s="335"/>
      <c r="J29" s="32" t="s">
        <v>690</v>
      </c>
    </row>
    <row r="30" spans="1:10" ht="12.75">
      <c r="A30" s="85">
        <v>754</v>
      </c>
      <c r="B30" s="99">
        <v>75414</v>
      </c>
      <c r="C30" s="370" t="s">
        <v>550</v>
      </c>
      <c r="D30" s="333">
        <f>E30</f>
        <v>23000</v>
      </c>
      <c r="E30" s="333">
        <f>SUM(F30+G30+H30+I30)</f>
        <v>23000</v>
      </c>
      <c r="F30" s="334">
        <v>0</v>
      </c>
      <c r="G30" s="334">
        <v>23000</v>
      </c>
      <c r="H30" s="334">
        <v>0</v>
      </c>
      <c r="I30" s="334">
        <v>0</v>
      </c>
      <c r="J30" s="358" t="s">
        <v>540</v>
      </c>
    </row>
    <row r="31" spans="1:10" ht="12.75">
      <c r="A31" s="23"/>
      <c r="B31" s="51"/>
      <c r="C31" s="374" t="s">
        <v>549</v>
      </c>
      <c r="D31" s="176"/>
      <c r="E31" s="335"/>
      <c r="F31" s="335"/>
      <c r="G31" s="335"/>
      <c r="H31" s="335"/>
      <c r="I31" s="335"/>
      <c r="J31" s="32" t="s">
        <v>551</v>
      </c>
    </row>
    <row r="32" spans="1:10" ht="12.75">
      <c r="A32" s="85">
        <v>801</v>
      </c>
      <c r="B32" s="99">
        <v>80130</v>
      </c>
      <c r="C32" s="370" t="s">
        <v>573</v>
      </c>
      <c r="D32" s="333">
        <f>E32</f>
        <v>121510</v>
      </c>
      <c r="E32" s="333">
        <f>SUM(F32+G32+H32+I32)</f>
        <v>121510</v>
      </c>
      <c r="F32" s="334">
        <v>121510</v>
      </c>
      <c r="G32" s="334">
        <v>0</v>
      </c>
      <c r="H32" s="334">
        <v>0</v>
      </c>
      <c r="I32" s="334">
        <v>0</v>
      </c>
      <c r="J32" s="358" t="s">
        <v>537</v>
      </c>
    </row>
    <row r="33" spans="1:10" ht="12.75">
      <c r="A33" s="23"/>
      <c r="B33" s="51"/>
      <c r="C33" s="374" t="s">
        <v>727</v>
      </c>
      <c r="D33" s="176"/>
      <c r="E33" s="335"/>
      <c r="F33" s="335"/>
      <c r="G33" s="335"/>
      <c r="H33" s="335"/>
      <c r="I33" s="335"/>
      <c r="J33" s="32" t="s">
        <v>551</v>
      </c>
    </row>
    <row r="34" spans="1:10" ht="12.75">
      <c r="A34" s="85">
        <v>801</v>
      </c>
      <c r="B34" s="99">
        <v>80130</v>
      </c>
      <c r="C34" s="370" t="s">
        <v>728</v>
      </c>
      <c r="D34" s="333">
        <f>E34</f>
        <v>17672</v>
      </c>
      <c r="E34" s="333">
        <f>SUM(F34+G34+H34+I34)</f>
        <v>17672</v>
      </c>
      <c r="F34" s="334">
        <v>17672</v>
      </c>
      <c r="G34" s="334">
        <v>0</v>
      </c>
      <c r="H34" s="334">
        <v>0</v>
      </c>
      <c r="I34" s="334">
        <v>0</v>
      </c>
      <c r="J34" s="358" t="s">
        <v>537</v>
      </c>
    </row>
    <row r="35" spans="1:10" ht="12.75" customHeight="1">
      <c r="A35" s="23"/>
      <c r="B35" s="51"/>
      <c r="C35" s="374"/>
      <c r="D35" s="176"/>
      <c r="E35" s="335"/>
      <c r="F35" s="335"/>
      <c r="G35" s="335"/>
      <c r="H35" s="335"/>
      <c r="I35" s="335"/>
      <c r="J35" s="32" t="s">
        <v>541</v>
      </c>
    </row>
    <row r="36" spans="1:10" ht="12.75">
      <c r="A36" s="85">
        <v>852</v>
      </c>
      <c r="B36" s="99">
        <v>85201</v>
      </c>
      <c r="C36" s="370" t="s">
        <v>543</v>
      </c>
      <c r="D36" s="333">
        <f>E36</f>
        <v>60000</v>
      </c>
      <c r="E36" s="333">
        <f>SUM(F36+G36+H36+I36)</f>
        <v>60000</v>
      </c>
      <c r="F36" s="334">
        <v>60000</v>
      </c>
      <c r="G36" s="334">
        <v>0</v>
      </c>
      <c r="H36" s="334">
        <v>0</v>
      </c>
      <c r="I36" s="334">
        <v>0</v>
      </c>
      <c r="J36" s="358" t="s">
        <v>542</v>
      </c>
    </row>
    <row r="37" spans="1:10" ht="12.75">
      <c r="A37" s="364"/>
      <c r="B37" s="179"/>
      <c r="C37" s="375" t="s">
        <v>731</v>
      </c>
      <c r="D37" s="335"/>
      <c r="E37" s="335"/>
      <c r="F37" s="335"/>
      <c r="G37" s="335"/>
      <c r="H37" s="335"/>
      <c r="I37" s="335"/>
      <c r="J37" s="32" t="s">
        <v>334</v>
      </c>
    </row>
    <row r="38" spans="1:10" ht="12.75">
      <c r="A38" s="85">
        <v>852</v>
      </c>
      <c r="B38" s="83">
        <v>85202</v>
      </c>
      <c r="C38" s="376" t="s">
        <v>732</v>
      </c>
      <c r="D38" s="334">
        <f>E38</f>
        <v>30000</v>
      </c>
      <c r="E38" s="333">
        <f>SUM(F38+G38+H38+I38)</f>
        <v>30000</v>
      </c>
      <c r="F38" s="334">
        <f>110000-80000</f>
        <v>30000</v>
      </c>
      <c r="G38" s="334">
        <v>0</v>
      </c>
      <c r="H38" s="334">
        <v>0</v>
      </c>
      <c r="I38" s="334">
        <v>0</v>
      </c>
      <c r="J38" s="358" t="s">
        <v>557</v>
      </c>
    </row>
    <row r="39" spans="1:10" ht="12.75">
      <c r="A39" s="364"/>
      <c r="B39" s="179"/>
      <c r="C39" s="377" t="s">
        <v>733</v>
      </c>
      <c r="D39" s="335"/>
      <c r="E39" s="335"/>
      <c r="F39" s="335"/>
      <c r="G39" s="335"/>
      <c r="H39" s="335"/>
      <c r="I39" s="335"/>
      <c r="J39" s="32" t="s">
        <v>334</v>
      </c>
    </row>
    <row r="40" spans="1:10" ht="12.75">
      <c r="A40" s="85">
        <v>852</v>
      </c>
      <c r="B40" s="83">
        <v>85202</v>
      </c>
      <c r="C40" s="376" t="s">
        <v>662</v>
      </c>
      <c r="D40" s="334">
        <f>E40</f>
        <v>7862</v>
      </c>
      <c r="E40" s="333">
        <f>SUM(F40+G40+H40+I40)</f>
        <v>7862</v>
      </c>
      <c r="F40" s="334">
        <v>7862</v>
      </c>
      <c r="G40" s="334">
        <v>0</v>
      </c>
      <c r="H40" s="334">
        <v>0</v>
      </c>
      <c r="I40" s="334">
        <v>0</v>
      </c>
      <c r="J40" s="358" t="s">
        <v>557</v>
      </c>
    </row>
    <row r="41" spans="1:10" ht="12.75">
      <c r="A41" s="23"/>
      <c r="B41" s="8"/>
      <c r="C41" s="377" t="s">
        <v>661</v>
      </c>
      <c r="D41" s="335"/>
      <c r="E41" s="335"/>
      <c r="F41" s="335"/>
      <c r="G41" s="335"/>
      <c r="H41" s="335"/>
      <c r="I41" s="335"/>
      <c r="J41" s="32" t="s">
        <v>334</v>
      </c>
    </row>
    <row r="42" spans="1:10" ht="12.75">
      <c r="A42" s="85">
        <v>852</v>
      </c>
      <c r="B42" s="83">
        <v>85202</v>
      </c>
      <c r="C42" s="376" t="s">
        <v>662</v>
      </c>
      <c r="D42" s="334">
        <f>E42</f>
        <v>31722</v>
      </c>
      <c r="E42" s="333">
        <f>SUM(F42+G42+H42+I42)</f>
        <v>31722</v>
      </c>
      <c r="F42" s="334">
        <v>31722</v>
      </c>
      <c r="G42" s="334">
        <v>0</v>
      </c>
      <c r="H42" s="334">
        <v>0</v>
      </c>
      <c r="I42" s="334">
        <v>0</v>
      </c>
      <c r="J42" s="358" t="s">
        <v>660</v>
      </c>
    </row>
    <row r="43" spans="1:10" ht="12.75">
      <c r="A43" s="23"/>
      <c r="B43" s="8"/>
      <c r="C43" s="377"/>
      <c r="D43" s="335"/>
      <c r="E43" s="335"/>
      <c r="F43" s="335"/>
      <c r="G43" s="335"/>
      <c r="H43" s="335"/>
      <c r="I43" s="335"/>
      <c r="J43" s="32" t="s">
        <v>334</v>
      </c>
    </row>
    <row r="44" spans="1:10" ht="12.75">
      <c r="A44" s="85">
        <v>852</v>
      </c>
      <c r="B44" s="83">
        <v>85202</v>
      </c>
      <c r="C44" s="376" t="s">
        <v>558</v>
      </c>
      <c r="D44" s="334">
        <f>E44</f>
        <v>5092</v>
      </c>
      <c r="E44" s="333">
        <f>SUM(F44+G44+H44+I44)</f>
        <v>5092</v>
      </c>
      <c r="F44" s="334">
        <v>5092</v>
      </c>
      <c r="G44" s="334">
        <v>0</v>
      </c>
      <c r="H44" s="334">
        <v>0</v>
      </c>
      <c r="I44" s="334">
        <v>0</v>
      </c>
      <c r="J44" s="358" t="s">
        <v>680</v>
      </c>
    </row>
    <row r="45" spans="1:10" ht="12.75">
      <c r="A45" s="23"/>
      <c r="B45" s="8"/>
      <c r="C45" s="377"/>
      <c r="D45" s="335"/>
      <c r="E45" s="335"/>
      <c r="F45" s="335"/>
      <c r="G45" s="335"/>
      <c r="H45" s="335"/>
      <c r="I45" s="335"/>
      <c r="J45" s="32" t="s">
        <v>559</v>
      </c>
    </row>
    <row r="46" spans="1:10" ht="12.75">
      <c r="A46" s="85">
        <v>852</v>
      </c>
      <c r="B46" s="83">
        <v>85218</v>
      </c>
      <c r="C46" s="376" t="s">
        <v>558</v>
      </c>
      <c r="D46" s="334">
        <f>E46</f>
        <v>6500</v>
      </c>
      <c r="E46" s="333">
        <f>SUM(F46+G46+H46+I46)</f>
        <v>6500</v>
      </c>
      <c r="F46" s="334">
        <v>6500</v>
      </c>
      <c r="G46" s="334">
        <v>0</v>
      </c>
      <c r="H46" s="334">
        <v>0</v>
      </c>
      <c r="I46" s="334">
        <v>0</v>
      </c>
      <c r="J46" s="358" t="s">
        <v>560</v>
      </c>
    </row>
    <row r="47" spans="1:10" ht="12.75">
      <c r="A47" s="23"/>
      <c r="B47" s="8"/>
      <c r="C47" s="377"/>
      <c r="D47" s="335"/>
      <c r="E47" s="335"/>
      <c r="F47" s="335"/>
      <c r="G47" s="335"/>
      <c r="H47" s="335"/>
      <c r="I47" s="335"/>
      <c r="J47" s="32" t="s">
        <v>761</v>
      </c>
    </row>
    <row r="48" spans="1:10" ht="12.75">
      <c r="A48" s="85">
        <v>854</v>
      </c>
      <c r="B48" s="83">
        <v>85406</v>
      </c>
      <c r="C48" s="376" t="s">
        <v>760</v>
      </c>
      <c r="D48" s="334">
        <f>E48</f>
        <v>12000</v>
      </c>
      <c r="E48" s="333">
        <f>SUM(F48+G48+H48+I48)</f>
        <v>12000</v>
      </c>
      <c r="F48" s="334">
        <v>12000</v>
      </c>
      <c r="G48" s="334">
        <v>0</v>
      </c>
      <c r="H48" s="334">
        <v>0</v>
      </c>
      <c r="I48" s="334">
        <v>0</v>
      </c>
      <c r="J48" s="358" t="s">
        <v>762</v>
      </c>
    </row>
    <row r="49" spans="1:10" ht="12.75">
      <c r="A49" s="23"/>
      <c r="B49" s="8"/>
      <c r="C49" s="377" t="s">
        <v>731</v>
      </c>
      <c r="D49" s="335"/>
      <c r="E49" s="335"/>
      <c r="F49" s="335"/>
      <c r="G49" s="335"/>
      <c r="H49" s="335"/>
      <c r="I49" s="335"/>
      <c r="J49" s="32" t="s">
        <v>725</v>
      </c>
    </row>
    <row r="50" spans="1:10" ht="12.75">
      <c r="A50" s="85">
        <v>854</v>
      </c>
      <c r="B50" s="83">
        <v>85420</v>
      </c>
      <c r="C50" s="376" t="s">
        <v>732</v>
      </c>
      <c r="D50" s="334">
        <f>E50</f>
        <v>53525</v>
      </c>
      <c r="E50" s="333">
        <f>SUM(F50+G50+H50+I50)</f>
        <v>53525</v>
      </c>
      <c r="F50" s="334">
        <f>90907-37382</f>
        <v>53525</v>
      </c>
      <c r="G50" s="334">
        <v>0</v>
      </c>
      <c r="H50" s="334">
        <v>0</v>
      </c>
      <c r="I50" s="334">
        <v>0</v>
      </c>
      <c r="J50" s="358" t="s">
        <v>726</v>
      </c>
    </row>
    <row r="51" spans="1:10" ht="12.75">
      <c r="A51" s="23"/>
      <c r="B51" s="8"/>
      <c r="C51" s="377" t="s">
        <v>723</v>
      </c>
      <c r="D51" s="335"/>
      <c r="E51" s="335"/>
      <c r="F51" s="335"/>
      <c r="G51" s="335"/>
      <c r="H51" s="335"/>
      <c r="I51" s="335"/>
      <c r="J51" s="32" t="s">
        <v>725</v>
      </c>
    </row>
    <row r="52" spans="1:10" ht="13.5" thickBot="1">
      <c r="A52" s="23">
        <v>854</v>
      </c>
      <c r="B52" s="8">
        <v>85420</v>
      </c>
      <c r="C52" s="377" t="s">
        <v>724</v>
      </c>
      <c r="D52" s="334">
        <f>E52</f>
        <v>11243</v>
      </c>
      <c r="E52" s="333">
        <f>SUM(F52+G52+H52+I52)</f>
        <v>11243</v>
      </c>
      <c r="F52" s="334">
        <f>19000-7757</f>
        <v>11243</v>
      </c>
      <c r="G52" s="334">
        <v>0</v>
      </c>
      <c r="H52" s="334">
        <v>0</v>
      </c>
      <c r="I52" s="334">
        <v>0</v>
      </c>
      <c r="J52" s="32" t="s">
        <v>726</v>
      </c>
    </row>
    <row r="53" spans="1:10" ht="13.5" thickBot="1">
      <c r="A53" s="336"/>
      <c r="B53" s="337"/>
      <c r="C53" s="338" t="s">
        <v>335</v>
      </c>
      <c r="D53" s="339">
        <f>SUM(D13:D52)</f>
        <v>1096420</v>
      </c>
      <c r="E53" s="339">
        <f>SUM(E13:E52)</f>
        <v>1096420</v>
      </c>
      <c r="F53" s="339">
        <f>SUM(F13:F52)</f>
        <v>682620</v>
      </c>
      <c r="G53" s="339">
        <f>SUM(G13:G52)</f>
        <v>27500</v>
      </c>
      <c r="H53" s="339">
        <f>SUM(H13:H52)</f>
        <v>386300</v>
      </c>
      <c r="I53" s="339">
        <f>SUM(I13:I46)</f>
        <v>0</v>
      </c>
      <c r="J53" s="379"/>
    </row>
    <row r="54" spans="1:10" ht="12.75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2.75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G58" s="264"/>
      <c r="H58" s="9"/>
      <c r="I58" s="264"/>
      <c r="J58" s="9"/>
    </row>
    <row r="59" spans="1:10" ht="12.75">
      <c r="A59" s="9"/>
      <c r="B59" s="9"/>
      <c r="C59" s="9"/>
      <c r="D59" s="9"/>
      <c r="E59" s="9"/>
      <c r="F59" s="9"/>
      <c r="G59" s="9"/>
      <c r="H59" s="264">
        <f>SUM(F53:H53)</f>
        <v>1096420</v>
      </c>
      <c r="I59" s="9"/>
      <c r="J59" s="9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7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7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7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7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7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7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340"/>
    </row>
    <row r="73" spans="1:10" ht="12.75">
      <c r="A73" s="79"/>
      <c r="B73" s="79"/>
      <c r="C73" s="79"/>
      <c r="D73" s="51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51"/>
      <c r="E74" s="51"/>
      <c r="F74" s="9"/>
      <c r="G74" s="9"/>
      <c r="H74" s="9"/>
      <c r="I74" s="9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2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9"/>
      <c r="D79" s="264"/>
      <c r="E79" s="264"/>
      <c r="F79" s="264"/>
      <c r="G79" s="264"/>
      <c r="H79" s="264"/>
      <c r="I79" s="264"/>
      <c r="J79" s="51"/>
    </row>
    <row r="80" spans="1:10" ht="12.75">
      <c r="A80" s="51"/>
      <c r="B80" s="51"/>
      <c r="C80" s="9"/>
      <c r="D80" s="264"/>
      <c r="E80" s="264"/>
      <c r="F80" s="264"/>
      <c r="G80" s="264"/>
      <c r="H80" s="264"/>
      <c r="I80" s="264"/>
      <c r="J80" s="51"/>
    </row>
    <row r="81" spans="1:10" ht="12.75">
      <c r="A81" s="51"/>
      <c r="B81" s="51"/>
      <c r="C81" s="9"/>
      <c r="D81" s="264"/>
      <c r="E81" s="264"/>
      <c r="F81" s="264"/>
      <c r="G81" s="264"/>
      <c r="H81" s="264"/>
      <c r="I81" s="264"/>
      <c r="J81" s="51"/>
    </row>
    <row r="82" spans="1:10" ht="12.75">
      <c r="A82" s="51"/>
      <c r="B82" s="51"/>
      <c r="C82" s="9"/>
      <c r="D82" s="264"/>
      <c r="E82" s="264"/>
      <c r="F82" s="264"/>
      <c r="G82" s="264"/>
      <c r="H82" s="264"/>
      <c r="I82" s="264"/>
      <c r="J82" s="51"/>
    </row>
    <row r="83" spans="1:10" ht="12.75">
      <c r="A83" s="51"/>
      <c r="B83" s="51"/>
      <c r="C83" s="76"/>
      <c r="D83" s="264"/>
      <c r="E83" s="264"/>
      <c r="F83" s="264"/>
      <c r="G83" s="264"/>
      <c r="H83" s="264"/>
      <c r="I83" s="264"/>
      <c r="J83" s="51"/>
    </row>
    <row r="84" spans="1:10" ht="12.75">
      <c r="A84" s="51"/>
      <c r="B84" s="51"/>
      <c r="C84" s="76"/>
      <c r="D84" s="264"/>
      <c r="E84" s="264"/>
      <c r="F84" s="264"/>
      <c r="G84" s="264"/>
      <c r="H84" s="264"/>
      <c r="I84" s="264"/>
      <c r="J84" s="51"/>
    </row>
    <row r="85" spans="1:10" ht="12.75">
      <c r="A85" s="51"/>
      <c r="B85" s="51"/>
      <c r="C85" s="9"/>
      <c r="D85" s="264"/>
      <c r="E85" s="264"/>
      <c r="F85" s="264"/>
      <c r="G85" s="264"/>
      <c r="H85" s="264"/>
      <c r="I85" s="264"/>
      <c r="J85" s="51"/>
    </row>
    <row r="86" spans="1:10" ht="12.75">
      <c r="A86" s="51"/>
      <c r="B86" s="51"/>
      <c r="C86" s="9"/>
      <c r="D86" s="264"/>
      <c r="E86" s="264"/>
      <c r="F86" s="264"/>
      <c r="G86" s="264"/>
      <c r="H86" s="264"/>
      <c r="I86" s="264"/>
      <c r="J86" s="51"/>
    </row>
    <row r="87" spans="1:10" ht="12.75">
      <c r="A87" s="51"/>
      <c r="B87" s="51"/>
      <c r="C87" s="9"/>
      <c r="D87" s="264"/>
      <c r="E87" s="264"/>
      <c r="F87" s="264"/>
      <c r="G87" s="264"/>
      <c r="H87" s="264"/>
      <c r="I87" s="264"/>
      <c r="J87" s="51"/>
    </row>
    <row r="88" spans="1:10" ht="12.75">
      <c r="A88" s="51"/>
      <c r="B88" s="51"/>
      <c r="C88" s="9"/>
      <c r="D88" s="264"/>
      <c r="E88" s="264"/>
      <c r="F88" s="264"/>
      <c r="G88" s="264"/>
      <c r="H88" s="264"/>
      <c r="I88" s="264"/>
      <c r="J88" s="51"/>
    </row>
    <row r="89" spans="1:10" ht="12.75">
      <c r="A89" s="51"/>
      <c r="B89" s="51"/>
      <c r="C89" s="76"/>
      <c r="D89" s="264"/>
      <c r="E89" s="264"/>
      <c r="F89" s="264"/>
      <c r="G89" s="264"/>
      <c r="H89" s="264"/>
      <c r="I89" s="264"/>
      <c r="J89" s="51"/>
    </row>
    <row r="90" spans="1:10" ht="12.75">
      <c r="A90" s="51"/>
      <c r="B90" s="51"/>
      <c r="C90" s="9"/>
      <c r="D90" s="264"/>
      <c r="E90" s="264"/>
      <c r="F90" s="264"/>
      <c r="G90" s="264"/>
      <c r="H90" s="264"/>
      <c r="I90" s="264"/>
      <c r="J90" s="51"/>
    </row>
    <row r="91" spans="1:10" ht="12.75">
      <c r="A91" s="51"/>
      <c r="B91" s="9"/>
      <c r="C91" s="84"/>
      <c r="D91" s="313"/>
      <c r="E91" s="313"/>
      <c r="F91" s="313"/>
      <c r="G91" s="313"/>
      <c r="H91" s="313"/>
      <c r="I91" s="313"/>
      <c r="J91" s="313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55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2.75">
      <c r="A97" s="55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2.75">
      <c r="A98" s="55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2.75">
      <c r="A99" s="55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1:10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1:10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1:10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1:10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1:10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1:10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1:10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1:10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1:10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1:10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1:10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0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1:10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1:10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0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1:10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1:10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1:10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</row>
    <row r="173" spans="1:10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</row>
    <row r="174" spans="1:10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1:10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</row>
    <row r="176" spans="1:10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1:10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1:10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</row>
    <row r="179" spans="1:10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</row>
    <row r="182" spans="1:10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</row>
    <row r="183" spans="1:10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</row>
    <row r="184" spans="1:10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</row>
    <row r="185" spans="1:10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0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0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0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0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0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0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  <row r="202" spans="1:10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</row>
    <row r="203" spans="1:10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</row>
    <row r="204" spans="1:10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</row>
    <row r="205" spans="1:10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</row>
    <row r="206" spans="1:10" ht="12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1:10" ht="12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1:10" ht="12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</row>
  </sheetData>
  <mergeCells count="3">
    <mergeCell ref="A5:J5"/>
    <mergeCell ref="F8:I8"/>
    <mergeCell ref="F7:I7"/>
  </mergeCells>
  <printOptions horizontalCentered="1"/>
  <pageMargins left="0.2" right="0.21" top="0.45" bottom="0.56" header="0.44" footer="0.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Magier</cp:lastModifiedBy>
  <cp:lastPrinted>2006-01-06T10:32:37Z</cp:lastPrinted>
  <dcterms:created xsi:type="dcterms:W3CDTF">2003-01-16T13:32:33Z</dcterms:created>
  <dcterms:modified xsi:type="dcterms:W3CDTF">2006-01-30T12:16:29Z</dcterms:modified>
  <cp:category/>
  <cp:version/>
  <cp:contentType/>
  <cp:contentStatus/>
</cp:coreProperties>
</file>