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35" firstSheet="8" activeTab="13"/>
  </bookViews>
  <sheets>
    <sheet name="Dochody-ukł.wykon." sheetId="1" r:id="rId1"/>
    <sheet name="Wydatki wg grup" sheetId="2" r:id="rId2"/>
    <sheet name="WYDATKI ukł.wyk." sheetId="3" r:id="rId3"/>
    <sheet name="Wieloletnie programy" sheetId="4" r:id="rId4"/>
    <sheet name="Inwestycje 2007" sheetId="5" r:id="rId5"/>
    <sheet name="Żródła finans." sheetId="6" r:id="rId6"/>
    <sheet name="Doch.i wyd..zlec.zał.3" sheetId="7" r:id="rId7"/>
    <sheet name="Wspolne 232-4" sheetId="8" r:id="rId8"/>
    <sheet name="Gosp. pom." sheetId="9" r:id="rId9"/>
    <sheet name="Dotacje podmiotowe" sheetId="10" r:id="rId10"/>
    <sheet name="Stowarzyszenia 10" sheetId="11" r:id="rId11"/>
    <sheet name="PFOŚiGW" sheetId="12" r:id="rId12"/>
    <sheet name="PFGZGiK" sheetId="13" r:id="rId13"/>
    <sheet name="Prognoza dł. 8" sheetId="14" r:id="rId14"/>
    <sheet name="Sytuacja finans." sheetId="15" r:id="rId15"/>
  </sheets>
  <externalReferences>
    <externalReference r:id="rId18"/>
  </externalReferences>
  <definedNames>
    <definedName name="_xlnm.Print_Area" localSheetId="6">'Doch.i wyd..zlec.zał.3'!$A$1:$G$173</definedName>
    <definedName name="_xlnm.Print_Area" localSheetId="0">'Dochody-ukł.wykon.'!$A$1:$I$202</definedName>
    <definedName name="_xlnm.Print_Area" localSheetId="9">'Dotacje podmiotowe'!$A$1:$G$34</definedName>
    <definedName name="_xlnm.Print_Area" localSheetId="8">'Gosp. pom.'!$A$1:$K$18</definedName>
    <definedName name="_xlnm.Print_Area" localSheetId="4">'Inwestycje 2007'!$A$1:$L$21</definedName>
    <definedName name="_xlnm.Print_Area" localSheetId="12">'PFGZGiK'!$A$1:$E$28</definedName>
    <definedName name="_xlnm.Print_Area" localSheetId="13">'Prognoza dł. 8'!$A$1:$AA$34</definedName>
    <definedName name="_xlnm.Print_Area" localSheetId="2">'WYDATKI ukł.wyk.'!$A$1:$G$579</definedName>
    <definedName name="_xlnm.Print_Area" localSheetId="1">'Wydatki wg grup'!$A$1:$M$100</definedName>
    <definedName name="_xlnm.Print_Titles" localSheetId="6">'Doch.i wyd..zlec.zał.3'!$18:$18</definedName>
    <definedName name="_xlnm.Print_Titles" localSheetId="0">'Dochody-ukł.wykon.'!$11:$11</definedName>
    <definedName name="_xlnm.Print_Titles" localSheetId="13">'Prognoza dł. 8'!$A:$A</definedName>
    <definedName name="_xlnm.Print_Titles" localSheetId="14">'Sytuacja finans.'!$A:$A</definedName>
    <definedName name="_xlnm.Print_Titles" localSheetId="7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<sst xmlns="http://schemas.openxmlformats.org/spreadsheetml/2006/main" count="1660" uniqueCount="672">
  <si>
    <t>Przebudowa dr.pow.nr.1103N Bielnik Drugi - Jegłownik Gronowo Elbląskie - Stare Dolno - Powodowo -Wysoka od km. 21+048 do km 23+248 o dł 2,2 km</t>
  </si>
  <si>
    <t>Przebudowa drogi powiatowej nr 1103N Kazimierzowo-Helenowo-Wikrowo-Jegłownik-Gronowo Elbląskie-St. Dolno-Matwica na odcinku Helenowo-Jegłownik, gm Elbląg</t>
  </si>
  <si>
    <t>Przebudowa drogi powiatowej nr 1101N na odcinku drogi 1100N Nowakowo-Kępa Rybacka-Bielnik II</t>
  </si>
  <si>
    <t>Przebudowa drogi powiatowej nr 1162N na odcinku Godkowo-Ząbrowiec</t>
  </si>
  <si>
    <t>Odnowa nawierzchni drogi powiatowej nr 1150N na odcinku Węzina-Dłużyna o dłg. 2,676 km i drogi nr 1151N odc. Dłużyna-Krosno o dłg. 5,183</t>
  </si>
  <si>
    <t>Odnowa nawierzchni drogi powiatowej Nr 1120N na odcinku Oleśno-Gronowo Elbląskie o dł. 1,5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</si>
  <si>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</si>
  <si>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</si>
  <si>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</si>
  <si>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</si>
  <si>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</si>
  <si>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</si>
  <si>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</si>
  <si>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</si>
  <si>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</si>
  <si>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</si>
  <si>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</si>
  <si>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</si>
  <si>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</si>
  <si>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</si>
  <si>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</si>
  <si>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</si>
  <si>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</si>
  <si>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</si>
  <si>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</si>
  <si>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</si>
  <si>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</si>
  <si>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</si>
  <si>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</si>
  <si>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</si>
  <si>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</si>
  <si>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</si>
  <si>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</si>
  <si>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</si>
  <si>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</si>
  <si>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</si>
  <si>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</si>
  <si>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</si>
  <si>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</si>
  <si>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</si>
  <si>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</si>
  <si>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</si>
  <si>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</si>
  <si>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</si>
  <si>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</si>
  <si>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</si>
  <si>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</si>
  <si>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</si>
  <si>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</si>
  <si>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</si>
  <si>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</si>
  <si>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</si>
  <si>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</si>
  <si>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</si>
  <si>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</si>
  <si>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</si>
  <si>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</si>
  <si>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</si>
  <si>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</si>
  <si>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</si>
  <si>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</si>
  <si>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</si>
  <si>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</si>
  <si>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</si>
  <si>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</si>
  <si>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</si>
  <si>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</si>
  <si>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</si>
  <si>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</si>
  <si>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</si>
  <si>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</si>
  <si>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</si>
  <si>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</si>
  <si>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</si>
  <si>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</si>
  <si>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</si>
  <si>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</si>
  <si>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</si>
  <si>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</si>
  <si>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</si>
  <si>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</si>
  <si>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</si>
  <si>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</si>
  <si>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</si>
  <si>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</si>
  <si>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</si>
  <si>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</si>
  <si>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</si>
  <si>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</si>
  <si>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</si>
  <si>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</si>
  <si>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</si>
  <si>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</si>
  <si>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</si>
  <si>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</si>
  <si>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</si>
  <si>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</si>
  <si>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</si>
  <si>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</si>
  <si>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</si>
  <si>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</si>
  <si>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</si>
  <si>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</si>
  <si>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</si>
  <si>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</si>
  <si>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</si>
  <si>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</si>
  <si>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</si>
  <si>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</si>
  <si>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</si>
  <si>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</si>
  <si>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</si>
  <si>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</si>
  <si>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</si>
  <si>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</si>
  <si>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</si>
  <si>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</si>
  <si>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</si>
  <si>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</si>
  <si>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</si>
  <si>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</si>
  <si>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</si>
  <si>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</si>
  <si>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</si>
  <si>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</si>
  <si>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</si>
  <si>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</si>
  <si>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</si>
  <si>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</si>
  <si>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</si>
  <si>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</si>
  <si>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</si>
  <si>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</si>
  <si>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</si>
  <si>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</si>
  <si>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</si>
  <si>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</si>
  <si>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</si>
  <si>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</si>
  <si>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</si>
  <si>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</si>
  <si>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</si>
  <si>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</si>
  <si>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</si>
  <si>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</si>
  <si>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</si>
  <si>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</si>
  <si>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</si>
  <si>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</si>
  <si>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</si>
  <si>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</si>
  <si>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</si>
  <si>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</si>
  <si>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</si>
  <si>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</si>
  <si>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</si>
  <si>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</si>
  <si>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</si>
  <si>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</si>
  <si>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</si>
  <si>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</si>
  <si>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</si>
  <si>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</si>
  <si>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</si>
  <si>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</si>
  <si>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</si>
  <si>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</si>
  <si>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</si>
  <si>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</si>
  <si>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</si>
  <si>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</si>
  <si>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</si>
  <si>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</si>
  <si>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</si>
  <si>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</si>
  <si>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9.</t>
  </si>
  <si>
    <t>10.</t>
  </si>
  <si>
    <t>11.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</si>
  <si>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</si>
  <si>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</si>
  <si>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</si>
  <si>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</si>
  <si>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</si>
  <si>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</si>
  <si>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</si>
  <si>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12.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</si>
  <si>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</si>
  <si>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</si>
  <si>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</si>
  <si>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</si>
  <si>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</si>
  <si>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</si>
  <si>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</si>
  <si>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</si>
  <si>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</si>
  <si>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</si>
  <si>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</si>
  <si>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</si>
  <si>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</si>
  <si>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</si>
  <si>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</si>
  <si>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</si>
  <si>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</si>
  <si>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</si>
  <si>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</si>
  <si>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</si>
  <si>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</si>
  <si>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</si>
  <si>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</si>
  <si>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</si>
  <si>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</si>
  <si>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</si>
  <si>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</si>
  <si>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</si>
  <si>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</si>
  <si>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</si>
  <si>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</si>
  <si>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</si>
  <si>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</si>
  <si>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</si>
  <si>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</si>
  <si>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</si>
  <si>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</si>
  <si>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</si>
  <si>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</si>
  <si>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</si>
  <si>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</si>
  <si>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</si>
  <si>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</si>
  <si>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</si>
  <si>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</si>
  <si>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</si>
  <si>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</si>
  <si>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</si>
  <si>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</si>
  <si>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</si>
  <si>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</si>
  <si>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</si>
  <si>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</si>
  <si>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</si>
  <si>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</si>
  <si>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</si>
  <si>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</si>
  <si>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</si>
  <si>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</si>
  <si>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</si>
  <si>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</si>
  <si>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</si>
  <si>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</si>
  <si>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</si>
  <si>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</si>
  <si>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</si>
  <si>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</si>
  <si>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</si>
  <si>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</si>
  <si>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</si>
  <si>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</si>
  <si>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</si>
  <si>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</si>
  <si>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</si>
  <si>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</si>
  <si>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</si>
  <si>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</si>
  <si>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</si>
  <si>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</si>
  <si>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</si>
  <si>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</si>
  <si>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</si>
  <si>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</si>
  <si>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</si>
  <si>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</si>
  <si>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</si>
  <si>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</si>
  <si>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</si>
  <si>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</si>
  <si>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</si>
  <si>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</si>
  <si>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</si>
  <si>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</si>
  <si>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Załącznik nr 11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</si>
  <si>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</si>
  <si>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</si>
  <si>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</si>
  <si>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</si>
  <si>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</si>
  <si>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</si>
  <si>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</si>
  <si>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</si>
  <si>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</si>
  <si>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</si>
  <si>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</si>
  <si>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</si>
  <si>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</si>
  <si>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</si>
  <si>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</si>
  <si>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</si>
  <si>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</si>
  <si>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</si>
  <si>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</si>
  <si>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</si>
  <si>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</si>
  <si>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</si>
  <si>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</si>
  <si>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</si>
  <si>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</si>
  <si>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</si>
  <si>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</si>
  <si>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</si>
  <si>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</si>
  <si>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</si>
  <si>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</si>
  <si>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</si>
  <si>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</si>
  <si>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</si>
  <si>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</si>
  <si>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</si>
  <si>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</si>
  <si>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</si>
  <si>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</si>
  <si>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</si>
  <si>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</si>
  <si>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</si>
  <si>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</si>
  <si>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</si>
  <si>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</si>
  <si>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</si>
  <si>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</si>
  <si>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</si>
  <si>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</si>
  <si>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</si>
  <si>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</si>
  <si>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</si>
  <si>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</si>
  <si>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</si>
  <si>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</si>
  <si>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</si>
  <si>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</si>
  <si>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</si>
  <si>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</si>
  <si>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</si>
  <si>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</si>
  <si>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</si>
  <si>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</si>
  <si>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</si>
  <si>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</si>
  <si>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</si>
  <si>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</si>
  <si>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</si>
  <si>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</si>
  <si>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</si>
  <si>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</si>
  <si>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</si>
  <si>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</si>
  <si>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</si>
  <si>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</si>
  <si>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</si>
  <si>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</si>
  <si>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</si>
  <si>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</si>
  <si>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</si>
  <si>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</si>
  <si>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</si>
  <si>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</si>
  <si>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</si>
  <si>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</si>
  <si>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</si>
  <si>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</si>
  <si>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</si>
  <si>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</si>
  <si>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</si>
  <si>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</si>
  <si>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</si>
  <si>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</si>
  <si>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</si>
  <si>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</si>
  <si>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</si>
  <si>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</si>
  <si>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</si>
  <si>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</si>
  <si>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</si>
  <si>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</si>
  <si>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</si>
  <si>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</si>
  <si>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</si>
  <si>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</si>
  <si>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</si>
  <si>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</si>
  <si>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</si>
  <si>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</si>
  <si>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</si>
  <si>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</si>
  <si>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</si>
  <si>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</si>
  <si>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</si>
  <si>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</si>
  <si>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</si>
  <si>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</si>
  <si>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</si>
  <si>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</si>
  <si>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</si>
  <si>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</si>
  <si>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</si>
  <si>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</si>
  <si>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</si>
  <si>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</si>
  <si>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</si>
  <si>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</si>
  <si>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</si>
  <si>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</si>
  <si>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</si>
  <si>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</si>
  <si>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</si>
  <si>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</si>
  <si>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</si>
  <si>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</si>
  <si>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</si>
  <si>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</si>
  <si>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</si>
  <si>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</si>
  <si>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</si>
  <si>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</si>
  <si>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</si>
  <si>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</si>
  <si>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</si>
  <si>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</si>
  <si>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</si>
  <si>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</si>
  <si>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</si>
  <si>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</si>
  <si>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</si>
  <si>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</si>
  <si>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</si>
  <si>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</si>
  <si>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</si>
  <si>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</si>
  <si>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</si>
  <si>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</si>
  <si>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</si>
  <si>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</si>
  <si>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</si>
  <si>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</si>
  <si>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</si>
  <si>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</si>
  <si>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</si>
  <si>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</si>
  <si>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</si>
  <si>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</si>
  <si>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</si>
  <si>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</si>
  <si>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</si>
  <si>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</si>
  <si>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</si>
  <si>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</si>
  <si>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</si>
  <si>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</si>
  <si>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</si>
  <si>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</si>
  <si>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</si>
  <si>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</si>
  <si>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 xml:space="preserve">PW  za 2007 r. </t>
  </si>
  <si>
    <t>Plan na 2008 r.</t>
  </si>
  <si>
    <t>Plan dochodów budżetu powiatu elbląskiego na 2008 r.</t>
  </si>
  <si>
    <t>%                 (5/4)</t>
  </si>
  <si>
    <t>Wydatki budżetu powiatu na  2008 r.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</si>
  <si>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</si>
  <si>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</si>
  <si>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</si>
  <si>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</si>
  <si>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r>
      <t xml:space="preserve">rok budżetowy 2008 </t>
    </r>
    <r>
      <rPr>
        <b/>
        <sz val="10"/>
        <rFont val="Arial CE"/>
        <family val="0"/>
      </rPr>
      <t>(8+9+10+11)</t>
    </r>
  </si>
  <si>
    <t>w 2008 roku</t>
  </si>
  <si>
    <t>jednostkami samorządu terytorialnego  w 2008 r.</t>
  </si>
  <si>
    <t xml:space="preserve"> oraz dochodów i wydatków rachunków dochodów własnych jednostek budżetowych na 2008 r.</t>
  </si>
  <si>
    <t xml:space="preserve"> do sektora finansów publicznych w 2008 r. </t>
  </si>
  <si>
    <t>na 2008 rok</t>
  </si>
  <si>
    <t xml:space="preserve"> - udziały w podatku dochodowym - § 0010, 0020</t>
  </si>
  <si>
    <t xml:space="preserve"> - subwencje - § 2920</t>
  </si>
  <si>
    <t xml:space="preserve"> - dotacje na zadania bieżące wg porozumień/umów - § 2310, 2320</t>
  </si>
  <si>
    <t xml:space="preserve"> - dotacje i środki otrzymane na inwestycje - § 6220, 6410, 6430, 6610</t>
  </si>
  <si>
    <t xml:space="preserve"> - dotacje na zadania własne - § 2130</t>
  </si>
  <si>
    <t xml:space="preserve"> - dotacje na zadania zlecone - § 2110</t>
  </si>
  <si>
    <t>Kwota
2008 r.</t>
  </si>
  <si>
    <t>PW w 2007 r.</t>
  </si>
  <si>
    <t>Szkolenia pracowników korpusu służby cywilnej</t>
  </si>
  <si>
    <t>4550</t>
  </si>
  <si>
    <t>Podróże krajowe służbowe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</si>
  <si>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</si>
  <si>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</si>
  <si>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</si>
  <si>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</si>
  <si>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</si>
  <si>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</si>
  <si>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</si>
  <si>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</si>
  <si>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</si>
  <si>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</si>
  <si>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</si>
  <si>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</si>
  <si>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</si>
  <si>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</si>
  <si>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</si>
  <si>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</si>
  <si>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</si>
  <si>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</si>
  <si>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</si>
  <si>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Przychody i rozchody budżetu w 2008 r.</t>
  </si>
  <si>
    <t>4170</t>
  </si>
  <si>
    <t>Sport dla wszystkich dzieci "Puchar ferii"</t>
  </si>
  <si>
    <t>Powiatowa inauguracja sportowego roku szkolnego 2008/2009</t>
  </si>
  <si>
    <t>Festiwal Zdrowia  "Intergracje" w Pasłęku</t>
  </si>
  <si>
    <t>Dotacje podmiotowe  w 2008 r.</t>
  </si>
  <si>
    <t>Nazwa instytucji</t>
  </si>
  <si>
    <t>Uzupełniające Liceum Ogólnokształcące dla Dorosłych w Jegłowniku</t>
  </si>
  <si>
    <t>Zadania inwestycyjne w 2008 r.</t>
  </si>
  <si>
    <t>rok budżetowy 2008 (8+9+10+11)</t>
  </si>
  <si>
    <t>Warsztat Terapii Zajęciowej w Milejewie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</si>
  <si>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</si>
  <si>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</si>
  <si>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</si>
  <si>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</si>
  <si>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</si>
  <si>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Liceum Ogólnokształcące dla Dorosłych w Jegłowniku</t>
  </si>
  <si>
    <t>Liceum Ogólnokształcące dla Dorosłych w Młynarach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</si>
  <si>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</si>
  <si>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</si>
  <si>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</si>
  <si>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Przebudowa drogi powiatowej nr 1185 Rychliki-Gołutowo na odc. O dł. 4,265 km, gm Rychliki</t>
  </si>
  <si>
    <t>Odnowa nawierzchni drogi powiatowej nr 1146N na  na odc. Droga wojewódzka nr 503 - Chojnowo-Pogrodzie o dł. 4,442 km</t>
  </si>
  <si>
    <t>Poprawa świadczenia usług dla ludności poprzez zapewnienie szerokopasmowego dostępu do internetu drogą radiową</t>
  </si>
  <si>
    <t>Budowa oczyszczalni ścieków</t>
  </si>
  <si>
    <t>Starostwo Powiatowe</t>
  </si>
  <si>
    <t>Dom Pomocy Społecznej Władysławowo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</si>
  <si>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</si>
  <si>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</si>
  <si>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</si>
  <si>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</si>
  <si>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</si>
  <si>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</si>
  <si>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</si>
  <si>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</si>
  <si>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</si>
  <si>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</si>
  <si>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</si>
  <si>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</si>
  <si>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</si>
  <si>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</si>
  <si>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</si>
  <si>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</si>
  <si>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</si>
  <si>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</si>
  <si>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</si>
  <si>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</si>
  <si>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</si>
  <si>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</si>
  <si>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</si>
  <si>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</si>
  <si>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</si>
  <si>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</si>
  <si>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</si>
  <si>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</si>
  <si>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</si>
  <si>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</si>
  <si>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</si>
  <si>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</si>
  <si>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</si>
  <si>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</si>
  <si>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</si>
  <si>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</si>
  <si>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</si>
  <si>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</si>
  <si>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</si>
  <si>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</si>
  <si>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</si>
  <si>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</si>
  <si>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</si>
  <si>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</si>
  <si>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</si>
  <si>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</si>
  <si>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</si>
  <si>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</si>
  <si>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</si>
  <si>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</si>
  <si>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</si>
  <si>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</si>
  <si>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</si>
  <si>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</si>
  <si>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</si>
  <si>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</si>
  <si>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</si>
  <si>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</si>
  <si>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</si>
  <si>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</si>
  <si>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</si>
  <si>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</si>
  <si>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</si>
  <si>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</si>
  <si>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</si>
  <si>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</si>
  <si>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</si>
  <si>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</si>
  <si>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</si>
  <si>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</si>
  <si>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</si>
  <si>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</si>
  <si>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</si>
  <si>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</si>
  <si>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</si>
  <si>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</si>
  <si>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</si>
  <si>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</si>
  <si>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</si>
  <si>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</si>
  <si>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</si>
  <si>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2008 - 2013</t>
  </si>
  <si>
    <t>13.</t>
  </si>
  <si>
    <t>A                                            B                                C - 255 000</t>
  </si>
  <si>
    <t>A                                           B                               C - 51 200</t>
  </si>
  <si>
    <t>A                                        B                                C - 64 000</t>
  </si>
  <si>
    <t>A                                         B                                         C - 80 000</t>
  </si>
  <si>
    <t>Zakup pomocy naukowych dydaktycznych i książek</t>
  </si>
  <si>
    <t>- wynagrodzenia i pochodne od wynagrodzeń</t>
  </si>
  <si>
    <t>Powiatowy Festyn Licealny</t>
  </si>
  <si>
    <t>Załącznik nr 4</t>
  </si>
  <si>
    <t>Załącznik  nr 9</t>
  </si>
  <si>
    <t>Załącznik nr 10</t>
  </si>
  <si>
    <t>Dom Pomocy Społecznej          Rangóry</t>
  </si>
  <si>
    <t>Dom Dziecka Marwica</t>
  </si>
  <si>
    <t>Kompleksowe zabezpieczenie sprzętowe sieci komputerowej, zakup komputerów i oprogramowania</t>
  </si>
  <si>
    <t xml:space="preserve">Uregulowanie gospodarki wodno-ściekowej: budowa oczyszczalni ścieków i remont stacji uzdatniania wody </t>
  </si>
  <si>
    <t xml:space="preserve">Przebudowa dr.pow.nr.1119N Karczowiska Górne Marwica na odc. Stankowo - Marwica od km 17+923 do km 22+423, gm Rychliki </t>
  </si>
  <si>
    <t xml:space="preserve">Przebudowa dr.pow.nr.1145N Milejewo - Majewo - Nowe Monasterzysko - Młynary  na odc. o dł.11,418 km, od km 0+000 do km 11+418 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</si>
  <si>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</si>
  <si>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</si>
  <si>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</si>
  <si>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</si>
  <si>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</si>
  <si>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</si>
  <si>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Zakup skrapiarki</t>
  </si>
  <si>
    <t>Zakup patelni elektrycznej</t>
  </si>
  <si>
    <t xml:space="preserve">Zakup samochodu ciężarowego </t>
  </si>
  <si>
    <t>Zakup rębaka</t>
  </si>
  <si>
    <t>Zakup nawigacji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</si>
  <si>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</si>
  <si>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</si>
  <si>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</si>
  <si>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</si>
  <si>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</si>
  <si>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</si>
  <si>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</si>
  <si>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</si>
  <si>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</si>
  <si>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</si>
  <si>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</si>
  <si>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</si>
  <si>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</si>
  <si>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</si>
  <si>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</si>
  <si>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</si>
  <si>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</si>
  <si>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</si>
  <si>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</si>
  <si>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</si>
  <si>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</si>
  <si>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</si>
  <si>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</si>
  <si>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1. Porozumienia</t>
  </si>
  <si>
    <t>z dnia ..................... 2008 r.</t>
  </si>
  <si>
    <t>z dnia...................2008 r.</t>
  </si>
  <si>
    <t xml:space="preserve">z dnia ................... 2008 r. </t>
  </si>
  <si>
    <t>Plan przed zmianą</t>
  </si>
  <si>
    <t>do uchwały Nr 3</t>
  </si>
  <si>
    <t>z dnia..............2008 r.</t>
  </si>
  <si>
    <t xml:space="preserve">z dnia ...................... 2008 r.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</si>
</sst>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3" fontId="11" fillId="0" borderId="21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2" xfId="0" applyFont="1" applyFill="1" applyBorder="1" applyAlignment="1">
      <alignment/>
    </xf>
    <xf numFmtId="3" fontId="11" fillId="0" borderId="10" xfId="0" applyNumberFormat="1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11" fillId="0" borderId="17" xfId="0" applyNumberFormat="1" applyFont="1" applyBorder="1" applyAlignment="1">
      <alignment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3" fontId="11" fillId="0" borderId="39" xfId="0" applyNumberFormat="1" applyFont="1" applyBorder="1" applyAlignment="1">
      <alignment vertical="top" wrapText="1"/>
    </xf>
    <xf numFmtId="3" fontId="11" fillId="0" borderId="15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3" fontId="4" fillId="0" borderId="41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42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15" fillId="0" borderId="47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3" fontId="14" fillId="0" borderId="41" xfId="0" applyNumberFormat="1" applyFont="1" applyBorder="1" applyAlignment="1">
      <alignment vertical="top" wrapText="1"/>
    </xf>
    <xf numFmtId="3" fontId="11" fillId="0" borderId="54" xfId="0" applyNumberFormat="1" applyFont="1" applyBorder="1" applyAlignment="1">
      <alignment vertical="top" wrapText="1"/>
    </xf>
    <xf numFmtId="3" fontId="11" fillId="0" borderId="52" xfId="0" applyNumberFormat="1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3" fontId="11" fillId="0" borderId="56" xfId="0" applyNumberFormat="1" applyFont="1" applyBorder="1" applyAlignment="1">
      <alignment vertical="top" wrapText="1"/>
    </xf>
    <xf numFmtId="3" fontId="14" fillId="0" borderId="57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3" fontId="22" fillId="0" borderId="58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34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3" fontId="7" fillId="0" borderId="59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2" fillId="0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3" fontId="7" fillId="0" borderId="61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3" fontId="22" fillId="0" borderId="58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quotePrefix="1">
      <alignment horizontal="center"/>
    </xf>
    <xf numFmtId="3" fontId="22" fillId="0" borderId="37" xfId="0" applyNumberFormat="1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0" fontId="22" fillId="0" borderId="62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41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60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61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0" fillId="33" borderId="6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54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49" fontId="0" fillId="33" borderId="47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69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9" xfId="0" applyNumberFormat="1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72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3" fontId="22" fillId="0" borderId="29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0" fillId="33" borderId="56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33" borderId="32" xfId="0" applyFont="1" applyFill="1" applyBorder="1" applyAlignment="1">
      <alignment/>
    </xf>
    <xf numFmtId="0" fontId="25" fillId="33" borderId="60" xfId="0" applyFont="1" applyFill="1" applyBorder="1" applyAlignment="1">
      <alignment/>
    </xf>
    <xf numFmtId="0" fontId="25" fillId="33" borderId="65" xfId="0" applyFont="1" applyFill="1" applyBorder="1" applyAlignment="1">
      <alignment/>
    </xf>
    <xf numFmtId="0" fontId="25" fillId="33" borderId="66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25" fillId="33" borderId="55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0" fontId="25" fillId="33" borderId="41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57" xfId="0" applyFont="1" applyBorder="1" applyAlignment="1">
      <alignment/>
    </xf>
    <xf numFmtId="3" fontId="2" fillId="0" borderId="53" xfId="0" applyNumberFormat="1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55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3" fontId="0" fillId="0" borderId="75" xfId="0" applyNumberFormat="1" applyFont="1" applyBorder="1" applyAlignment="1">
      <alignment horizontal="right" vertical="center"/>
    </xf>
    <xf numFmtId="3" fontId="0" fillId="0" borderId="75" xfId="0" applyNumberFormat="1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60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/>
    </xf>
    <xf numFmtId="3" fontId="0" fillId="0" borderId="52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7" fillId="0" borderId="38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7" fillId="0" borderId="10" xfId="0" applyNumberFormat="1" applyFont="1" applyFill="1" applyBorder="1" applyAlignment="1">
      <alignment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vertical="top" wrapText="1"/>
    </xf>
    <xf numFmtId="9" fontId="11" fillId="0" borderId="21" xfId="0" applyNumberFormat="1" applyFont="1" applyBorder="1" applyAlignment="1">
      <alignment vertical="top" wrapText="1"/>
    </xf>
    <xf numFmtId="9" fontId="11" fillId="0" borderId="10" xfId="0" applyNumberFormat="1" applyFont="1" applyBorder="1" applyAlignment="1">
      <alignment vertical="top" wrapText="1"/>
    </xf>
    <xf numFmtId="9" fontId="14" fillId="0" borderId="15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4" fillId="0" borderId="24" xfId="0" applyNumberFormat="1" applyFont="1" applyFill="1" applyBorder="1" applyAlignment="1">
      <alignment/>
    </xf>
    <xf numFmtId="9" fontId="11" fillId="0" borderId="26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11" fillId="0" borderId="14" xfId="0" applyNumberFormat="1" applyFont="1" applyBorder="1" applyAlignment="1">
      <alignment vertical="top" wrapText="1"/>
    </xf>
    <xf numFmtId="9" fontId="11" fillId="0" borderId="17" xfId="0" applyNumberFormat="1" applyFont="1" applyBorder="1" applyAlignment="1">
      <alignment vertical="top" wrapText="1"/>
    </xf>
    <xf numFmtId="9" fontId="14" fillId="0" borderId="26" xfId="0" applyNumberFormat="1" applyFont="1" applyBorder="1" applyAlignment="1">
      <alignment vertical="top" wrapText="1"/>
    </xf>
    <xf numFmtId="9" fontId="11" fillId="0" borderId="60" xfId="0" applyNumberFormat="1" applyFont="1" applyBorder="1" applyAlignment="1">
      <alignment vertical="top" wrapText="1"/>
    </xf>
    <xf numFmtId="9" fontId="14" fillId="0" borderId="10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20" fillId="0" borderId="55" xfId="0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4" fillId="0" borderId="67" xfId="0" applyFont="1" applyBorder="1" applyAlignment="1">
      <alignment vertical="top" wrapText="1"/>
    </xf>
    <xf numFmtId="9" fontId="14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4" fillId="33" borderId="49" xfId="0" applyFont="1" applyFill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 wrapText="1"/>
    </xf>
    <xf numFmtId="3" fontId="4" fillId="33" borderId="41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6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72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3" fontId="22" fillId="0" borderId="68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70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0" borderId="7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33" borderId="32" xfId="0" applyFont="1" applyFill="1" applyBorder="1" applyAlignment="1">
      <alignment/>
    </xf>
    <xf numFmtId="0" fontId="7" fillId="33" borderId="6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37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77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69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7" fillId="33" borderId="58" xfId="0" applyFont="1" applyFill="1" applyBorder="1" applyAlignment="1">
      <alignment horizontal="centerContinuous"/>
    </xf>
    <xf numFmtId="0" fontId="7" fillId="33" borderId="58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72" xfId="0" applyFont="1" applyFill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59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0" fontId="0" fillId="0" borderId="43" xfId="0" applyFont="1" applyBorder="1" applyAlignment="1">
      <alignment horizontal="centerContinuous"/>
    </xf>
    <xf numFmtId="0" fontId="7" fillId="0" borderId="49" xfId="0" applyFont="1" applyBorder="1" applyAlignment="1">
      <alignment/>
    </xf>
    <xf numFmtId="3" fontId="7" fillId="0" borderId="49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4" xfId="0" applyFont="1" applyBorder="1" applyAlignment="1">
      <alignment horizontal="centerContinuous"/>
    </xf>
    <xf numFmtId="3" fontId="7" fillId="0" borderId="55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0" fontId="0" fillId="0" borderId="64" xfId="0" applyFont="1" applyBorder="1" applyAlignment="1">
      <alignment horizontal="centerContinuous"/>
    </xf>
    <xf numFmtId="0" fontId="7" fillId="0" borderId="51" xfId="0" applyFont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7" fillId="0" borderId="29" xfId="0" applyFont="1" applyBorder="1" applyAlignment="1">
      <alignment/>
    </xf>
    <xf numFmtId="170" fontId="7" fillId="0" borderId="29" xfId="0" applyNumberFormat="1" applyFont="1" applyFill="1" applyBorder="1" applyAlignment="1">
      <alignment horizontal="center"/>
    </xf>
    <xf numFmtId="170" fontId="7" fillId="0" borderId="29" xfId="0" applyNumberFormat="1" applyFont="1" applyBorder="1" applyAlignment="1">
      <alignment horizontal="center"/>
    </xf>
    <xf numFmtId="170" fontId="7" fillId="0" borderId="73" xfId="0" applyNumberFormat="1" applyFont="1" applyBorder="1" applyAlignment="1">
      <alignment horizontal="center"/>
    </xf>
    <xf numFmtId="170" fontId="7" fillId="0" borderId="59" xfId="0" applyNumberFormat="1" applyFont="1" applyBorder="1" applyAlignment="1">
      <alignment horizontal="center"/>
    </xf>
    <xf numFmtId="170" fontId="7" fillId="0" borderId="3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78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26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0" fontId="4" fillId="0" borderId="81" xfId="0" applyFont="1" applyBorder="1" applyAlignment="1">
      <alignment horizontal="center" vertical="top"/>
    </xf>
    <xf numFmtId="0" fontId="0" fillId="0" borderId="81" xfId="0" applyBorder="1" applyAlignment="1">
      <alignment vertical="center"/>
    </xf>
    <xf numFmtId="3" fontId="0" fillId="0" borderId="81" xfId="0" applyNumberFormat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0" fontId="0" fillId="0" borderId="81" xfId="0" applyBorder="1" applyAlignment="1">
      <alignment vertical="center" wrapText="1"/>
    </xf>
    <xf numFmtId="170" fontId="4" fillId="0" borderId="81" xfId="0" applyNumberFormat="1" applyFont="1" applyBorder="1" applyAlignment="1">
      <alignment vertical="center"/>
    </xf>
    <xf numFmtId="0" fontId="26" fillId="0" borderId="81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top"/>
    </xf>
    <xf numFmtId="0" fontId="26" fillId="0" borderId="83" xfId="0" applyFont="1" applyBorder="1" applyAlignment="1">
      <alignment vertical="center" wrapText="1"/>
    </xf>
    <xf numFmtId="0" fontId="20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22" fillId="0" borderId="3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40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 vertical="center" wrapText="1" indent="2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5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 indent="2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4" xfId="0" applyNumberForma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55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 shrinkToFit="1"/>
    </xf>
    <xf numFmtId="3" fontId="25" fillId="0" borderId="56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85" xfId="0" applyNumberFormat="1" applyFont="1" applyFill="1" applyBorder="1" applyAlignment="1">
      <alignment/>
    </xf>
    <xf numFmtId="3" fontId="25" fillId="0" borderId="6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5" fillId="0" borderId="71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5" fillId="0" borderId="49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right"/>
    </xf>
    <xf numFmtId="0" fontId="9" fillId="33" borderId="58" xfId="0" applyFont="1" applyFill="1" applyBorder="1" applyAlignment="1">
      <alignment horizontal="center"/>
    </xf>
    <xf numFmtId="0" fontId="20" fillId="0" borderId="4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9" xfId="0" applyFont="1" applyFill="1" applyBorder="1" applyAlignment="1">
      <alignment horizontal="center" vertical="center" shrinkToFit="1"/>
    </xf>
    <xf numFmtId="3" fontId="4" fillId="0" borderId="58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vertical="center"/>
    </xf>
    <xf numFmtId="3" fontId="0" fillId="0" borderId="76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3" fontId="22" fillId="0" borderId="55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3" fontId="22" fillId="0" borderId="4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55" xfId="0" applyNumberFormat="1" applyFont="1" applyFill="1" applyBorder="1" applyAlignment="1">
      <alignment horizontal="right" vertical="center"/>
    </xf>
    <xf numFmtId="3" fontId="7" fillId="33" borderId="40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vertical="top" wrapText="1"/>
    </xf>
    <xf numFmtId="3" fontId="7" fillId="33" borderId="41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 horizontal="center" vertical="center" shrinkToFit="1"/>
    </xf>
    <xf numFmtId="3" fontId="20" fillId="0" borderId="6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/>
    </xf>
    <xf numFmtId="49" fontId="7" fillId="0" borderId="58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7" fillId="36" borderId="21" xfId="0" applyNumberFormat="1" applyFont="1" applyFill="1" applyBorder="1" applyAlignment="1">
      <alignment horizontal="right" vertical="center"/>
    </xf>
    <xf numFmtId="3" fontId="7" fillId="36" borderId="26" xfId="0" applyNumberFormat="1" applyFont="1" applyFill="1" applyBorder="1" applyAlignment="1">
      <alignment horizontal="right" vertical="center"/>
    </xf>
    <xf numFmtId="3" fontId="7" fillId="36" borderId="21" xfId="0" applyNumberFormat="1" applyFont="1" applyFill="1" applyBorder="1" applyAlignment="1">
      <alignment horizontal="right"/>
    </xf>
    <xf numFmtId="3" fontId="7" fillId="36" borderId="15" xfId="0" applyNumberFormat="1" applyFont="1" applyFill="1" applyBorder="1" applyAlignment="1">
      <alignment horizontal="right"/>
    </xf>
    <xf numFmtId="3" fontId="7" fillId="36" borderId="26" xfId="0" applyNumberFormat="1" applyFont="1" applyFill="1" applyBorder="1" applyAlignment="1">
      <alignment horizontal="right"/>
    </xf>
    <xf numFmtId="3" fontId="7" fillId="36" borderId="24" xfId="0" applyNumberFormat="1" applyFont="1" applyFill="1" applyBorder="1" applyAlignment="1">
      <alignment horizontal="right"/>
    </xf>
    <xf numFmtId="49" fontId="7" fillId="33" borderId="62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7" fillId="33" borderId="8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7" fillId="33" borderId="6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7" fillId="33" borderId="6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33" borderId="6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87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2" fillId="0" borderId="88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33" borderId="89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60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49" fontId="0" fillId="33" borderId="66" xfId="0" applyNumberFormat="1" applyFont="1" applyFill="1" applyBorder="1" applyAlignment="1">
      <alignment horizontal="center" vertical="center" wrapText="1"/>
    </xf>
    <xf numFmtId="49" fontId="0" fillId="33" borderId="55" xfId="0" applyNumberFormat="1" applyFont="1" applyFill="1" applyBorder="1" applyAlignment="1">
      <alignment horizontal="center" vertical="center" wrapText="1"/>
    </xf>
    <xf numFmtId="49" fontId="0" fillId="33" borderId="4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33" borderId="8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0" borderId="88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68" xfId="0" applyBorder="1" applyAlignment="1">
      <alignment/>
    </xf>
    <xf numFmtId="0" fontId="7" fillId="33" borderId="6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7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7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2" xfId="0" applyBorder="1" applyAlignment="1">
      <alignment vertical="center"/>
    </xf>
    <xf numFmtId="170" fontId="0" fillId="0" borderId="38" xfId="0" applyNumberFormat="1" applyBorder="1" applyAlignment="1">
      <alignment vertical="center"/>
    </xf>
    <xf numFmtId="170" fontId="0" fillId="0" borderId="44" xfId="0" applyNumberFormat="1" applyBorder="1" applyAlignment="1">
      <alignment vertical="center"/>
    </xf>
    <xf numFmtId="170" fontId="0" fillId="0" borderId="57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6" borderId="60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4"/>
  <sheetViews>
    <sheetView view="pageBreakPreview" zoomScaleSheetLayoutView="100" zoomScalePageLayoutView="0" workbookViewId="0" topLeftCell="A184">
      <selection activeCell="A193" sqref="A193:D193"/>
    </sheetView>
  </sheetViews>
  <sheetFormatPr defaultColWidth="9.00390625" defaultRowHeight="12.75"/>
  <cols>
    <col min="1" max="1" width="4.00390625" style="209" bestFit="1" customWidth="1"/>
    <col min="2" max="2" width="7.00390625" style="192" bestFit="1" customWidth="1"/>
    <col min="3" max="3" width="6.00390625" style="262" bestFit="1" customWidth="1"/>
    <col min="4" max="4" width="52.00390625" style="192" customWidth="1"/>
    <col min="5" max="5" width="9.75390625" style="192" hidden="1" customWidth="1"/>
    <col min="6" max="6" width="9.75390625" style="192" customWidth="1"/>
    <col min="7" max="7" width="7.25390625" style="438" hidden="1" customWidth="1"/>
    <col min="8" max="8" width="10.125" style="192" customWidth="1"/>
    <col min="9" max="9" width="11.00390625" style="192" customWidth="1"/>
    <col min="10" max="16384" width="9.125" style="192" customWidth="1"/>
  </cols>
  <sheetData>
    <row r="1" spans="1:7" ht="12.75">
      <c r="A1" s="79"/>
      <c r="B1" s="190"/>
      <c r="C1" s="191"/>
      <c r="D1" s="190"/>
      <c r="E1" s="79"/>
      <c r="F1" s="79" t="s">
        <v>52</v>
      </c>
      <c r="G1" s="220"/>
    </row>
    <row r="2" spans="1:7" ht="12.75">
      <c r="A2" s="79"/>
      <c r="B2" s="190"/>
      <c r="C2" s="191"/>
      <c r="D2" s="190"/>
      <c r="E2" s="79"/>
      <c r="F2" s="79" t="s">
        <v>207</v>
      </c>
      <c r="G2" s="220"/>
    </row>
    <row r="3" spans="1:7" ht="12.75">
      <c r="A3" s="79"/>
      <c r="B3" s="190"/>
      <c r="C3" s="191"/>
      <c r="D3" s="190"/>
      <c r="E3" s="79"/>
      <c r="F3" s="79" t="s">
        <v>181</v>
      </c>
      <c r="G3" s="220"/>
    </row>
    <row r="4" spans="1:7" ht="12.75">
      <c r="A4" s="79"/>
      <c r="B4" s="190"/>
      <c r="C4" s="191"/>
      <c r="D4" s="190"/>
      <c r="E4" s="79"/>
      <c r="F4" s="79" t="s">
        <v>649</v>
      </c>
      <c r="G4" s="220"/>
    </row>
    <row r="5" spans="1:4" ht="18" customHeight="1">
      <c r="A5" s="79"/>
      <c r="B5" s="190"/>
      <c r="C5" s="191"/>
      <c r="D5" s="190"/>
    </row>
    <row r="6" spans="1:7" ht="17.25" customHeight="1">
      <c r="A6" s="771" t="s">
        <v>461</v>
      </c>
      <c r="B6" s="771"/>
      <c r="C6" s="771"/>
      <c r="D6" s="771"/>
      <c r="E6" s="771"/>
      <c r="F6" s="771"/>
      <c r="G6" s="771"/>
    </row>
    <row r="7" spans="1:7" ht="13.5" thickBot="1">
      <c r="A7" s="772" t="s">
        <v>208</v>
      </c>
      <c r="B7" s="772"/>
      <c r="C7" s="772"/>
      <c r="D7" s="772"/>
      <c r="E7" s="772"/>
      <c r="F7" s="772"/>
      <c r="G7" s="772"/>
    </row>
    <row r="8" spans="1:9" ht="14.25" customHeight="1">
      <c r="A8" s="782" t="s">
        <v>55</v>
      </c>
      <c r="B8" s="785" t="s">
        <v>400</v>
      </c>
      <c r="C8" s="785" t="s">
        <v>365</v>
      </c>
      <c r="D8" s="785" t="s">
        <v>56</v>
      </c>
      <c r="E8" s="788" t="s">
        <v>459</v>
      </c>
      <c r="F8" s="776" t="s">
        <v>460</v>
      </c>
      <c r="G8" s="779" t="s">
        <v>458</v>
      </c>
      <c r="H8" s="919" t="s">
        <v>439</v>
      </c>
      <c r="I8" s="791" t="s">
        <v>448</v>
      </c>
    </row>
    <row r="9" spans="1:9" s="193" customFormat="1" ht="12.75" customHeight="1">
      <c r="A9" s="783"/>
      <c r="B9" s="786"/>
      <c r="C9" s="786"/>
      <c r="D9" s="786"/>
      <c r="E9" s="789"/>
      <c r="F9" s="777"/>
      <c r="G9" s="780"/>
      <c r="H9" s="920"/>
      <c r="I9" s="792"/>
    </row>
    <row r="10" spans="1:9" s="193" customFormat="1" ht="12.75" customHeight="1" thickBot="1">
      <c r="A10" s="784"/>
      <c r="B10" s="787"/>
      <c r="C10" s="787"/>
      <c r="D10" s="787"/>
      <c r="E10" s="790"/>
      <c r="F10" s="778"/>
      <c r="G10" s="781"/>
      <c r="H10" s="921"/>
      <c r="I10" s="793"/>
    </row>
    <row r="11" spans="1:9" ht="9" customHeight="1" thickBot="1">
      <c r="A11" s="194">
        <v>1</v>
      </c>
      <c r="B11" s="195">
        <v>2</v>
      </c>
      <c r="C11" s="195">
        <v>3</v>
      </c>
      <c r="D11" s="195">
        <v>4</v>
      </c>
      <c r="E11" s="196">
        <v>5</v>
      </c>
      <c r="F11" s="196">
        <v>6</v>
      </c>
      <c r="G11" s="450">
        <v>7</v>
      </c>
      <c r="H11" s="196">
        <v>6</v>
      </c>
      <c r="I11" s="686">
        <v>6</v>
      </c>
    </row>
    <row r="12" spans="1:9" s="202" customFormat="1" ht="24" customHeight="1" thickBot="1">
      <c r="A12" s="197" t="s">
        <v>39</v>
      </c>
      <c r="B12" s="198"/>
      <c r="C12" s="198"/>
      <c r="D12" s="199" t="s">
        <v>40</v>
      </c>
      <c r="E12" s="200">
        <f>E13+E17</f>
        <v>74387</v>
      </c>
      <c r="F12" s="201">
        <f>F13+F17</f>
        <v>62387</v>
      </c>
      <c r="G12" s="201">
        <f>G13+G17</f>
        <v>100</v>
      </c>
      <c r="H12" s="201">
        <f>H13+H17</f>
        <v>0</v>
      </c>
      <c r="I12" s="687">
        <f>I13+I17</f>
        <v>62387</v>
      </c>
    </row>
    <row r="13" spans="1:9" ht="13.5" thickBot="1">
      <c r="A13" s="203"/>
      <c r="B13" s="204" t="s">
        <v>42</v>
      </c>
      <c r="C13" s="205"/>
      <c r="D13" s="206" t="s">
        <v>41</v>
      </c>
      <c r="E13" s="207">
        <f>E14</f>
        <v>25000</v>
      </c>
      <c r="F13" s="208">
        <f>F14</f>
        <v>13000</v>
      </c>
      <c r="G13" s="208"/>
      <c r="H13" s="208">
        <f>H14</f>
        <v>0</v>
      </c>
      <c r="I13" s="688">
        <f>I14</f>
        <v>13000</v>
      </c>
    </row>
    <row r="14" spans="1:9" ht="13.5" customHeight="1">
      <c r="A14" s="203"/>
      <c r="B14" s="210"/>
      <c r="C14" s="211" t="s">
        <v>209</v>
      </c>
      <c r="D14" s="109" t="s">
        <v>210</v>
      </c>
      <c r="E14" s="212">
        <v>25000</v>
      </c>
      <c r="F14" s="213">
        <v>13000</v>
      </c>
      <c r="G14" s="220">
        <f>F14/E14*100</f>
        <v>52</v>
      </c>
      <c r="H14" s="213"/>
      <c r="I14" s="580">
        <f>F14+H14</f>
        <v>13000</v>
      </c>
    </row>
    <row r="15" spans="1:9" ht="13.5" customHeight="1">
      <c r="A15" s="203"/>
      <c r="B15" s="210"/>
      <c r="C15" s="211"/>
      <c r="D15" s="214" t="s">
        <v>211</v>
      </c>
      <c r="E15" s="212"/>
      <c r="F15" s="213"/>
      <c r="G15" s="220"/>
      <c r="H15" s="213"/>
      <c r="I15" s="580"/>
    </row>
    <row r="16" spans="1:9" ht="12" customHeight="1">
      <c r="A16" s="203"/>
      <c r="B16" s="210"/>
      <c r="C16" s="211"/>
      <c r="D16" s="215"/>
      <c r="E16" s="212"/>
      <c r="F16" s="213"/>
      <c r="G16" s="220"/>
      <c r="H16" s="213"/>
      <c r="I16" s="580"/>
    </row>
    <row r="17" spans="1:9" ht="13.5" customHeight="1" thickBot="1">
      <c r="A17" s="203"/>
      <c r="B17" s="216" t="s">
        <v>43</v>
      </c>
      <c r="C17" s="217"/>
      <c r="D17" s="218" t="s">
        <v>44</v>
      </c>
      <c r="E17" s="219">
        <f>E18</f>
        <v>49387</v>
      </c>
      <c r="F17" s="213">
        <f>F18</f>
        <v>49387</v>
      </c>
      <c r="G17" s="237">
        <f>G18</f>
        <v>100</v>
      </c>
      <c r="H17" s="213">
        <f>H18</f>
        <v>0</v>
      </c>
      <c r="I17" s="580">
        <f>I18</f>
        <v>49387</v>
      </c>
    </row>
    <row r="18" spans="1:9" ht="13.5" customHeight="1">
      <c r="A18" s="203"/>
      <c r="B18" s="210"/>
      <c r="C18" s="211" t="s">
        <v>212</v>
      </c>
      <c r="D18" s="109" t="s">
        <v>213</v>
      </c>
      <c r="E18" s="220">
        <v>49387</v>
      </c>
      <c r="F18" s="221">
        <v>49387</v>
      </c>
      <c r="G18" s="220">
        <f>F18/E18*100</f>
        <v>100</v>
      </c>
      <c r="H18" s="221"/>
      <c r="I18" s="689">
        <f>F18+H18</f>
        <v>49387</v>
      </c>
    </row>
    <row r="19" spans="1:9" ht="13.5" customHeight="1">
      <c r="A19" s="203"/>
      <c r="B19" s="210"/>
      <c r="C19" s="211"/>
      <c r="D19" s="109" t="s">
        <v>214</v>
      </c>
      <c r="E19" s="220"/>
      <c r="F19" s="213"/>
      <c r="G19" s="220"/>
      <c r="H19" s="213"/>
      <c r="I19" s="580"/>
    </row>
    <row r="20" spans="1:9" ht="12" customHeight="1">
      <c r="A20" s="203"/>
      <c r="B20" s="222"/>
      <c r="C20" s="222"/>
      <c r="D20" s="210"/>
      <c r="E20" s="212"/>
      <c r="F20" s="213"/>
      <c r="G20" s="220"/>
      <c r="H20" s="213"/>
      <c r="I20" s="580"/>
    </row>
    <row r="21" spans="1:9" s="202" customFormat="1" ht="13.5" thickBot="1">
      <c r="A21" s="197" t="s">
        <v>45</v>
      </c>
      <c r="B21" s="198"/>
      <c r="C21" s="198"/>
      <c r="D21" s="108" t="s">
        <v>46</v>
      </c>
      <c r="E21" s="200">
        <f>E22</f>
        <v>188635</v>
      </c>
      <c r="F21" s="223">
        <f>F22</f>
        <v>188635</v>
      </c>
      <c r="G21" s="223">
        <f>G22</f>
        <v>100</v>
      </c>
      <c r="H21" s="223">
        <f>H22</f>
        <v>0</v>
      </c>
      <c r="I21" s="690">
        <f>I22</f>
        <v>188635</v>
      </c>
    </row>
    <row r="22" spans="1:9" ht="13.5" thickBot="1">
      <c r="A22" s="224"/>
      <c r="B22" s="204" t="s">
        <v>47</v>
      </c>
      <c r="C22" s="225"/>
      <c r="D22" s="226" t="s">
        <v>215</v>
      </c>
      <c r="E22" s="207">
        <f>SUM(E23)</f>
        <v>188635</v>
      </c>
      <c r="F22" s="213">
        <f>SUM(F23)</f>
        <v>188635</v>
      </c>
      <c r="G22" s="208">
        <f>SUM(G23)</f>
        <v>100</v>
      </c>
      <c r="H22" s="213">
        <f>SUM(H23)</f>
        <v>0</v>
      </c>
      <c r="I22" s="580">
        <f>SUM(I23)</f>
        <v>188635</v>
      </c>
    </row>
    <row r="23" spans="1:9" ht="12.75" customHeight="1">
      <c r="A23" s="224"/>
      <c r="B23" s="227"/>
      <c r="C23" s="210">
        <v>2460</v>
      </c>
      <c r="D23" s="228" t="s">
        <v>216</v>
      </c>
      <c r="E23" s="212">
        <v>188635</v>
      </c>
      <c r="F23" s="221">
        <v>188635</v>
      </c>
      <c r="G23" s="220">
        <f>F23/E23*100</f>
        <v>100</v>
      </c>
      <c r="H23" s="221"/>
      <c r="I23" s="689">
        <f>F23+H23</f>
        <v>188635</v>
      </c>
    </row>
    <row r="24" spans="1:9" ht="12.75" customHeight="1">
      <c r="A24" s="224"/>
      <c r="B24" s="229"/>
      <c r="C24" s="210"/>
      <c r="D24" s="215"/>
      <c r="E24" s="212"/>
      <c r="F24" s="213"/>
      <c r="G24" s="220"/>
      <c r="H24" s="213"/>
      <c r="I24" s="580"/>
    </row>
    <row r="25" spans="1:9" s="202" customFormat="1" ht="13.5" thickBot="1">
      <c r="A25" s="230">
        <v>600</v>
      </c>
      <c r="B25" s="198"/>
      <c r="C25" s="231"/>
      <c r="D25" s="108" t="s">
        <v>50</v>
      </c>
      <c r="E25" s="200">
        <f>E26</f>
        <v>185841</v>
      </c>
      <c r="F25" s="223">
        <f>SUM(F26)</f>
        <v>197778</v>
      </c>
      <c r="G25" s="223">
        <f>SUM(G26)</f>
        <v>1149.6321647390246</v>
      </c>
      <c r="H25" s="223">
        <f>SUM(H26)</f>
        <v>0</v>
      </c>
      <c r="I25" s="690">
        <f>SUM(I26)</f>
        <v>197778</v>
      </c>
    </row>
    <row r="26" spans="1:9" ht="13.5" thickBot="1">
      <c r="A26" s="232"/>
      <c r="B26" s="233">
        <v>60014</v>
      </c>
      <c r="C26" s="234"/>
      <c r="D26" s="226" t="s">
        <v>51</v>
      </c>
      <c r="E26" s="207">
        <f>SUM(E27:E30)</f>
        <v>185841</v>
      </c>
      <c r="F26" s="208">
        <f>SUM(F27:F30)</f>
        <v>197778</v>
      </c>
      <c r="G26" s="208">
        <f>SUM(G27:G30)</f>
        <v>1149.6321647390246</v>
      </c>
      <c r="H26" s="208">
        <f>SUM(H27:H30)</f>
        <v>0</v>
      </c>
      <c r="I26" s="688">
        <f>SUM(I27:I30)</f>
        <v>197778</v>
      </c>
    </row>
    <row r="27" spans="1:9" ht="12.75">
      <c r="A27" s="232"/>
      <c r="B27" s="210"/>
      <c r="C27" s="211" t="s">
        <v>217</v>
      </c>
      <c r="D27" s="109" t="s">
        <v>218</v>
      </c>
      <c r="E27" s="212">
        <v>150961</v>
      </c>
      <c r="F27" s="213">
        <v>160000</v>
      </c>
      <c r="G27" s="220">
        <f>F27/E27*100</f>
        <v>105.98763919157928</v>
      </c>
      <c r="H27" s="213"/>
      <c r="I27" s="580">
        <f>F27+H27</f>
        <v>160000</v>
      </c>
    </row>
    <row r="28" spans="1:9" ht="12.75" customHeight="1">
      <c r="A28" s="232"/>
      <c r="B28" s="222"/>
      <c r="C28" s="211" t="s">
        <v>212</v>
      </c>
      <c r="D28" s="109" t="s">
        <v>213</v>
      </c>
      <c r="E28" s="212">
        <v>32880</v>
      </c>
      <c r="F28" s="213">
        <v>18000</v>
      </c>
      <c r="G28" s="220">
        <f>F28/E28*100</f>
        <v>54.74452554744526</v>
      </c>
      <c r="H28" s="213"/>
      <c r="I28" s="580">
        <f>F28+H28</f>
        <v>18000</v>
      </c>
    </row>
    <row r="29" spans="1:9" ht="12.75" customHeight="1">
      <c r="A29" s="232"/>
      <c r="B29" s="222"/>
      <c r="C29" s="211"/>
      <c r="D29" s="109" t="s">
        <v>214</v>
      </c>
      <c r="E29" s="212"/>
      <c r="F29" s="213"/>
      <c r="G29" s="220"/>
      <c r="H29" s="213"/>
      <c r="I29" s="580"/>
    </row>
    <row r="30" spans="1:9" ht="12.75" customHeight="1">
      <c r="A30" s="232"/>
      <c r="B30" s="222"/>
      <c r="C30" s="211" t="s">
        <v>219</v>
      </c>
      <c r="D30" s="79" t="s">
        <v>220</v>
      </c>
      <c r="E30" s="212">
        <v>2000</v>
      </c>
      <c r="F30" s="213">
        <v>19778</v>
      </c>
      <c r="G30" s="220">
        <f>F30/E30*100</f>
        <v>988.9</v>
      </c>
      <c r="H30" s="213"/>
      <c r="I30" s="580">
        <f>F30+H30</f>
        <v>19778</v>
      </c>
    </row>
    <row r="31" spans="1:9" ht="12.75">
      <c r="A31" s="232"/>
      <c r="B31" s="222"/>
      <c r="C31" s="211"/>
      <c r="D31" s="109"/>
      <c r="E31" s="212"/>
      <c r="F31" s="213"/>
      <c r="G31" s="220"/>
      <c r="H31" s="213"/>
      <c r="I31" s="580"/>
    </row>
    <row r="32" spans="1:9" s="202" customFormat="1" ht="13.5" thickBot="1">
      <c r="A32" s="230">
        <v>700</v>
      </c>
      <c r="B32" s="198"/>
      <c r="C32" s="198"/>
      <c r="D32" s="108" t="s">
        <v>93</v>
      </c>
      <c r="E32" s="200">
        <f>E33</f>
        <v>1775263</v>
      </c>
      <c r="F32" s="223">
        <f>F33</f>
        <v>1811778</v>
      </c>
      <c r="G32" s="223">
        <f>G33</f>
        <v>526.2795904175066</v>
      </c>
      <c r="H32" s="223">
        <f>H33</f>
        <v>-281000</v>
      </c>
      <c r="I32" s="690">
        <f>I33</f>
        <v>1530778</v>
      </c>
    </row>
    <row r="33" spans="1:9" ht="13.5" thickBot="1">
      <c r="A33" s="232"/>
      <c r="B33" s="233">
        <v>70005</v>
      </c>
      <c r="C33" s="205"/>
      <c r="D33" s="226" t="s">
        <v>94</v>
      </c>
      <c r="E33" s="207">
        <f>SUM(E34:E45)</f>
        <v>1775263</v>
      </c>
      <c r="F33" s="208">
        <f>SUM(F34:F45)</f>
        <v>1811778</v>
      </c>
      <c r="G33" s="208">
        <f>SUM(G34:G45)</f>
        <v>526.2795904175066</v>
      </c>
      <c r="H33" s="208">
        <f>SUM(H34:H45)</f>
        <v>-281000</v>
      </c>
      <c r="I33" s="688">
        <f>SUM(I34:I45)</f>
        <v>1530778</v>
      </c>
    </row>
    <row r="34" spans="1:9" ht="12.75">
      <c r="A34" s="232"/>
      <c r="B34" s="210"/>
      <c r="C34" s="211" t="s">
        <v>224</v>
      </c>
      <c r="D34" s="109" t="s">
        <v>225</v>
      </c>
      <c r="E34" s="212">
        <v>203000</v>
      </c>
      <c r="F34" s="213">
        <v>163000</v>
      </c>
      <c r="G34" s="220">
        <f>F34/E34*100</f>
        <v>80.29556650246306</v>
      </c>
      <c r="H34" s="213">
        <v>-160000</v>
      </c>
      <c r="I34" s="580">
        <f>F34+H34</f>
        <v>3000</v>
      </c>
    </row>
    <row r="35" spans="1:9" ht="12.75">
      <c r="A35" s="232"/>
      <c r="B35" s="210"/>
      <c r="C35" s="211"/>
      <c r="D35" s="109" t="s">
        <v>226</v>
      </c>
      <c r="E35" s="238"/>
      <c r="F35" s="213"/>
      <c r="G35" s="220"/>
      <c r="H35" s="213"/>
      <c r="I35" s="580"/>
    </row>
    <row r="36" spans="1:9" ht="12.75">
      <c r="A36" s="232"/>
      <c r="B36" s="210"/>
      <c r="C36" s="211" t="s">
        <v>217</v>
      </c>
      <c r="D36" s="109" t="s">
        <v>218</v>
      </c>
      <c r="E36" s="212">
        <v>1500</v>
      </c>
      <c r="F36" s="213">
        <v>1000</v>
      </c>
      <c r="G36" s="220">
        <f aca="true" t="shared" si="0" ref="G36:G44">F36/E36*100</f>
        <v>66.66666666666666</v>
      </c>
      <c r="H36" s="213"/>
      <c r="I36" s="580">
        <f aca="true" t="shared" si="1" ref="I36:I42">F36+H36</f>
        <v>1000</v>
      </c>
    </row>
    <row r="37" spans="1:9" ht="12.75">
      <c r="A37" s="232"/>
      <c r="B37" s="210"/>
      <c r="C37" s="211" t="s">
        <v>212</v>
      </c>
      <c r="D37" s="109" t="s">
        <v>213</v>
      </c>
      <c r="E37" s="212">
        <f>101000+2056+23000+33788+3000+26000</f>
        <v>188844</v>
      </c>
      <c r="F37" s="213">
        <f>77500+2056+13380+27042+3000+28000</f>
        <v>150978</v>
      </c>
      <c r="G37" s="220">
        <f t="shared" si="0"/>
        <v>79.94852894452565</v>
      </c>
      <c r="H37" s="213">
        <v>-44500</v>
      </c>
      <c r="I37" s="580">
        <f t="shared" si="1"/>
        <v>106478</v>
      </c>
    </row>
    <row r="38" spans="1:9" ht="12.75">
      <c r="A38" s="232"/>
      <c r="B38" s="210"/>
      <c r="C38" s="210"/>
      <c r="D38" s="109" t="s">
        <v>214</v>
      </c>
      <c r="E38" s="212"/>
      <c r="F38" s="213"/>
      <c r="G38" s="220"/>
      <c r="H38" s="213"/>
      <c r="I38" s="580"/>
    </row>
    <row r="39" spans="1:9" ht="12.75">
      <c r="A39" s="232"/>
      <c r="B39" s="210"/>
      <c r="C39" s="211" t="s">
        <v>498</v>
      </c>
      <c r="D39" s="109" t="s">
        <v>497</v>
      </c>
      <c r="E39" s="212">
        <v>0</v>
      </c>
      <c r="F39" s="213">
        <v>1500</v>
      </c>
      <c r="G39" s="220"/>
      <c r="H39" s="213">
        <v>-1500</v>
      </c>
      <c r="I39" s="580">
        <f t="shared" si="1"/>
        <v>0</v>
      </c>
    </row>
    <row r="40" spans="1:9" ht="12.75">
      <c r="A40" s="232"/>
      <c r="B40" s="210"/>
      <c r="C40" s="211" t="s">
        <v>227</v>
      </c>
      <c r="D40" s="109" t="s">
        <v>228</v>
      </c>
      <c r="E40" s="212">
        <v>1210219</v>
      </c>
      <c r="F40" s="213">
        <v>1342300</v>
      </c>
      <c r="G40" s="220">
        <f t="shared" si="0"/>
        <v>110.91380981458727</v>
      </c>
      <c r="H40" s="213">
        <v>-75000</v>
      </c>
      <c r="I40" s="580">
        <f t="shared" si="1"/>
        <v>1267300</v>
      </c>
    </row>
    <row r="41" spans="1:9" ht="12.75">
      <c r="A41" s="232"/>
      <c r="B41" s="210"/>
      <c r="C41" s="211" t="s">
        <v>229</v>
      </c>
      <c r="D41" s="109" t="s">
        <v>230</v>
      </c>
      <c r="E41" s="212">
        <v>1000</v>
      </c>
      <c r="F41" s="213">
        <v>0</v>
      </c>
      <c r="G41" s="220">
        <f t="shared" si="0"/>
        <v>0</v>
      </c>
      <c r="H41" s="213"/>
      <c r="I41" s="580">
        <f t="shared" si="1"/>
        <v>0</v>
      </c>
    </row>
    <row r="42" spans="1:9" ht="12.75">
      <c r="A42" s="232"/>
      <c r="B42" s="210"/>
      <c r="C42" s="211" t="s">
        <v>209</v>
      </c>
      <c r="D42" s="109" t="s">
        <v>210</v>
      </c>
      <c r="E42" s="212">
        <v>55050</v>
      </c>
      <c r="F42" s="213">
        <v>59000</v>
      </c>
      <c r="G42" s="220">
        <f t="shared" si="0"/>
        <v>107.17529518619438</v>
      </c>
      <c r="H42" s="213"/>
      <c r="I42" s="580">
        <f t="shared" si="1"/>
        <v>59000</v>
      </c>
    </row>
    <row r="43" spans="1:9" ht="12.75">
      <c r="A43" s="232"/>
      <c r="B43" s="210"/>
      <c r="C43" s="211"/>
      <c r="D43" s="214" t="s">
        <v>231</v>
      </c>
      <c r="E43" s="212"/>
      <c r="F43" s="213"/>
      <c r="G43" s="220"/>
      <c r="H43" s="213"/>
      <c r="I43" s="580"/>
    </row>
    <row r="44" spans="1:9" ht="12.75">
      <c r="A44" s="232"/>
      <c r="B44" s="210"/>
      <c r="C44" s="211" t="s">
        <v>232</v>
      </c>
      <c r="D44" s="109" t="s">
        <v>233</v>
      </c>
      <c r="E44" s="212">
        <v>115650</v>
      </c>
      <c r="F44" s="213">
        <v>94000</v>
      </c>
      <c r="G44" s="220">
        <f t="shared" si="0"/>
        <v>81.2797233030696</v>
      </c>
      <c r="H44" s="213"/>
      <c r="I44" s="580">
        <f>F44+H44</f>
        <v>94000</v>
      </c>
    </row>
    <row r="45" spans="1:9" ht="12.75">
      <c r="A45" s="232"/>
      <c r="B45" s="210"/>
      <c r="C45" s="211"/>
      <c r="D45" s="109" t="s">
        <v>234</v>
      </c>
      <c r="E45" s="238"/>
      <c r="F45" s="213"/>
      <c r="G45" s="220"/>
      <c r="H45" s="213"/>
      <c r="I45" s="580"/>
    </row>
    <row r="46" spans="1:9" ht="12.75">
      <c r="A46" s="232"/>
      <c r="B46" s="210"/>
      <c r="C46" s="211"/>
      <c r="D46" s="109"/>
      <c r="E46" s="212"/>
      <c r="F46" s="213"/>
      <c r="G46" s="220"/>
      <c r="H46" s="213"/>
      <c r="I46" s="580"/>
    </row>
    <row r="47" spans="1:9" s="202" customFormat="1" ht="13.5" thickBot="1">
      <c r="A47" s="230">
        <v>710</v>
      </c>
      <c r="B47" s="198"/>
      <c r="C47" s="231"/>
      <c r="D47" s="108" t="s">
        <v>98</v>
      </c>
      <c r="E47" s="200">
        <f>E48+E52+E56</f>
        <v>288145</v>
      </c>
      <c r="F47" s="201">
        <f>F48+F52+F56</f>
        <v>341042</v>
      </c>
      <c r="G47" s="201">
        <f>G48+G52+G56</f>
        <v>316.45070664178945</v>
      </c>
      <c r="H47" s="201">
        <f>H48+H52+H56</f>
        <v>0</v>
      </c>
      <c r="I47" s="687">
        <f>I48+I52+I56</f>
        <v>341042</v>
      </c>
    </row>
    <row r="48" spans="1:9" ht="13.5" thickBot="1">
      <c r="A48" s="232"/>
      <c r="B48" s="233">
        <v>71013</v>
      </c>
      <c r="C48" s="234"/>
      <c r="D48" s="226" t="s">
        <v>235</v>
      </c>
      <c r="E48" s="207">
        <f>E49</f>
        <v>40000</v>
      </c>
      <c r="F48" s="208">
        <f>F49</f>
        <v>40000</v>
      </c>
      <c r="G48" s="208">
        <f>G49</f>
        <v>100</v>
      </c>
      <c r="H48" s="208">
        <f>H49</f>
        <v>0</v>
      </c>
      <c r="I48" s="688">
        <f>I49</f>
        <v>40000</v>
      </c>
    </row>
    <row r="49" spans="1:9" ht="12.75">
      <c r="A49" s="232"/>
      <c r="B49" s="210"/>
      <c r="C49" s="211" t="s">
        <v>209</v>
      </c>
      <c r="D49" s="109" t="s">
        <v>210</v>
      </c>
      <c r="E49" s="212">
        <v>40000</v>
      </c>
      <c r="F49" s="213">
        <v>40000</v>
      </c>
      <c r="G49" s="220">
        <f>F49/E49*100</f>
        <v>100</v>
      </c>
      <c r="H49" s="213"/>
      <c r="I49" s="580">
        <f>F49+H49</f>
        <v>40000</v>
      </c>
    </row>
    <row r="50" spans="1:9" ht="12.75">
      <c r="A50" s="232"/>
      <c r="B50" s="210"/>
      <c r="C50" s="211"/>
      <c r="D50" s="109" t="s">
        <v>236</v>
      </c>
      <c r="E50" s="212"/>
      <c r="F50" s="213"/>
      <c r="G50" s="220"/>
      <c r="H50" s="213"/>
      <c r="I50" s="580"/>
    </row>
    <row r="51" spans="1:9" ht="12.75">
      <c r="A51" s="232"/>
      <c r="B51" s="210"/>
      <c r="C51" s="211"/>
      <c r="D51" s="109"/>
      <c r="E51" s="212"/>
      <c r="F51" s="213"/>
      <c r="G51" s="220"/>
      <c r="H51" s="213"/>
      <c r="I51" s="580"/>
    </row>
    <row r="52" spans="1:9" ht="15" customHeight="1" thickBot="1">
      <c r="A52" s="232"/>
      <c r="B52" s="235">
        <v>71014</v>
      </c>
      <c r="C52" s="217"/>
      <c r="D52" s="218" t="s">
        <v>100</v>
      </c>
      <c r="E52" s="236">
        <f>E53</f>
        <v>15000</v>
      </c>
      <c r="F52" s="213">
        <f>F53</f>
        <v>14000</v>
      </c>
      <c r="G52" s="237">
        <f>G53</f>
        <v>93.33333333333333</v>
      </c>
      <c r="H52" s="213">
        <f>H53</f>
        <v>0</v>
      </c>
      <c r="I52" s="580">
        <f>I53</f>
        <v>14000</v>
      </c>
    </row>
    <row r="53" spans="1:9" ht="15" customHeight="1">
      <c r="A53" s="232"/>
      <c r="B53" s="210"/>
      <c r="C53" s="211" t="s">
        <v>209</v>
      </c>
      <c r="D53" s="109" t="s">
        <v>210</v>
      </c>
      <c r="E53" s="212">
        <v>15000</v>
      </c>
      <c r="F53" s="221">
        <v>14000</v>
      </c>
      <c r="G53" s="220">
        <f>F53/E53*100</f>
        <v>93.33333333333333</v>
      </c>
      <c r="H53" s="221"/>
      <c r="I53" s="689">
        <f>F53+H53</f>
        <v>14000</v>
      </c>
    </row>
    <row r="54" spans="1:9" ht="15" customHeight="1">
      <c r="A54" s="232"/>
      <c r="B54" s="210"/>
      <c r="C54" s="211"/>
      <c r="D54" s="109" t="s">
        <v>236</v>
      </c>
      <c r="E54" s="212"/>
      <c r="F54" s="213"/>
      <c r="G54" s="220"/>
      <c r="H54" s="213"/>
      <c r="I54" s="580"/>
    </row>
    <row r="55" spans="1:9" ht="15" customHeight="1">
      <c r="A55" s="232"/>
      <c r="B55" s="210"/>
      <c r="C55" s="211"/>
      <c r="D55" s="109"/>
      <c r="E55" s="212"/>
      <c r="F55" s="213"/>
      <c r="G55" s="220"/>
      <c r="H55" s="213"/>
      <c r="I55" s="580"/>
    </row>
    <row r="56" spans="1:9" ht="15" customHeight="1" thickBot="1">
      <c r="A56" s="232"/>
      <c r="B56" s="235">
        <v>71015</v>
      </c>
      <c r="C56" s="239"/>
      <c r="D56" s="218" t="s">
        <v>101</v>
      </c>
      <c r="E56" s="236">
        <f>SUM(E57:E58)</f>
        <v>233145</v>
      </c>
      <c r="F56" s="237">
        <f>SUM(F57:F58)</f>
        <v>287042</v>
      </c>
      <c r="G56" s="237">
        <f>SUM(G57:G58)</f>
        <v>123.11737330845611</v>
      </c>
      <c r="H56" s="237">
        <f>SUM(H57:H58)</f>
        <v>0</v>
      </c>
      <c r="I56" s="691">
        <f>SUM(I57:I58)</f>
        <v>287042</v>
      </c>
    </row>
    <row r="57" spans="1:9" ht="15" customHeight="1">
      <c r="A57" s="232"/>
      <c r="B57" s="210"/>
      <c r="C57" s="210">
        <v>2110</v>
      </c>
      <c r="D57" s="228" t="s">
        <v>210</v>
      </c>
      <c r="E57" s="212">
        <v>233145</v>
      </c>
      <c r="F57" s="213">
        <v>287042</v>
      </c>
      <c r="G57" s="220">
        <f>F57/E57*100</f>
        <v>123.11737330845611</v>
      </c>
      <c r="H57" s="213"/>
      <c r="I57" s="580">
        <f>F57+H57</f>
        <v>287042</v>
      </c>
    </row>
    <row r="58" spans="1:9" ht="15" customHeight="1">
      <c r="A58" s="232"/>
      <c r="B58" s="210"/>
      <c r="C58" s="210"/>
      <c r="D58" s="214" t="s">
        <v>237</v>
      </c>
      <c r="E58" s="212"/>
      <c r="F58" s="213"/>
      <c r="G58" s="220"/>
      <c r="H58" s="213"/>
      <c r="I58" s="580"/>
    </row>
    <row r="59" spans="1:9" ht="15" customHeight="1">
      <c r="A59" s="232"/>
      <c r="B59" s="210"/>
      <c r="C59" s="211"/>
      <c r="D59" s="109"/>
      <c r="E59" s="212"/>
      <c r="F59" s="213"/>
      <c r="G59" s="220"/>
      <c r="H59" s="213"/>
      <c r="I59" s="580"/>
    </row>
    <row r="60" spans="1:9" s="202" customFormat="1" ht="15" customHeight="1" thickBot="1">
      <c r="A60" s="230">
        <v>750</v>
      </c>
      <c r="B60" s="198"/>
      <c r="C60" s="198"/>
      <c r="D60" s="108" t="s">
        <v>104</v>
      </c>
      <c r="E60" s="200">
        <f>E61+E65+E76+E80</f>
        <v>1376576</v>
      </c>
      <c r="F60" s="223">
        <f>F61+F65+F76+F80</f>
        <v>1176710</v>
      </c>
      <c r="G60" s="223">
        <f>G61+G65+G76+G80</f>
        <v>1082.0202902693568</v>
      </c>
      <c r="H60" s="223">
        <f>H61+H65+H76+H80</f>
        <v>0</v>
      </c>
      <c r="I60" s="690">
        <f>I61+I65+I76+I80</f>
        <v>1176710</v>
      </c>
    </row>
    <row r="61" spans="1:9" ht="15" customHeight="1" thickBot="1">
      <c r="A61" s="232"/>
      <c r="B61" s="233">
        <v>75011</v>
      </c>
      <c r="C61" s="205"/>
      <c r="D61" s="226" t="s">
        <v>105</v>
      </c>
      <c r="E61" s="207">
        <f>E62</f>
        <v>154421</v>
      </c>
      <c r="F61" s="208">
        <f>F62</f>
        <v>154533</v>
      </c>
      <c r="G61" s="208">
        <f>G62</f>
        <v>100.07252899540866</v>
      </c>
      <c r="H61" s="208">
        <f>H62</f>
        <v>0</v>
      </c>
      <c r="I61" s="688">
        <f>I62</f>
        <v>154533</v>
      </c>
    </row>
    <row r="62" spans="1:9" ht="15" customHeight="1">
      <c r="A62" s="232"/>
      <c r="B62" s="210"/>
      <c r="C62" s="210">
        <v>2110</v>
      </c>
      <c r="D62" s="109" t="s">
        <v>210</v>
      </c>
      <c r="E62" s="212">
        <v>154421</v>
      </c>
      <c r="F62" s="213">
        <v>154533</v>
      </c>
      <c r="G62" s="220">
        <f>F62/E62*100</f>
        <v>100.07252899540866</v>
      </c>
      <c r="H62" s="213"/>
      <c r="I62" s="580">
        <f>F62+H62</f>
        <v>154533</v>
      </c>
    </row>
    <row r="63" spans="1:9" ht="15" customHeight="1">
      <c r="A63" s="232"/>
      <c r="B63" s="210"/>
      <c r="C63" s="210"/>
      <c r="D63" s="109" t="s">
        <v>236</v>
      </c>
      <c r="E63" s="212"/>
      <c r="F63" s="213"/>
      <c r="G63" s="220"/>
      <c r="H63" s="213"/>
      <c r="I63" s="580"/>
    </row>
    <row r="64" spans="1:9" ht="15" customHeight="1">
      <c r="A64" s="232"/>
      <c r="B64" s="210"/>
      <c r="C64" s="210"/>
      <c r="D64" s="109"/>
      <c r="E64" s="212"/>
      <c r="F64" s="213"/>
      <c r="G64" s="220"/>
      <c r="H64" s="213"/>
      <c r="I64" s="580"/>
    </row>
    <row r="65" spans="1:9" ht="15" customHeight="1" thickBot="1">
      <c r="A65" s="232"/>
      <c r="B65" s="235">
        <v>75020</v>
      </c>
      <c r="C65" s="239"/>
      <c r="D65" s="218" t="s">
        <v>111</v>
      </c>
      <c r="E65" s="236">
        <f>SUM(E66:E74)</f>
        <v>1185177</v>
      </c>
      <c r="F65" s="213">
        <f>SUM(F66:F74)</f>
        <v>985177</v>
      </c>
      <c r="G65" s="237">
        <f>SUM(G66:G74)</f>
        <v>781.8181818181818</v>
      </c>
      <c r="H65" s="213">
        <f>SUM(H66:H74)</f>
        <v>0</v>
      </c>
      <c r="I65" s="580">
        <f>SUM(I66:I74)</f>
        <v>985177</v>
      </c>
    </row>
    <row r="66" spans="1:9" ht="15" customHeight="1">
      <c r="A66" s="232"/>
      <c r="B66" s="210"/>
      <c r="C66" s="211" t="s">
        <v>238</v>
      </c>
      <c r="D66" s="109" t="s">
        <v>239</v>
      </c>
      <c r="E66" s="212">
        <v>1100000</v>
      </c>
      <c r="F66" s="221">
        <v>900000</v>
      </c>
      <c r="G66" s="220">
        <f>F66/E66*100</f>
        <v>81.81818181818183</v>
      </c>
      <c r="H66" s="221"/>
      <c r="I66" s="689">
        <f>F66+H66</f>
        <v>900000</v>
      </c>
    </row>
    <row r="67" spans="1:9" ht="15" customHeight="1">
      <c r="A67" s="232"/>
      <c r="B67" s="210"/>
      <c r="C67" s="211" t="s">
        <v>217</v>
      </c>
      <c r="D67" s="109" t="s">
        <v>218</v>
      </c>
      <c r="E67" s="212">
        <v>2215</v>
      </c>
      <c r="F67" s="213">
        <v>2215</v>
      </c>
      <c r="G67" s="220">
        <f aca="true" t="shared" si="2" ref="G67:G74">F67/E67*100</f>
        <v>100</v>
      </c>
      <c r="H67" s="213"/>
      <c r="I67" s="580">
        <f aca="true" t="shared" si="3" ref="I67:I74">F67+H67</f>
        <v>2215</v>
      </c>
    </row>
    <row r="68" spans="1:9" ht="15" customHeight="1">
      <c r="A68" s="232"/>
      <c r="B68" s="210"/>
      <c r="C68" s="211" t="s">
        <v>212</v>
      </c>
      <c r="D68" s="109" t="s">
        <v>213</v>
      </c>
      <c r="E68" s="212">
        <v>6000</v>
      </c>
      <c r="F68" s="213">
        <v>6000</v>
      </c>
      <c r="G68" s="220">
        <f t="shared" si="2"/>
        <v>100</v>
      </c>
      <c r="H68" s="213"/>
      <c r="I68" s="580">
        <f t="shared" si="3"/>
        <v>6000</v>
      </c>
    </row>
    <row r="69" spans="1:9" ht="15" customHeight="1">
      <c r="A69" s="232"/>
      <c r="B69" s="210"/>
      <c r="C69" s="211"/>
      <c r="D69" s="109" t="s">
        <v>214</v>
      </c>
      <c r="E69" s="212"/>
      <c r="F69" s="213"/>
      <c r="G69" s="220"/>
      <c r="H69" s="213"/>
      <c r="I69" s="580"/>
    </row>
    <row r="70" spans="1:9" ht="15" customHeight="1">
      <c r="A70" s="232"/>
      <c r="B70" s="210"/>
      <c r="C70" s="211" t="s">
        <v>203</v>
      </c>
      <c r="D70" s="109" t="s">
        <v>198</v>
      </c>
      <c r="E70" s="212">
        <v>9500</v>
      </c>
      <c r="F70" s="213">
        <v>9500</v>
      </c>
      <c r="G70" s="220">
        <f t="shared" si="2"/>
        <v>100</v>
      </c>
      <c r="H70" s="213"/>
      <c r="I70" s="580">
        <f t="shared" si="3"/>
        <v>9500</v>
      </c>
    </row>
    <row r="71" spans="1:9" ht="15" customHeight="1">
      <c r="A71" s="232"/>
      <c r="B71" s="210"/>
      <c r="C71" s="211" t="s">
        <v>240</v>
      </c>
      <c r="D71" s="109" t="s">
        <v>241</v>
      </c>
      <c r="E71" s="212">
        <v>4012</v>
      </c>
      <c r="F71" s="213">
        <v>4012</v>
      </c>
      <c r="G71" s="220">
        <f t="shared" si="2"/>
        <v>100</v>
      </c>
      <c r="H71" s="213"/>
      <c r="I71" s="580">
        <f t="shared" si="3"/>
        <v>4012</v>
      </c>
    </row>
    <row r="72" spans="1:9" ht="15" customHeight="1">
      <c r="A72" s="232"/>
      <c r="B72" s="210"/>
      <c r="C72" s="211" t="s">
        <v>229</v>
      </c>
      <c r="D72" s="109" t="s">
        <v>242</v>
      </c>
      <c r="E72" s="212">
        <v>500</v>
      </c>
      <c r="F72" s="213">
        <v>500</v>
      </c>
      <c r="G72" s="220">
        <f t="shared" si="2"/>
        <v>100</v>
      </c>
      <c r="H72" s="213"/>
      <c r="I72" s="580">
        <f t="shared" si="3"/>
        <v>500</v>
      </c>
    </row>
    <row r="73" spans="1:9" ht="15" customHeight="1">
      <c r="A73" s="232"/>
      <c r="B73" s="210"/>
      <c r="C73" s="211" t="s">
        <v>243</v>
      </c>
      <c r="D73" s="109" t="s">
        <v>451</v>
      </c>
      <c r="E73" s="212">
        <v>950</v>
      </c>
      <c r="F73" s="213">
        <v>950</v>
      </c>
      <c r="G73" s="220">
        <f t="shared" si="2"/>
        <v>100</v>
      </c>
      <c r="H73" s="213"/>
      <c r="I73" s="580">
        <f t="shared" si="3"/>
        <v>950</v>
      </c>
    </row>
    <row r="74" spans="1:9" ht="15" customHeight="1">
      <c r="A74" s="232"/>
      <c r="B74" s="210"/>
      <c r="C74" s="211" t="s">
        <v>219</v>
      </c>
      <c r="D74" s="109" t="s">
        <v>220</v>
      </c>
      <c r="E74" s="212">
        <v>62000</v>
      </c>
      <c r="F74" s="213">
        <v>62000</v>
      </c>
      <c r="G74" s="220">
        <f t="shared" si="2"/>
        <v>100</v>
      </c>
      <c r="H74" s="213"/>
      <c r="I74" s="580">
        <f t="shared" si="3"/>
        <v>62000</v>
      </c>
    </row>
    <row r="75" spans="1:9" ht="15" customHeight="1">
      <c r="A75" s="232"/>
      <c r="B75" s="210"/>
      <c r="C75" s="210"/>
      <c r="D75" s="210"/>
      <c r="E75" s="212"/>
      <c r="F75" s="213"/>
      <c r="G75" s="220"/>
      <c r="H75" s="213"/>
      <c r="I75" s="580"/>
    </row>
    <row r="76" spans="1:9" ht="15" customHeight="1" thickBot="1">
      <c r="A76" s="232"/>
      <c r="B76" s="235">
        <v>75045</v>
      </c>
      <c r="C76" s="239"/>
      <c r="D76" s="218" t="s">
        <v>115</v>
      </c>
      <c r="E76" s="236">
        <f>E77</f>
        <v>16978</v>
      </c>
      <c r="F76" s="237">
        <f>F77</f>
        <v>17000</v>
      </c>
      <c r="G76" s="237">
        <f>G77</f>
        <v>100.12957945576628</v>
      </c>
      <c r="H76" s="237">
        <f>H77</f>
        <v>0</v>
      </c>
      <c r="I76" s="691">
        <f>I77</f>
        <v>17000</v>
      </c>
    </row>
    <row r="77" spans="1:9" ht="15" customHeight="1">
      <c r="A77" s="232"/>
      <c r="B77" s="210"/>
      <c r="C77" s="210">
        <v>2110</v>
      </c>
      <c r="D77" s="109" t="s">
        <v>210</v>
      </c>
      <c r="E77" s="212">
        <v>16978</v>
      </c>
      <c r="F77" s="213">
        <v>17000</v>
      </c>
      <c r="G77" s="220">
        <f>F77/E77*100</f>
        <v>100.12957945576628</v>
      </c>
      <c r="H77" s="213"/>
      <c r="I77" s="580">
        <f>F77+H77</f>
        <v>17000</v>
      </c>
    </row>
    <row r="78" spans="1:9" ht="15" customHeight="1">
      <c r="A78" s="232"/>
      <c r="B78" s="210"/>
      <c r="C78" s="210"/>
      <c r="D78" s="109" t="s">
        <v>244</v>
      </c>
      <c r="E78" s="212"/>
      <c r="F78" s="213"/>
      <c r="G78" s="220"/>
      <c r="H78" s="213"/>
      <c r="I78" s="580"/>
    </row>
    <row r="79" spans="1:9" ht="15" customHeight="1">
      <c r="A79" s="232"/>
      <c r="B79" s="210"/>
      <c r="C79" s="210"/>
      <c r="D79" s="109"/>
      <c r="E79" s="220"/>
      <c r="F79" s="213"/>
      <c r="G79" s="220"/>
      <c r="H79" s="213"/>
      <c r="I79" s="580"/>
    </row>
    <row r="80" spans="1:9" ht="15" customHeight="1" thickBot="1">
      <c r="A80" s="232"/>
      <c r="B80" s="235">
        <v>75095</v>
      </c>
      <c r="C80" s="239"/>
      <c r="D80" s="218" t="s">
        <v>44</v>
      </c>
      <c r="E80" s="219">
        <f>E81</f>
        <v>20000</v>
      </c>
      <c r="F80" s="237">
        <f>F81</f>
        <v>20000</v>
      </c>
      <c r="G80" s="237">
        <f>G81</f>
        <v>100</v>
      </c>
      <c r="H80" s="237">
        <f>H81</f>
        <v>0</v>
      </c>
      <c r="I80" s="691">
        <f>I81</f>
        <v>20000</v>
      </c>
    </row>
    <row r="81" spans="1:9" ht="15" customHeight="1">
      <c r="A81" s="232"/>
      <c r="B81" s="210"/>
      <c r="C81" s="211" t="s">
        <v>219</v>
      </c>
      <c r="D81" s="109" t="s">
        <v>220</v>
      </c>
      <c r="E81" s="220">
        <v>20000</v>
      </c>
      <c r="F81" s="213">
        <v>20000</v>
      </c>
      <c r="G81" s="220">
        <f>F81/E81*100</f>
        <v>100</v>
      </c>
      <c r="H81" s="213"/>
      <c r="I81" s="580">
        <f>F81+H81</f>
        <v>20000</v>
      </c>
    </row>
    <row r="82" spans="1:9" ht="15" customHeight="1">
      <c r="A82" s="232"/>
      <c r="B82" s="210"/>
      <c r="C82" s="211"/>
      <c r="D82" s="215"/>
      <c r="E82" s="220"/>
      <c r="F82" s="213"/>
      <c r="G82" s="220"/>
      <c r="H82" s="213"/>
      <c r="I82" s="580"/>
    </row>
    <row r="83" spans="1:9" ht="15" customHeight="1">
      <c r="A83" s="203">
        <v>756</v>
      </c>
      <c r="B83" s="210"/>
      <c r="C83" s="211"/>
      <c r="D83" s="107" t="s">
        <v>245</v>
      </c>
      <c r="E83" s="212"/>
      <c r="F83" s="213"/>
      <c r="G83" s="220"/>
      <c r="H83" s="213"/>
      <c r="I83" s="580"/>
    </row>
    <row r="84" spans="1:9" s="202" customFormat="1" ht="15" customHeight="1" thickBot="1">
      <c r="A84" s="230"/>
      <c r="B84" s="198"/>
      <c r="C84" s="198"/>
      <c r="D84" s="108" t="s">
        <v>246</v>
      </c>
      <c r="E84" s="200">
        <f>E85</f>
        <v>3561796</v>
      </c>
      <c r="F84" s="201">
        <f>F85</f>
        <v>3934498</v>
      </c>
      <c r="G84" s="223">
        <f>G85</f>
        <v>110.46387833553635</v>
      </c>
      <c r="H84" s="201">
        <f>H85</f>
        <v>0</v>
      </c>
      <c r="I84" s="687">
        <f>I85</f>
        <v>3934498</v>
      </c>
    </row>
    <row r="85" spans="1:9" ht="15" customHeight="1">
      <c r="A85" s="232"/>
      <c r="B85" s="210">
        <v>75622</v>
      </c>
      <c r="C85" s="210"/>
      <c r="D85" s="109" t="s">
        <v>247</v>
      </c>
      <c r="E85" s="240">
        <f>E87+E88</f>
        <v>3561796</v>
      </c>
      <c r="F85" s="221">
        <f>SUM(F87:F88)</f>
        <v>3934498</v>
      </c>
      <c r="G85" s="220">
        <f>F85/E85*100</f>
        <v>110.46387833553635</v>
      </c>
      <c r="H85" s="221">
        <f>SUM(H87:H88)</f>
        <v>0</v>
      </c>
      <c r="I85" s="689">
        <f>SUM(I87:I88)</f>
        <v>3934498</v>
      </c>
    </row>
    <row r="86" spans="1:9" ht="15" customHeight="1" thickBot="1">
      <c r="A86" s="232"/>
      <c r="B86" s="239"/>
      <c r="C86" s="239"/>
      <c r="D86" s="218" t="s">
        <v>248</v>
      </c>
      <c r="E86" s="241"/>
      <c r="F86" s="242"/>
      <c r="G86" s="219"/>
      <c r="H86" s="242"/>
      <c r="I86" s="692"/>
    </row>
    <row r="87" spans="1:9" ht="15" customHeight="1">
      <c r="A87" s="232"/>
      <c r="B87" s="210"/>
      <c r="C87" s="211" t="s">
        <v>249</v>
      </c>
      <c r="D87" s="109" t="s">
        <v>250</v>
      </c>
      <c r="E87" s="212">
        <v>3461796</v>
      </c>
      <c r="F87" s="213">
        <v>3834498</v>
      </c>
      <c r="G87" s="220">
        <f>F87/E87*100</f>
        <v>110.76614566542915</v>
      </c>
      <c r="H87" s="213"/>
      <c r="I87" s="580">
        <f>F87+H87</f>
        <v>3834498</v>
      </c>
    </row>
    <row r="88" spans="1:9" ht="15" customHeight="1">
      <c r="A88" s="232"/>
      <c r="B88" s="210"/>
      <c r="C88" s="211" t="s">
        <v>452</v>
      </c>
      <c r="D88" s="109" t="s">
        <v>453</v>
      </c>
      <c r="E88" s="212">
        <v>100000</v>
      </c>
      <c r="F88" s="213">
        <v>100000</v>
      </c>
      <c r="G88" s="220">
        <f>F88/E88*100</f>
        <v>100</v>
      </c>
      <c r="H88" s="213"/>
      <c r="I88" s="580">
        <f>F88+H88</f>
        <v>100000</v>
      </c>
    </row>
    <row r="89" spans="1:9" ht="15" customHeight="1">
      <c r="A89" s="232"/>
      <c r="B89" s="210"/>
      <c r="C89" s="211"/>
      <c r="D89" s="109"/>
      <c r="E89" s="212"/>
      <c r="F89" s="213"/>
      <c r="G89" s="220"/>
      <c r="H89" s="213"/>
      <c r="I89" s="580"/>
    </row>
    <row r="90" spans="1:9" s="202" customFormat="1" ht="15" customHeight="1" thickBot="1">
      <c r="A90" s="230">
        <v>758</v>
      </c>
      <c r="B90" s="198"/>
      <c r="C90" s="198"/>
      <c r="D90" s="108" t="s">
        <v>120</v>
      </c>
      <c r="E90" s="200">
        <f>E91+E94+E97+E100</f>
        <v>18864636</v>
      </c>
      <c r="F90" s="201">
        <f>F91+F94+F97+F100</f>
        <v>20067726</v>
      </c>
      <c r="G90" s="201">
        <f>G91+G94+G97+G100</f>
        <v>423.066995682948</v>
      </c>
      <c r="H90" s="201">
        <f>H91+H94+H97+H100</f>
        <v>-245108</v>
      </c>
      <c r="I90" s="687">
        <f>I91+I94+I97+I100</f>
        <v>19822618</v>
      </c>
    </row>
    <row r="91" spans="1:9" ht="15" customHeight="1" thickBot="1">
      <c r="A91" s="232"/>
      <c r="B91" s="233">
        <v>75801</v>
      </c>
      <c r="C91" s="205"/>
      <c r="D91" s="226" t="s">
        <v>251</v>
      </c>
      <c r="E91" s="207">
        <f>E92</f>
        <v>11143801</v>
      </c>
      <c r="F91" s="208">
        <f>F92</f>
        <v>11315831</v>
      </c>
      <c r="G91" s="208">
        <f>G92</f>
        <v>101.5437282126628</v>
      </c>
      <c r="H91" s="208">
        <f>H92</f>
        <v>-250273</v>
      </c>
      <c r="I91" s="688">
        <f>I92</f>
        <v>11065558</v>
      </c>
    </row>
    <row r="92" spans="1:9" ht="15" customHeight="1">
      <c r="A92" s="232"/>
      <c r="B92" s="210"/>
      <c r="C92" s="210">
        <v>2920</v>
      </c>
      <c r="D92" s="109" t="s">
        <v>252</v>
      </c>
      <c r="E92" s="212">
        <v>11143801</v>
      </c>
      <c r="F92" s="213">
        <v>11315831</v>
      </c>
      <c r="G92" s="220">
        <f>F92/E92*100</f>
        <v>101.5437282126628</v>
      </c>
      <c r="H92" s="213">
        <v>-250273</v>
      </c>
      <c r="I92" s="580">
        <f>F92+H92</f>
        <v>11065558</v>
      </c>
    </row>
    <row r="93" spans="1:9" ht="15" customHeight="1">
      <c r="A93" s="232"/>
      <c r="B93" s="210"/>
      <c r="C93" s="210"/>
      <c r="D93" s="215"/>
      <c r="E93" s="212"/>
      <c r="F93" s="213"/>
      <c r="G93" s="220"/>
      <c r="H93" s="213"/>
      <c r="I93" s="580"/>
    </row>
    <row r="94" spans="1:9" ht="15" customHeight="1" thickBot="1">
      <c r="A94" s="232"/>
      <c r="B94" s="235">
        <v>75803</v>
      </c>
      <c r="C94" s="239"/>
      <c r="D94" s="218" t="s">
        <v>253</v>
      </c>
      <c r="E94" s="236">
        <f>E95</f>
        <v>4612480</v>
      </c>
      <c r="F94" s="237">
        <f>F95</f>
        <v>5552280</v>
      </c>
      <c r="G94" s="237">
        <f>G95</f>
        <v>120.37515609823784</v>
      </c>
      <c r="H94" s="237">
        <f>H95</f>
        <v>0</v>
      </c>
      <c r="I94" s="691">
        <f>I95</f>
        <v>5552280</v>
      </c>
    </row>
    <row r="95" spans="1:9" ht="15" customHeight="1">
      <c r="A95" s="232"/>
      <c r="B95" s="210"/>
      <c r="C95" s="210">
        <v>2920</v>
      </c>
      <c r="D95" s="109" t="s">
        <v>252</v>
      </c>
      <c r="E95" s="212">
        <v>4612480</v>
      </c>
      <c r="F95" s="213">
        <v>5552280</v>
      </c>
      <c r="G95" s="220">
        <f>F95/E95*100</f>
        <v>120.37515609823784</v>
      </c>
      <c r="H95" s="213"/>
      <c r="I95" s="580">
        <f>F95+H95</f>
        <v>5552280</v>
      </c>
    </row>
    <row r="96" spans="1:9" ht="15" customHeight="1">
      <c r="A96" s="232"/>
      <c r="B96" s="210"/>
      <c r="C96" s="210"/>
      <c r="D96" s="215"/>
      <c r="E96" s="212"/>
      <c r="F96" s="213"/>
      <c r="G96" s="220"/>
      <c r="H96" s="213"/>
      <c r="I96" s="580"/>
    </row>
    <row r="97" spans="1:9" ht="15" customHeight="1" thickBot="1">
      <c r="A97" s="232"/>
      <c r="B97" s="235">
        <v>75814</v>
      </c>
      <c r="C97" s="217"/>
      <c r="D97" s="218" t="s">
        <v>60</v>
      </c>
      <c r="E97" s="236">
        <f>E98</f>
        <v>42341</v>
      </c>
      <c r="F97" s="213">
        <f>F98</f>
        <v>41556</v>
      </c>
      <c r="G97" s="237">
        <f>G98</f>
        <v>98.14600505420277</v>
      </c>
      <c r="H97" s="213">
        <f>H98</f>
        <v>0</v>
      </c>
      <c r="I97" s="580">
        <f>I98</f>
        <v>41556</v>
      </c>
    </row>
    <row r="98" spans="1:9" ht="15" customHeight="1">
      <c r="A98" s="232"/>
      <c r="B98" s="210"/>
      <c r="C98" s="211" t="s">
        <v>204</v>
      </c>
      <c r="D98" s="109" t="s">
        <v>84</v>
      </c>
      <c r="E98" s="212">
        <f>37000+135+900+100+200+1500+1000+100+1000+200+100+60+46</f>
        <v>42341</v>
      </c>
      <c r="F98" s="221">
        <f>37000+100+600+100+200+1000+1000+100+1000+250+100+60+46</f>
        <v>41556</v>
      </c>
      <c r="G98" s="220">
        <f>F98/E98*100</f>
        <v>98.14600505420277</v>
      </c>
      <c r="H98" s="221"/>
      <c r="I98" s="689">
        <f>F98+H98</f>
        <v>41556</v>
      </c>
    </row>
    <row r="99" spans="1:9" ht="15" customHeight="1">
      <c r="A99" s="232"/>
      <c r="B99" s="210"/>
      <c r="C99" s="211"/>
      <c r="D99" s="215"/>
      <c r="E99" s="212"/>
      <c r="F99" s="213"/>
      <c r="G99" s="220"/>
      <c r="H99" s="213"/>
      <c r="I99" s="580"/>
    </row>
    <row r="100" spans="1:9" ht="15" customHeight="1" thickBot="1">
      <c r="A100" s="232"/>
      <c r="B100" s="235">
        <v>75832</v>
      </c>
      <c r="C100" s="217"/>
      <c r="D100" s="218" t="s">
        <v>254</v>
      </c>
      <c r="E100" s="236">
        <f>E101</f>
        <v>3066014</v>
      </c>
      <c r="F100" s="237">
        <f>F101</f>
        <v>3158059</v>
      </c>
      <c r="G100" s="237">
        <f>G101</f>
        <v>103.0021063178446</v>
      </c>
      <c r="H100" s="237">
        <f>H101</f>
        <v>5165</v>
      </c>
      <c r="I100" s="691">
        <f>I101</f>
        <v>3163224</v>
      </c>
    </row>
    <row r="101" spans="1:9" ht="15" customHeight="1">
      <c r="A101" s="232"/>
      <c r="B101" s="210"/>
      <c r="C101" s="211" t="s">
        <v>255</v>
      </c>
      <c r="D101" s="228" t="s">
        <v>252</v>
      </c>
      <c r="E101" s="212">
        <v>3066014</v>
      </c>
      <c r="F101" s="213">
        <v>3158059</v>
      </c>
      <c r="G101" s="220">
        <f>F101/E101*100</f>
        <v>103.0021063178446</v>
      </c>
      <c r="H101" s="213">
        <v>5165</v>
      </c>
      <c r="I101" s="580">
        <f>F101+H101</f>
        <v>3163224</v>
      </c>
    </row>
    <row r="102" spans="1:9" ht="15" customHeight="1">
      <c r="A102" s="232"/>
      <c r="B102" s="210"/>
      <c r="C102" s="211"/>
      <c r="D102" s="215"/>
      <c r="E102" s="212"/>
      <c r="F102" s="213"/>
      <c r="G102" s="220"/>
      <c r="H102" s="213"/>
      <c r="I102" s="580"/>
    </row>
    <row r="103" spans="1:9" s="202" customFormat="1" ht="15" customHeight="1" thickBot="1">
      <c r="A103" s="230">
        <v>801</v>
      </c>
      <c r="B103" s="243"/>
      <c r="C103" s="243"/>
      <c r="D103" s="244" t="s">
        <v>123</v>
      </c>
      <c r="E103" s="245" t="e">
        <f>E104+E116+#REF!+#REF!+#REF!</f>
        <v>#REF!</v>
      </c>
      <c r="F103" s="246">
        <f>F104+F116+F108+F112</f>
        <v>26070</v>
      </c>
      <c r="G103" s="246">
        <f>G104+G116+G108+G112</f>
        <v>188.69067103109654</v>
      </c>
      <c r="H103" s="246">
        <f>H104+H116+H108+H112</f>
        <v>33714</v>
      </c>
      <c r="I103" s="246">
        <f>I104+I116+I108+I112</f>
        <v>59784</v>
      </c>
    </row>
    <row r="104" spans="1:9" ht="15" customHeight="1" thickBot="1">
      <c r="A104" s="203"/>
      <c r="B104" s="235">
        <v>80120</v>
      </c>
      <c r="C104" s="235"/>
      <c r="D104" s="242" t="s">
        <v>128</v>
      </c>
      <c r="E104" s="236">
        <f>SUM(E105:E105)</f>
        <v>1300</v>
      </c>
      <c r="F104" s="237">
        <f>SUM(F105:F106)</f>
        <v>1070</v>
      </c>
      <c r="G104" s="237">
        <f>SUM(G105:G105)</f>
        <v>82.3076923076923</v>
      </c>
      <c r="H104" s="237">
        <f>SUM(H105:H106)</f>
        <v>6343</v>
      </c>
      <c r="I104" s="691">
        <f>SUM(I105:I106)</f>
        <v>7413</v>
      </c>
    </row>
    <row r="105" spans="1:9" ht="15" customHeight="1">
      <c r="A105" s="203"/>
      <c r="B105" s="247"/>
      <c r="C105" s="248" t="s">
        <v>203</v>
      </c>
      <c r="D105" s="214" t="s">
        <v>198</v>
      </c>
      <c r="E105" s="212">
        <v>1300</v>
      </c>
      <c r="F105" s="213">
        <v>1070</v>
      </c>
      <c r="G105" s="220">
        <f>F105/E105*100</f>
        <v>82.3076923076923</v>
      </c>
      <c r="H105" s="213"/>
      <c r="I105" s="580">
        <f>F105+H105</f>
        <v>1070</v>
      </c>
    </row>
    <row r="106" spans="1:9" ht="15" customHeight="1">
      <c r="A106" s="203"/>
      <c r="B106" s="247"/>
      <c r="C106" s="248" t="s">
        <v>219</v>
      </c>
      <c r="D106" s="214" t="s">
        <v>655</v>
      </c>
      <c r="E106" s="212"/>
      <c r="F106" s="213">
        <v>0</v>
      </c>
      <c r="G106" s="220"/>
      <c r="H106" s="213">
        <v>6343</v>
      </c>
      <c r="I106" s="580">
        <f>F106+H106</f>
        <v>6343</v>
      </c>
    </row>
    <row r="107" spans="1:9" ht="15" customHeight="1">
      <c r="A107" s="203"/>
      <c r="B107" s="247"/>
      <c r="C107" s="229"/>
      <c r="D107" s="249"/>
      <c r="E107" s="212"/>
      <c r="F107" s="213"/>
      <c r="G107" s="220"/>
      <c r="H107" s="213"/>
      <c r="I107" s="580"/>
    </row>
    <row r="108" spans="1:9" ht="15" customHeight="1" thickBot="1">
      <c r="A108" s="203"/>
      <c r="B108" s="732">
        <v>80130</v>
      </c>
      <c r="C108" s="733"/>
      <c r="D108" s="734" t="s">
        <v>129</v>
      </c>
      <c r="E108" s="735"/>
      <c r="F108" s="736">
        <f>F109</f>
        <v>0</v>
      </c>
      <c r="G108" s="737"/>
      <c r="H108" s="736">
        <f>H109</f>
        <v>18557</v>
      </c>
      <c r="I108" s="738">
        <f>I109</f>
        <v>18557</v>
      </c>
    </row>
    <row r="109" spans="1:9" ht="15" customHeight="1">
      <c r="A109" s="203"/>
      <c r="B109" s="210"/>
      <c r="C109" s="726" t="s">
        <v>212</v>
      </c>
      <c r="D109" s="109" t="s">
        <v>213</v>
      </c>
      <c r="E109" s="728"/>
      <c r="F109" s="723">
        <v>0</v>
      </c>
      <c r="G109" s="724"/>
      <c r="H109" s="723">
        <v>18557</v>
      </c>
      <c r="I109" s="725">
        <f>F109+H109</f>
        <v>18557</v>
      </c>
    </row>
    <row r="110" spans="1:9" ht="15" customHeight="1">
      <c r="A110" s="203"/>
      <c r="B110" s="210"/>
      <c r="C110" s="726"/>
      <c r="D110" s="109" t="s">
        <v>214</v>
      </c>
      <c r="E110" s="728"/>
      <c r="F110" s="723"/>
      <c r="G110" s="724"/>
      <c r="H110" s="723"/>
      <c r="I110" s="725"/>
    </row>
    <row r="111" spans="1:9" ht="15" customHeight="1">
      <c r="A111" s="203"/>
      <c r="B111" s="210"/>
      <c r="C111" s="726"/>
      <c r="D111" s="727"/>
      <c r="E111" s="728"/>
      <c r="F111" s="729"/>
      <c r="G111" s="730"/>
      <c r="H111" s="729"/>
      <c r="I111" s="731"/>
    </row>
    <row r="112" spans="1:9" ht="15" customHeight="1" thickBot="1">
      <c r="A112" s="203"/>
      <c r="B112" s="235">
        <v>80195</v>
      </c>
      <c r="C112" s="740"/>
      <c r="D112" s="741" t="s">
        <v>44</v>
      </c>
      <c r="E112" s="742"/>
      <c r="F112" s="736">
        <f>F113</f>
        <v>0</v>
      </c>
      <c r="G112" s="737"/>
      <c r="H112" s="736">
        <f>H113</f>
        <v>8814</v>
      </c>
      <c r="I112" s="738">
        <f>I113</f>
        <v>8814</v>
      </c>
    </row>
    <row r="113" spans="1:9" ht="15" customHeight="1">
      <c r="A113" s="203"/>
      <c r="B113" s="210"/>
      <c r="C113" s="726" t="s">
        <v>654</v>
      </c>
      <c r="D113" s="109" t="s">
        <v>444</v>
      </c>
      <c r="E113" s="728"/>
      <c r="F113" s="723">
        <v>0</v>
      </c>
      <c r="G113" s="724"/>
      <c r="H113" s="723">
        <v>8814</v>
      </c>
      <c r="I113" s="725">
        <f>F113+H113</f>
        <v>8814</v>
      </c>
    </row>
    <row r="114" spans="1:9" ht="15" customHeight="1">
      <c r="A114" s="203"/>
      <c r="B114" s="210"/>
      <c r="C114" s="726"/>
      <c r="D114" s="109" t="s">
        <v>445</v>
      </c>
      <c r="E114" s="728"/>
      <c r="F114" s="723"/>
      <c r="G114" s="724"/>
      <c r="H114" s="723"/>
      <c r="I114" s="725"/>
    </row>
    <row r="115" spans="1:9" ht="15" customHeight="1">
      <c r="A115" s="203"/>
      <c r="B115" s="210"/>
      <c r="C115" s="726"/>
      <c r="D115" s="109"/>
      <c r="E115" s="728"/>
      <c r="F115" s="729"/>
      <c r="G115" s="730"/>
      <c r="H115" s="729"/>
      <c r="I115" s="731"/>
    </row>
    <row r="116" spans="1:9" ht="15" customHeight="1" thickBot="1">
      <c r="A116" s="232"/>
      <c r="B116" s="217" t="s">
        <v>190</v>
      </c>
      <c r="C116" s="250"/>
      <c r="D116" s="218" t="s">
        <v>375</v>
      </c>
      <c r="E116" s="236">
        <f>E117</f>
        <v>23500</v>
      </c>
      <c r="F116" s="237">
        <f>F117</f>
        <v>25000</v>
      </c>
      <c r="G116" s="237">
        <f>G117</f>
        <v>106.38297872340425</v>
      </c>
      <c r="H116" s="237">
        <f>H117</f>
        <v>0</v>
      </c>
      <c r="I116" s="691">
        <f>I117</f>
        <v>25000</v>
      </c>
    </row>
    <row r="117" spans="1:9" ht="15" customHeight="1">
      <c r="A117" s="232"/>
      <c r="B117" s="211"/>
      <c r="C117" s="211" t="s">
        <v>259</v>
      </c>
      <c r="D117" s="109" t="s">
        <v>260</v>
      </c>
      <c r="E117" s="212">
        <v>23500</v>
      </c>
      <c r="F117" s="213">
        <v>25000</v>
      </c>
      <c r="G117" s="220">
        <f>F117/E117*100</f>
        <v>106.38297872340425</v>
      </c>
      <c r="H117" s="213"/>
      <c r="I117" s="580">
        <f>F117+H117</f>
        <v>25000</v>
      </c>
    </row>
    <row r="118" spans="1:9" ht="15" customHeight="1">
      <c r="A118" s="232"/>
      <c r="B118" s="211"/>
      <c r="C118" s="211"/>
      <c r="D118" s="109"/>
      <c r="E118" s="212"/>
      <c r="F118" s="213"/>
      <c r="G118" s="220"/>
      <c r="H118" s="213"/>
      <c r="I118" s="580"/>
    </row>
    <row r="119" spans="1:9" s="202" customFormat="1" ht="15" customHeight="1" thickBot="1">
      <c r="A119" s="230">
        <v>851</v>
      </c>
      <c r="B119" s="198"/>
      <c r="C119" s="198"/>
      <c r="D119" s="108" t="s">
        <v>133</v>
      </c>
      <c r="E119" s="200" t="e">
        <f>#REF!+E121+E125</f>
        <v>#REF!</v>
      </c>
      <c r="F119" s="223">
        <f>F125+F121</f>
        <v>105000</v>
      </c>
      <c r="G119" s="223" t="e">
        <f>G125+G121+#REF!</f>
        <v>#REF!</v>
      </c>
      <c r="H119" s="223">
        <f>H125+H121</f>
        <v>-10000</v>
      </c>
      <c r="I119" s="690">
        <f>I125+I121</f>
        <v>95000</v>
      </c>
    </row>
    <row r="120" spans="1:9" s="202" customFormat="1" ht="15" customHeight="1">
      <c r="A120" s="203"/>
      <c r="B120" s="247"/>
      <c r="C120" s="210"/>
      <c r="D120" s="109"/>
      <c r="E120" s="212"/>
      <c r="F120" s="213"/>
      <c r="G120" s="213"/>
      <c r="H120" s="213"/>
      <c r="I120" s="580"/>
    </row>
    <row r="121" spans="1:9" ht="15" customHeight="1" thickBot="1">
      <c r="A121" s="203"/>
      <c r="B121" s="235">
        <v>85154</v>
      </c>
      <c r="C121" s="198"/>
      <c r="D121" s="218" t="s">
        <v>262</v>
      </c>
      <c r="E121" s="236">
        <f>E122</f>
        <v>13925</v>
      </c>
      <c r="F121" s="237">
        <f>F122</f>
        <v>10000</v>
      </c>
      <c r="G121" s="237">
        <f>G122</f>
        <v>71.8132854578097</v>
      </c>
      <c r="H121" s="237">
        <f>H122</f>
        <v>-10000</v>
      </c>
      <c r="I121" s="691">
        <f>I122</f>
        <v>0</v>
      </c>
    </row>
    <row r="122" spans="1:9" ht="15" customHeight="1">
      <c r="A122" s="203"/>
      <c r="B122" s="222"/>
      <c r="C122" s="210">
        <v>2330</v>
      </c>
      <c r="D122" s="109" t="s">
        <v>263</v>
      </c>
      <c r="E122" s="212">
        <v>13925</v>
      </c>
      <c r="F122" s="213">
        <v>10000</v>
      </c>
      <c r="G122" s="220">
        <f>F122/E122*100</f>
        <v>71.8132854578097</v>
      </c>
      <c r="H122" s="213">
        <v>-10000</v>
      </c>
      <c r="I122" s="580">
        <f>F122+H122</f>
        <v>0</v>
      </c>
    </row>
    <row r="123" spans="1:9" ht="15" customHeight="1">
      <c r="A123" s="203"/>
      <c r="B123" s="229"/>
      <c r="C123" s="210"/>
      <c r="D123" s="109" t="s">
        <v>264</v>
      </c>
      <c r="E123" s="251"/>
      <c r="F123" s="201"/>
      <c r="G123" s="220"/>
      <c r="H123" s="201"/>
      <c r="I123" s="687"/>
    </row>
    <row r="124" spans="1:9" ht="15" customHeight="1">
      <c r="A124" s="203"/>
      <c r="B124" s="222"/>
      <c r="C124" s="210"/>
      <c r="D124" s="215"/>
      <c r="E124" s="251"/>
      <c r="F124" s="201"/>
      <c r="G124" s="220"/>
      <c r="H124" s="201"/>
      <c r="I124" s="687"/>
    </row>
    <row r="125" spans="1:9" ht="15" customHeight="1">
      <c r="A125" s="203"/>
      <c r="B125" s="210">
        <v>85156</v>
      </c>
      <c r="C125" s="252"/>
      <c r="D125" s="214" t="s">
        <v>265</v>
      </c>
      <c r="E125" s="212">
        <f>E127</f>
        <v>56417</v>
      </c>
      <c r="F125" s="213">
        <f>F127</f>
        <v>95000</v>
      </c>
      <c r="G125" s="213">
        <f>G127</f>
        <v>168.3889607742347</v>
      </c>
      <c r="H125" s="213">
        <f>H127</f>
        <v>0</v>
      </c>
      <c r="I125" s="580">
        <f>I127</f>
        <v>95000</v>
      </c>
    </row>
    <row r="126" spans="1:9" ht="15" customHeight="1" thickBot="1">
      <c r="A126" s="203"/>
      <c r="B126" s="235"/>
      <c r="C126" s="253"/>
      <c r="D126" s="218" t="s">
        <v>266</v>
      </c>
      <c r="E126" s="236"/>
      <c r="F126" s="213"/>
      <c r="G126" s="219"/>
      <c r="H126" s="213"/>
      <c r="I126" s="580"/>
    </row>
    <row r="127" spans="1:9" ht="15" customHeight="1">
      <c r="A127" s="203"/>
      <c r="B127" s="222"/>
      <c r="C127" s="210">
        <v>2110</v>
      </c>
      <c r="D127" s="109" t="s">
        <v>210</v>
      </c>
      <c r="E127" s="212">
        <v>56417</v>
      </c>
      <c r="F127" s="221">
        <v>95000</v>
      </c>
      <c r="G127" s="220">
        <f>F127/E127*100</f>
        <v>168.3889607742347</v>
      </c>
      <c r="H127" s="221"/>
      <c r="I127" s="689">
        <f>F127+H127</f>
        <v>95000</v>
      </c>
    </row>
    <row r="128" spans="1:9" ht="15" customHeight="1">
      <c r="A128" s="203"/>
      <c r="B128" s="222"/>
      <c r="C128" s="210"/>
      <c r="D128" s="214" t="s">
        <v>236</v>
      </c>
      <c r="E128" s="251"/>
      <c r="F128" s="201"/>
      <c r="G128" s="220"/>
      <c r="H128" s="201"/>
      <c r="I128" s="687"/>
    </row>
    <row r="129" spans="1:9" ht="15" customHeight="1">
      <c r="A129" s="203"/>
      <c r="B129" s="222"/>
      <c r="C129" s="210"/>
      <c r="D129" s="109"/>
      <c r="E129" s="212"/>
      <c r="F129" s="213"/>
      <c r="G129" s="220"/>
      <c r="H129" s="213"/>
      <c r="I129" s="580"/>
    </row>
    <row r="130" spans="1:9" s="202" customFormat="1" ht="15" customHeight="1" thickBot="1">
      <c r="A130" s="230">
        <v>852</v>
      </c>
      <c r="B130" s="198"/>
      <c r="C130" s="198"/>
      <c r="D130" s="244" t="s">
        <v>139</v>
      </c>
      <c r="E130" s="200" t="e">
        <f>E131+E139+E149+E153+E158+E145+#REF!</f>
        <v>#REF!</v>
      </c>
      <c r="F130" s="200">
        <f>F131+F139+F149+F153+F158+F145</f>
        <v>5434045</v>
      </c>
      <c r="G130" s="223" t="e">
        <f>G131+G139+G149+G153+G158+G145+#REF!</f>
        <v>#DIV/0!</v>
      </c>
      <c r="H130" s="223">
        <f>H131+H139+H149+H153+H158+H145</f>
        <v>8745</v>
      </c>
      <c r="I130" s="690">
        <f>I131+I139+I149+I153+I158+I145</f>
        <v>5442790</v>
      </c>
    </row>
    <row r="131" spans="1:9" ht="15" customHeight="1" thickBot="1">
      <c r="A131" s="232"/>
      <c r="B131" s="233">
        <v>85201</v>
      </c>
      <c r="C131" s="233"/>
      <c r="D131" s="218" t="s">
        <v>140</v>
      </c>
      <c r="E131" s="207">
        <f>SUM(E132:E137)</f>
        <v>363360</v>
      </c>
      <c r="F131" s="254">
        <f>SUM(F132:F137)</f>
        <v>380552</v>
      </c>
      <c r="G131" s="254" t="e">
        <f>SUM(G132:G137)</f>
        <v>#DIV/0!</v>
      </c>
      <c r="H131" s="254">
        <f>SUM(H132:H137)</f>
        <v>3200</v>
      </c>
      <c r="I131" s="694">
        <f>SUM(I132:I137)</f>
        <v>383752</v>
      </c>
    </row>
    <row r="132" spans="1:9" ht="15" customHeight="1">
      <c r="A132" s="232"/>
      <c r="B132" s="210"/>
      <c r="C132" s="211" t="s">
        <v>243</v>
      </c>
      <c r="D132" s="109" t="s">
        <v>256</v>
      </c>
      <c r="E132" s="212">
        <v>12000</v>
      </c>
      <c r="F132" s="213">
        <v>5000</v>
      </c>
      <c r="G132" s="220">
        <f>F132/E132*100</f>
        <v>41.66666666666667</v>
      </c>
      <c r="H132" s="213">
        <v>3200</v>
      </c>
      <c r="I132" s="580">
        <f>F132+H132</f>
        <v>8200</v>
      </c>
    </row>
    <row r="133" spans="1:9" ht="15" customHeight="1">
      <c r="A133" s="232"/>
      <c r="B133" s="210"/>
      <c r="C133" s="211" t="s">
        <v>219</v>
      </c>
      <c r="D133" s="109" t="s">
        <v>220</v>
      </c>
      <c r="E133" s="212"/>
      <c r="F133" s="213"/>
      <c r="G133" s="220" t="e">
        <f>F133/E133*100</f>
        <v>#DIV/0!</v>
      </c>
      <c r="H133" s="213"/>
      <c r="I133" s="580">
        <f>F133+H133</f>
        <v>0</v>
      </c>
    </row>
    <row r="134" spans="1:9" ht="15" customHeight="1">
      <c r="A134" s="232"/>
      <c r="B134" s="210"/>
      <c r="C134" s="211" t="s">
        <v>487</v>
      </c>
      <c r="D134" s="109" t="s">
        <v>488</v>
      </c>
      <c r="E134" s="212"/>
      <c r="F134" s="213"/>
      <c r="G134" s="220"/>
      <c r="H134" s="213"/>
      <c r="I134" s="580">
        <f>F134+H134</f>
        <v>0</v>
      </c>
    </row>
    <row r="135" spans="1:9" ht="15" customHeight="1">
      <c r="A135" s="232"/>
      <c r="B135" s="210"/>
      <c r="C135" s="211"/>
      <c r="D135" s="109" t="s">
        <v>489</v>
      </c>
      <c r="E135" s="212"/>
      <c r="F135" s="213"/>
      <c r="G135" s="220"/>
      <c r="H135" s="213"/>
      <c r="I135" s="580"/>
    </row>
    <row r="136" spans="1:9" ht="15" customHeight="1">
      <c r="A136" s="232"/>
      <c r="B136" s="210"/>
      <c r="C136" s="211" t="s">
        <v>221</v>
      </c>
      <c r="D136" s="79" t="s">
        <v>222</v>
      </c>
      <c r="E136" s="212">
        <v>351360</v>
      </c>
      <c r="F136" s="213">
        <v>375552</v>
      </c>
      <c r="G136" s="220">
        <f>F136/E136*100</f>
        <v>106.88524590163935</v>
      </c>
      <c r="H136" s="213"/>
      <c r="I136" s="580">
        <f>F136+H136</f>
        <v>375552</v>
      </c>
    </row>
    <row r="137" spans="1:9" ht="15" customHeight="1">
      <c r="A137" s="232"/>
      <c r="B137" s="210"/>
      <c r="C137" s="211"/>
      <c r="D137" s="214" t="s">
        <v>223</v>
      </c>
      <c r="E137" s="212"/>
      <c r="F137" s="213"/>
      <c r="G137" s="220"/>
      <c r="H137" s="213"/>
      <c r="I137" s="580"/>
    </row>
    <row r="138" spans="1:9" ht="15" customHeight="1">
      <c r="A138" s="232"/>
      <c r="B138" s="210"/>
      <c r="C138" s="210"/>
      <c r="D138" s="215"/>
      <c r="E138" s="212"/>
      <c r="F138" s="213"/>
      <c r="G138" s="220"/>
      <c r="H138" s="213"/>
      <c r="I138" s="580"/>
    </row>
    <row r="139" spans="1:9" ht="15" customHeight="1" thickBot="1">
      <c r="A139" s="232"/>
      <c r="B139" s="235">
        <v>85202</v>
      </c>
      <c r="C139" s="239"/>
      <c r="D139" s="218" t="s">
        <v>143</v>
      </c>
      <c r="E139" s="236">
        <f>SUM(E140:E142)</f>
        <v>4838761</v>
      </c>
      <c r="F139" s="237">
        <f>SUM(F140:F142)</f>
        <v>4617960</v>
      </c>
      <c r="G139" s="237">
        <f>SUM(G140:G142)</f>
        <v>355.51528352586433</v>
      </c>
      <c r="H139" s="237">
        <f>SUM(H140:H142)</f>
        <v>5545</v>
      </c>
      <c r="I139" s="691">
        <f>SUM(I140:I142)</f>
        <v>4623505</v>
      </c>
    </row>
    <row r="140" spans="1:9" ht="15" customHeight="1">
      <c r="A140" s="232"/>
      <c r="B140" s="210"/>
      <c r="C140" s="211" t="s">
        <v>203</v>
      </c>
      <c r="D140" s="109" t="s">
        <v>198</v>
      </c>
      <c r="E140" s="212">
        <f>348340+405000+1306550</f>
        <v>2059890</v>
      </c>
      <c r="F140" s="213">
        <f>382536+448595+1348680</f>
        <v>2179811</v>
      </c>
      <c r="G140" s="220">
        <f>F140/E140*100</f>
        <v>105.82171863546112</v>
      </c>
      <c r="H140" s="213"/>
      <c r="I140" s="580">
        <f>F140+H140</f>
        <v>2179811</v>
      </c>
    </row>
    <row r="141" spans="1:9" ht="15" customHeight="1">
      <c r="A141" s="232"/>
      <c r="B141" s="210"/>
      <c r="C141" s="211" t="s">
        <v>219</v>
      </c>
      <c r="D141" s="109" t="s">
        <v>220</v>
      </c>
      <c r="E141" s="212">
        <f>58000+26219+13000+5350</f>
        <v>102569</v>
      </c>
      <c r="F141" s="213">
        <f>0+44713+11000+113436</f>
        <v>169149</v>
      </c>
      <c r="G141" s="220">
        <f>F141/E141*100</f>
        <v>164.91240043287934</v>
      </c>
      <c r="H141" s="213">
        <v>5545</v>
      </c>
      <c r="I141" s="580">
        <f>F141+H141</f>
        <v>174694</v>
      </c>
    </row>
    <row r="142" spans="1:9" ht="15" customHeight="1">
      <c r="A142" s="232"/>
      <c r="B142" s="210"/>
      <c r="C142" s="210">
        <v>2130</v>
      </c>
      <c r="D142" s="109" t="s">
        <v>257</v>
      </c>
      <c r="E142" s="212">
        <v>2676302</v>
      </c>
      <c r="F142" s="213">
        <v>2269000</v>
      </c>
      <c r="G142" s="220">
        <f>F142/E142*100</f>
        <v>84.78116445752384</v>
      </c>
      <c r="H142" s="213"/>
      <c r="I142" s="580">
        <f>F142+H142</f>
        <v>2269000</v>
      </c>
    </row>
    <row r="143" spans="1:9" ht="15" customHeight="1">
      <c r="A143" s="232"/>
      <c r="B143" s="210"/>
      <c r="C143" s="210"/>
      <c r="D143" s="109" t="s">
        <v>258</v>
      </c>
      <c r="E143" s="238"/>
      <c r="F143" s="214"/>
      <c r="G143" s="220"/>
      <c r="H143" s="214"/>
      <c r="I143" s="695"/>
    </row>
    <row r="144" spans="1:9" ht="12.75">
      <c r="A144" s="232"/>
      <c r="B144" s="210"/>
      <c r="C144" s="210"/>
      <c r="D144" s="215"/>
      <c r="E144" s="238"/>
      <c r="F144" s="214"/>
      <c r="G144" s="220"/>
      <c r="H144" s="214"/>
      <c r="I144" s="695"/>
    </row>
    <row r="145" spans="1:9" ht="13.5" thickBot="1">
      <c r="A145" s="232"/>
      <c r="B145" s="235">
        <v>85203</v>
      </c>
      <c r="C145" s="239"/>
      <c r="D145" s="218" t="s">
        <v>146</v>
      </c>
      <c r="E145" s="255">
        <f>SUM(E146:E146)</f>
        <v>279900</v>
      </c>
      <c r="F145" s="259">
        <f>SUM(F146:F146)</f>
        <v>340000</v>
      </c>
      <c r="G145" s="259">
        <f>SUM(G146:G146)</f>
        <v>121.47195426938194</v>
      </c>
      <c r="H145" s="259">
        <f>SUM(H146:H146)</f>
        <v>0</v>
      </c>
      <c r="I145" s="696">
        <f>SUM(I146:I146)</f>
        <v>340000</v>
      </c>
    </row>
    <row r="146" spans="1:9" ht="12.75">
      <c r="A146" s="232"/>
      <c r="B146" s="210"/>
      <c r="C146" s="210">
        <v>2110</v>
      </c>
      <c r="D146" s="214" t="s">
        <v>210</v>
      </c>
      <c r="E146" s="212">
        <v>279900</v>
      </c>
      <c r="F146" s="213">
        <v>340000</v>
      </c>
      <c r="G146" s="220">
        <f>F146/E146*100</f>
        <v>121.47195426938194</v>
      </c>
      <c r="H146" s="213"/>
      <c r="I146" s="580">
        <f>F146+H146</f>
        <v>340000</v>
      </c>
    </row>
    <row r="147" spans="1:9" ht="12.75" customHeight="1">
      <c r="A147" s="232"/>
      <c r="B147" s="210"/>
      <c r="C147" s="210"/>
      <c r="D147" s="214" t="s">
        <v>237</v>
      </c>
      <c r="E147" s="212"/>
      <c r="F147" s="213"/>
      <c r="G147" s="220"/>
      <c r="H147" s="213"/>
      <c r="I147" s="580"/>
    </row>
    <row r="148" spans="1:9" ht="12.75" customHeight="1">
      <c r="A148" s="232"/>
      <c r="B148" s="210"/>
      <c r="C148" s="210"/>
      <c r="D148" s="109"/>
      <c r="E148" s="212"/>
      <c r="F148" s="213"/>
      <c r="G148" s="220"/>
      <c r="H148" s="213"/>
      <c r="I148" s="580"/>
    </row>
    <row r="149" spans="1:9" ht="13.5" thickBot="1">
      <c r="A149" s="232"/>
      <c r="B149" s="235">
        <v>85204</v>
      </c>
      <c r="C149" s="239"/>
      <c r="D149" s="218" t="s">
        <v>148</v>
      </c>
      <c r="E149" s="236">
        <f>SUM(E150:E150)</f>
        <v>56600</v>
      </c>
      <c r="F149" s="237">
        <f>SUM(F150:F150)</f>
        <v>72200</v>
      </c>
      <c r="G149" s="237">
        <f>SUM(G150:G150)</f>
        <v>127.56183745583039</v>
      </c>
      <c r="H149" s="237">
        <f>SUM(H150:H150)</f>
        <v>0</v>
      </c>
      <c r="I149" s="691">
        <f>SUM(I150:I150)</f>
        <v>72200</v>
      </c>
    </row>
    <row r="150" spans="1:9" ht="12.75">
      <c r="A150" s="232"/>
      <c r="B150" s="210"/>
      <c r="C150" s="211" t="s">
        <v>221</v>
      </c>
      <c r="D150" s="79" t="s">
        <v>222</v>
      </c>
      <c r="E150" s="212">
        <v>56600</v>
      </c>
      <c r="F150" s="213">
        <v>72200</v>
      </c>
      <c r="G150" s="220">
        <f>F150/E150*100</f>
        <v>127.56183745583039</v>
      </c>
      <c r="H150" s="213"/>
      <c r="I150" s="580">
        <f>F150+H150</f>
        <v>72200</v>
      </c>
    </row>
    <row r="151" spans="1:9" ht="12.75">
      <c r="A151" s="232"/>
      <c r="B151" s="210"/>
      <c r="C151" s="211"/>
      <c r="D151" s="214" t="s">
        <v>223</v>
      </c>
      <c r="E151" s="212"/>
      <c r="F151" s="213"/>
      <c r="G151" s="220"/>
      <c r="H151" s="213"/>
      <c r="I151" s="580"/>
    </row>
    <row r="152" spans="1:9" ht="12.75" customHeight="1">
      <c r="A152" s="232"/>
      <c r="B152" s="210"/>
      <c r="C152" s="211"/>
      <c r="D152" s="109"/>
      <c r="E152" s="212"/>
      <c r="F152" s="213"/>
      <c r="G152" s="220"/>
      <c r="H152" s="213"/>
      <c r="I152" s="580"/>
    </row>
    <row r="153" spans="1:9" ht="13.5" thickBot="1">
      <c r="A153" s="232"/>
      <c r="B153" s="235">
        <v>85218</v>
      </c>
      <c r="C153" s="239"/>
      <c r="D153" s="218" t="s">
        <v>149</v>
      </c>
      <c r="E153" s="236">
        <f>SUM(E154:E156)</f>
        <v>14000</v>
      </c>
      <c r="F153" s="213">
        <f>SUM(F154:F156)</f>
        <v>14000</v>
      </c>
      <c r="G153" s="237">
        <f>SUM(G154:G156)</f>
        <v>200</v>
      </c>
      <c r="H153" s="213">
        <f>SUM(H154:H156)</f>
        <v>0</v>
      </c>
      <c r="I153" s="580">
        <f>SUM(I154:I156)</f>
        <v>14000</v>
      </c>
    </row>
    <row r="154" spans="1:9" ht="12.75">
      <c r="A154" s="232"/>
      <c r="B154" s="210"/>
      <c r="C154" s="211" t="s">
        <v>219</v>
      </c>
      <c r="D154" s="109" t="s">
        <v>220</v>
      </c>
      <c r="E154" s="212">
        <v>5000</v>
      </c>
      <c r="F154" s="221">
        <v>5000</v>
      </c>
      <c r="G154" s="220">
        <f>F154/E154*100</f>
        <v>100</v>
      </c>
      <c r="H154" s="221"/>
      <c r="I154" s="689">
        <f>F154+H154</f>
        <v>5000</v>
      </c>
    </row>
    <row r="155" spans="1:9" ht="12.75">
      <c r="A155" s="232"/>
      <c r="B155" s="210"/>
      <c r="C155" s="210">
        <v>2110</v>
      </c>
      <c r="D155" s="214" t="s">
        <v>210</v>
      </c>
      <c r="E155" s="212">
        <v>9000</v>
      </c>
      <c r="F155" s="213">
        <v>9000</v>
      </c>
      <c r="G155" s="220">
        <f>F155/E155*100</f>
        <v>100</v>
      </c>
      <c r="H155" s="213"/>
      <c r="I155" s="580">
        <f>F155+H155</f>
        <v>9000</v>
      </c>
    </row>
    <row r="156" spans="1:9" ht="12.75">
      <c r="A156" s="232"/>
      <c r="B156" s="210"/>
      <c r="C156" s="210"/>
      <c r="D156" s="214" t="s">
        <v>237</v>
      </c>
      <c r="E156" s="212"/>
      <c r="F156" s="213"/>
      <c r="G156" s="220"/>
      <c r="H156" s="213"/>
      <c r="I156" s="580"/>
    </row>
    <row r="157" spans="1:9" ht="14.25" customHeight="1">
      <c r="A157" s="232"/>
      <c r="B157" s="210"/>
      <c r="C157" s="210"/>
      <c r="D157" s="215"/>
      <c r="E157" s="212"/>
      <c r="F157" s="213"/>
      <c r="G157" s="220"/>
      <c r="H157" s="213"/>
      <c r="I157" s="580"/>
    </row>
    <row r="158" spans="1:9" ht="14.25" customHeight="1" thickBot="1">
      <c r="A158" s="232"/>
      <c r="B158" s="235">
        <v>85220</v>
      </c>
      <c r="C158" s="239"/>
      <c r="D158" s="218" t="s">
        <v>267</v>
      </c>
      <c r="E158" s="236">
        <f>E159</f>
        <v>21112</v>
      </c>
      <c r="F158" s="237">
        <f>F159</f>
        <v>9333</v>
      </c>
      <c r="G158" s="237">
        <f>G159</f>
        <v>44.207086017430846</v>
      </c>
      <c r="H158" s="237">
        <f>H159</f>
        <v>0</v>
      </c>
      <c r="I158" s="691">
        <f>I159</f>
        <v>9333</v>
      </c>
    </row>
    <row r="159" spans="1:9" ht="14.25" customHeight="1">
      <c r="A159" s="232"/>
      <c r="B159" s="210"/>
      <c r="C159" s="211" t="s">
        <v>203</v>
      </c>
      <c r="D159" s="109" t="s">
        <v>198</v>
      </c>
      <c r="E159" s="212">
        <v>21112</v>
      </c>
      <c r="F159" s="213">
        <v>9333</v>
      </c>
      <c r="G159" s="220">
        <f>F159/E159*100</f>
        <v>44.207086017430846</v>
      </c>
      <c r="H159" s="213"/>
      <c r="I159" s="580">
        <f>F159+H159</f>
        <v>9333</v>
      </c>
    </row>
    <row r="160" spans="1:9" ht="14.25" customHeight="1">
      <c r="A160" s="232"/>
      <c r="B160" s="210"/>
      <c r="C160" s="211"/>
      <c r="D160" s="109"/>
      <c r="E160" s="212"/>
      <c r="F160" s="213"/>
      <c r="G160" s="220"/>
      <c r="H160" s="213"/>
      <c r="I160" s="580"/>
    </row>
    <row r="161" spans="1:9" ht="14.25" customHeight="1">
      <c r="A161" s="232"/>
      <c r="B161" s="210"/>
      <c r="C161" s="210"/>
      <c r="D161" s="109"/>
      <c r="E161" s="212"/>
      <c r="F161" s="213"/>
      <c r="G161" s="220"/>
      <c r="H161" s="213"/>
      <c r="I161" s="580"/>
    </row>
    <row r="162" spans="1:9" s="202" customFormat="1" ht="13.5" thickBot="1">
      <c r="A162" s="230">
        <v>853</v>
      </c>
      <c r="B162" s="198"/>
      <c r="C162" s="198"/>
      <c r="D162" s="108" t="s">
        <v>153</v>
      </c>
      <c r="E162" s="246" t="e">
        <f>E163+E167+#REF!</f>
        <v>#REF!</v>
      </c>
      <c r="F162" s="246">
        <f>F163+F167</f>
        <v>426000</v>
      </c>
      <c r="G162" s="246" t="e">
        <f>G163+G167+#REF!</f>
        <v>#REF!</v>
      </c>
      <c r="H162" s="246">
        <f>H163+H167</f>
        <v>0</v>
      </c>
      <c r="I162" s="693">
        <f>I163+I167</f>
        <v>426000</v>
      </c>
    </row>
    <row r="163" spans="1:9" ht="13.5" thickBot="1">
      <c r="A163" s="232"/>
      <c r="B163" s="239">
        <v>85321</v>
      </c>
      <c r="C163" s="239"/>
      <c r="D163" s="218" t="s">
        <v>268</v>
      </c>
      <c r="E163" s="236">
        <f>E164</f>
        <v>332175</v>
      </c>
      <c r="F163" s="208">
        <f>F164</f>
        <v>381000</v>
      </c>
      <c r="G163" s="208">
        <f>G164</f>
        <v>114.69857755701061</v>
      </c>
      <c r="H163" s="208">
        <f>H164</f>
        <v>0</v>
      </c>
      <c r="I163" s="688">
        <f>I164</f>
        <v>381000</v>
      </c>
    </row>
    <row r="164" spans="1:9" ht="12.75">
      <c r="A164" s="232"/>
      <c r="B164" s="210"/>
      <c r="C164" s="210">
        <v>2110</v>
      </c>
      <c r="D164" s="109" t="s">
        <v>210</v>
      </c>
      <c r="E164" s="212">
        <v>332175</v>
      </c>
      <c r="F164" s="213">
        <v>381000</v>
      </c>
      <c r="G164" s="220">
        <f>F164/E164*100</f>
        <v>114.69857755701061</v>
      </c>
      <c r="H164" s="213"/>
      <c r="I164" s="580">
        <f>F164+H164</f>
        <v>381000</v>
      </c>
    </row>
    <row r="165" spans="1:9" ht="12.75">
      <c r="A165" s="232"/>
      <c r="B165" s="210"/>
      <c r="C165" s="210"/>
      <c r="D165" s="214" t="s">
        <v>236</v>
      </c>
      <c r="E165" s="212"/>
      <c r="F165" s="213"/>
      <c r="G165" s="220"/>
      <c r="H165" s="213"/>
      <c r="I165" s="580"/>
    </row>
    <row r="166" spans="1:9" ht="12.75">
      <c r="A166" s="232"/>
      <c r="B166" s="210"/>
      <c r="C166" s="210"/>
      <c r="D166" s="215"/>
      <c r="E166" s="212"/>
      <c r="F166" s="213"/>
      <c r="G166" s="220"/>
      <c r="H166" s="213"/>
      <c r="I166" s="580"/>
    </row>
    <row r="167" spans="1:9" ht="13.5" thickBot="1">
      <c r="A167" s="232"/>
      <c r="B167" s="239">
        <v>85324</v>
      </c>
      <c r="C167" s="239"/>
      <c r="D167" s="218" t="s">
        <v>269</v>
      </c>
      <c r="E167" s="236">
        <f>SUM(E168:E168)</f>
        <v>45000</v>
      </c>
      <c r="F167" s="213">
        <f>SUM(F168:F168)</f>
        <v>45000</v>
      </c>
      <c r="G167" s="237">
        <f>SUM(G168:G168)</f>
        <v>100</v>
      </c>
      <c r="H167" s="213">
        <f>SUM(H168:H168)</f>
        <v>0</v>
      </c>
      <c r="I167" s="580">
        <f>SUM(I168:I168)</f>
        <v>45000</v>
      </c>
    </row>
    <row r="168" spans="1:9" ht="12.75">
      <c r="A168" s="232"/>
      <c r="B168" s="210"/>
      <c r="C168" s="211" t="s">
        <v>219</v>
      </c>
      <c r="D168" s="109" t="s">
        <v>220</v>
      </c>
      <c r="E168" s="212">
        <v>45000</v>
      </c>
      <c r="F168" s="221">
        <v>45000</v>
      </c>
      <c r="G168" s="220">
        <f>F168/E168*100</f>
        <v>100</v>
      </c>
      <c r="H168" s="221"/>
      <c r="I168" s="689">
        <f>F168+H168</f>
        <v>45000</v>
      </c>
    </row>
    <row r="169" spans="1:9" ht="12.75">
      <c r="A169" s="232"/>
      <c r="B169" s="210"/>
      <c r="C169" s="211"/>
      <c r="D169" s="215"/>
      <c r="E169" s="212"/>
      <c r="F169" s="213"/>
      <c r="G169" s="220"/>
      <c r="H169" s="213"/>
      <c r="I169" s="580"/>
    </row>
    <row r="170" spans="1:9" ht="12.75">
      <c r="A170" s="232"/>
      <c r="B170" s="210"/>
      <c r="C170" s="211"/>
      <c r="D170" s="214"/>
      <c r="E170" s="212"/>
      <c r="F170" s="213"/>
      <c r="G170" s="220"/>
      <c r="H170" s="213"/>
      <c r="I170" s="580"/>
    </row>
    <row r="171" spans="1:9" s="202" customFormat="1" ht="14.25" customHeight="1" thickBot="1">
      <c r="A171" s="257">
        <v>854</v>
      </c>
      <c r="B171" s="243"/>
      <c r="C171" s="243"/>
      <c r="D171" s="244" t="s">
        <v>156</v>
      </c>
      <c r="E171" s="256" t="e">
        <f>#REF!+E172+#REF!+E177</f>
        <v>#REF!</v>
      </c>
      <c r="F171" s="246">
        <f>F172+F177</f>
        <v>137083</v>
      </c>
      <c r="G171" s="246" t="e">
        <f>G172+#REF!+G177+#REF!</f>
        <v>#REF!</v>
      </c>
      <c r="H171" s="246">
        <f>H172+H177</f>
        <v>0</v>
      </c>
      <c r="I171" s="693">
        <f>I172+I177</f>
        <v>137083</v>
      </c>
    </row>
    <row r="172" spans="1:9" ht="14.25" customHeight="1" thickBot="1">
      <c r="A172" s="258"/>
      <c r="B172" s="235">
        <v>85410</v>
      </c>
      <c r="C172" s="235"/>
      <c r="D172" s="242" t="s">
        <v>159</v>
      </c>
      <c r="E172" s="236">
        <f>E173+E174</f>
        <v>95110</v>
      </c>
      <c r="F172" s="237">
        <f>F173+F174</f>
        <v>90053</v>
      </c>
      <c r="G172" s="237">
        <f>G173</f>
        <v>87.3357165387446</v>
      </c>
      <c r="H172" s="237">
        <f>H173+H174</f>
        <v>0</v>
      </c>
      <c r="I172" s="691">
        <f>I173+I174</f>
        <v>90053</v>
      </c>
    </row>
    <row r="173" spans="1:9" ht="14.25" customHeight="1">
      <c r="A173" s="258"/>
      <c r="B173" s="229"/>
      <c r="C173" s="248" t="s">
        <v>203</v>
      </c>
      <c r="D173" s="214" t="s">
        <v>198</v>
      </c>
      <c r="E173" s="212">
        <v>95110</v>
      </c>
      <c r="F173" s="213">
        <v>83065</v>
      </c>
      <c r="G173" s="220">
        <f>F173/E173*100</f>
        <v>87.3357165387446</v>
      </c>
      <c r="H173" s="213"/>
      <c r="I173" s="580">
        <f>F173+H173</f>
        <v>83065</v>
      </c>
    </row>
    <row r="174" spans="1:9" ht="14.25" customHeight="1">
      <c r="A174" s="258"/>
      <c r="B174" s="229"/>
      <c r="C174" s="211" t="s">
        <v>450</v>
      </c>
      <c r="D174" s="109" t="s">
        <v>444</v>
      </c>
      <c r="E174" s="212">
        <v>0</v>
      </c>
      <c r="F174" s="213">
        <v>6988</v>
      </c>
      <c r="G174" s="220"/>
      <c r="H174" s="213"/>
      <c r="I174" s="580">
        <f>F174+H174</f>
        <v>6988</v>
      </c>
    </row>
    <row r="175" spans="1:9" ht="14.25" customHeight="1">
      <c r="A175" s="258"/>
      <c r="B175" s="229"/>
      <c r="C175" s="211"/>
      <c r="D175" s="109" t="s">
        <v>445</v>
      </c>
      <c r="E175" s="212"/>
      <c r="F175" s="213"/>
      <c r="G175" s="220"/>
      <c r="H175" s="213"/>
      <c r="I175" s="580"/>
    </row>
    <row r="176" spans="1:9" ht="14.25" customHeight="1">
      <c r="A176" s="258"/>
      <c r="B176" s="229"/>
      <c r="C176" s="247"/>
      <c r="D176" s="214"/>
      <c r="E176" s="212"/>
      <c r="F176" s="213"/>
      <c r="G176" s="220"/>
      <c r="H176" s="213"/>
      <c r="I176" s="580"/>
    </row>
    <row r="177" spans="1:9" ht="14.25" customHeight="1" thickBot="1">
      <c r="A177" s="258"/>
      <c r="B177" s="235">
        <v>85420</v>
      </c>
      <c r="C177" s="239"/>
      <c r="D177" s="218" t="s">
        <v>163</v>
      </c>
      <c r="E177" s="236">
        <f>SUM(E178:E181)</f>
        <v>47030</v>
      </c>
      <c r="F177" s="237">
        <f>SUM(F178:F181)</f>
        <v>47030</v>
      </c>
      <c r="G177" s="237">
        <f>SUM(G179:G181)</f>
        <v>200</v>
      </c>
      <c r="H177" s="237">
        <f>SUM(H178:H181)</f>
        <v>0</v>
      </c>
      <c r="I177" s="691">
        <f>SUM(I178:I181)</f>
        <v>47030</v>
      </c>
    </row>
    <row r="178" spans="1:9" ht="14.25" customHeight="1">
      <c r="A178" s="258"/>
      <c r="B178" s="247"/>
      <c r="C178" s="211" t="s">
        <v>217</v>
      </c>
      <c r="D178" s="109" t="s">
        <v>218</v>
      </c>
      <c r="E178" s="212">
        <v>30</v>
      </c>
      <c r="F178" s="213">
        <v>30</v>
      </c>
      <c r="G178" s="220"/>
      <c r="H178" s="213"/>
      <c r="I178" s="580">
        <f>F178+H178</f>
        <v>30</v>
      </c>
    </row>
    <row r="179" spans="1:9" ht="14.25" customHeight="1">
      <c r="A179" s="258"/>
      <c r="B179" s="247"/>
      <c r="C179" s="211" t="s">
        <v>212</v>
      </c>
      <c r="D179" s="457" t="s">
        <v>213</v>
      </c>
      <c r="E179" s="212">
        <v>18000</v>
      </c>
      <c r="F179" s="213">
        <v>18000</v>
      </c>
      <c r="G179" s="220">
        <f>F179/E179*100</f>
        <v>100</v>
      </c>
      <c r="H179" s="213"/>
      <c r="I179" s="580">
        <f>F179+H179</f>
        <v>18000</v>
      </c>
    </row>
    <row r="180" spans="1:9" ht="14.25" customHeight="1">
      <c r="A180" s="258"/>
      <c r="B180" s="247"/>
      <c r="C180" s="211"/>
      <c r="D180" s="457" t="s">
        <v>447</v>
      </c>
      <c r="E180" s="212"/>
      <c r="F180" s="213"/>
      <c r="G180" s="220"/>
      <c r="H180" s="213"/>
      <c r="I180" s="580"/>
    </row>
    <row r="181" spans="1:9" ht="14.25" customHeight="1">
      <c r="A181" s="258"/>
      <c r="B181" s="229"/>
      <c r="C181" s="211" t="s">
        <v>203</v>
      </c>
      <c r="D181" s="109" t="s">
        <v>198</v>
      </c>
      <c r="E181" s="212">
        <v>29000</v>
      </c>
      <c r="F181" s="213">
        <v>29000</v>
      </c>
      <c r="G181" s="220">
        <f>F181/E181*100</f>
        <v>100</v>
      </c>
      <c r="H181" s="213"/>
      <c r="I181" s="580">
        <f>F181+H181</f>
        <v>29000</v>
      </c>
    </row>
    <row r="182" spans="1:9" ht="14.25" customHeight="1">
      <c r="A182" s="258"/>
      <c r="B182" s="229"/>
      <c r="C182" s="211"/>
      <c r="D182" s="109"/>
      <c r="E182" s="212"/>
      <c r="F182" s="213"/>
      <c r="G182" s="220"/>
      <c r="H182" s="213"/>
      <c r="I182" s="580"/>
    </row>
    <row r="183" spans="1:9" ht="14.25" customHeight="1" thickBot="1">
      <c r="A183" s="257">
        <v>921</v>
      </c>
      <c r="B183" s="243"/>
      <c r="C183" s="231"/>
      <c r="D183" s="108" t="s">
        <v>164</v>
      </c>
      <c r="E183" s="200">
        <f>E184</f>
        <v>0</v>
      </c>
      <c r="F183" s="223">
        <f>F184</f>
        <v>1000</v>
      </c>
      <c r="G183" s="220"/>
      <c r="H183" s="223">
        <f>H184</f>
        <v>0</v>
      </c>
      <c r="I183" s="690">
        <f>I184</f>
        <v>1000</v>
      </c>
    </row>
    <row r="184" spans="1:9" ht="14.25" customHeight="1">
      <c r="A184" s="258"/>
      <c r="B184" s="451">
        <v>92116</v>
      </c>
      <c r="C184" s="464"/>
      <c r="D184" s="452" t="s">
        <v>166</v>
      </c>
      <c r="E184" s="453">
        <f>E185</f>
        <v>0</v>
      </c>
      <c r="F184" s="454">
        <f>F185</f>
        <v>1000</v>
      </c>
      <c r="G184" s="220"/>
      <c r="H184" s="454">
        <f>H185</f>
        <v>0</v>
      </c>
      <c r="I184" s="697">
        <f>I185</f>
        <v>1000</v>
      </c>
    </row>
    <row r="185" spans="1:9" ht="14.25" customHeight="1">
      <c r="A185" s="258"/>
      <c r="B185" s="229"/>
      <c r="C185" s="211" t="s">
        <v>500</v>
      </c>
      <c r="D185" s="109" t="s">
        <v>355</v>
      </c>
      <c r="E185" s="212">
        <v>0</v>
      </c>
      <c r="F185" s="213">
        <v>1000</v>
      </c>
      <c r="G185" s="220"/>
      <c r="H185" s="213"/>
      <c r="I185" s="580">
        <f>F185+H185</f>
        <v>1000</v>
      </c>
    </row>
    <row r="186" spans="1:9" ht="14.25" customHeight="1">
      <c r="A186" s="258"/>
      <c r="B186" s="229"/>
      <c r="C186" s="211"/>
      <c r="D186" s="109" t="s">
        <v>356</v>
      </c>
      <c r="E186" s="212"/>
      <c r="F186" s="213"/>
      <c r="G186" s="220"/>
      <c r="H186" s="213"/>
      <c r="I186" s="580"/>
    </row>
    <row r="187" spans="1:9" ht="14.25" customHeight="1">
      <c r="A187" s="258"/>
      <c r="B187" s="229"/>
      <c r="C187" s="211"/>
      <c r="D187" s="109"/>
      <c r="E187" s="212"/>
      <c r="F187" s="213"/>
      <c r="G187" s="220"/>
      <c r="H187" s="213"/>
      <c r="I187" s="580"/>
    </row>
    <row r="188" spans="1:9" ht="13.5" customHeight="1" thickBot="1">
      <c r="A188" s="258"/>
      <c r="B188" s="229"/>
      <c r="C188" s="211"/>
      <c r="D188" s="109"/>
      <c r="E188" s="212"/>
      <c r="F188" s="213"/>
      <c r="G188" s="220"/>
      <c r="H188" s="213"/>
      <c r="I188" s="580"/>
    </row>
    <row r="189" spans="1:9" s="202" customFormat="1" ht="13.5" thickBot="1">
      <c r="A189" s="773" t="s">
        <v>270</v>
      </c>
      <c r="B189" s="774"/>
      <c r="C189" s="774"/>
      <c r="D189" s="775"/>
      <c r="E189" s="260" t="e">
        <f>E171+E162+E130+E119+E103+E90+E84+E60+E47+E32+E25+E21+E12+#REF!+#REF!+#REF!+E183</f>
        <v>#REF!</v>
      </c>
      <c r="F189" s="260">
        <f>F171+F162+F130+F119+F103+F90+F84+F60+F47+F32+F25+F21+F12+F183</f>
        <v>33909752</v>
      </c>
      <c r="G189" s="260" t="e">
        <f>G171+G162+G130+G119+G103+G90+G84+G60+G47+G32+G25+G21+G12+#REF!+#REF!+#REF!</f>
        <v>#REF!</v>
      </c>
      <c r="H189" s="260">
        <f>H171+H162+H130+H119+H103+H90+H84+H60+H47+H32+H25+H21+H12+H183</f>
        <v>-493649</v>
      </c>
      <c r="I189" s="698">
        <f>I171+I162+I130+I119+I103+I90+I84+I60+I47+I32+I25+I21+I12+I183</f>
        <v>33416103</v>
      </c>
    </row>
    <row r="190" spans="1:9" s="202" customFormat="1" ht="12.75">
      <c r="A190" s="768" t="s">
        <v>465</v>
      </c>
      <c r="B190" s="769"/>
      <c r="C190" s="769"/>
      <c r="D190" s="770"/>
      <c r="E190" s="421" t="e">
        <f>SUM(E191:E197)</f>
        <v>#REF!</v>
      </c>
      <c r="F190" s="421">
        <f>SUM(F191:F197)</f>
        <v>32567452</v>
      </c>
      <c r="G190" s="421" t="e">
        <f>SUM(G191:G193)</f>
        <v>#REF!</v>
      </c>
      <c r="H190" s="747">
        <f>SUM(H191:H197)</f>
        <v>-418649</v>
      </c>
      <c r="I190" s="699">
        <f>SUM(I191:I197)</f>
        <v>32148803</v>
      </c>
    </row>
    <row r="191" spans="1:9" s="202" customFormat="1" ht="12.75">
      <c r="A191" s="762" t="s">
        <v>474</v>
      </c>
      <c r="B191" s="763"/>
      <c r="C191" s="763"/>
      <c r="D191" s="764"/>
      <c r="E191" s="416">
        <f>E87+E88</f>
        <v>3561796</v>
      </c>
      <c r="F191" s="416">
        <f>F87+F88</f>
        <v>3934498</v>
      </c>
      <c r="G191" s="416">
        <f>G87+G88</f>
        <v>210.76614566542915</v>
      </c>
      <c r="H191" s="748">
        <f>H87+H88</f>
        <v>0</v>
      </c>
      <c r="I191" s="700">
        <f>F191+H191</f>
        <v>3934498</v>
      </c>
    </row>
    <row r="192" spans="1:9" s="202" customFormat="1" ht="12.75">
      <c r="A192" s="762" t="s">
        <v>475</v>
      </c>
      <c r="B192" s="763"/>
      <c r="C192" s="763"/>
      <c r="D192" s="764"/>
      <c r="E192" s="416">
        <f>E92+E95+E101</f>
        <v>18822295</v>
      </c>
      <c r="F192" s="416">
        <f>F92+F95+F101</f>
        <v>20026170</v>
      </c>
      <c r="G192" s="416" t="e">
        <f>G40+G37+G34+G28+G18+G179+#REF!+#REF!+#REF!+G68</f>
        <v>#REF!</v>
      </c>
      <c r="H192" s="748">
        <f>H92+H95+H101</f>
        <v>-245108</v>
      </c>
      <c r="I192" s="700">
        <f aca="true" t="shared" si="4" ref="I192:I197">F192+H192</f>
        <v>19781062</v>
      </c>
    </row>
    <row r="193" spans="1:9" s="202" customFormat="1" ht="12.75">
      <c r="A193" s="762" t="s">
        <v>479</v>
      </c>
      <c r="B193" s="763"/>
      <c r="C193" s="763"/>
      <c r="D193" s="764"/>
      <c r="E193" s="416" t="e">
        <f>E14+E42+E49+E53+E57+E62+E77+#REF!+E127+E155+E164+E146</f>
        <v>#REF!</v>
      </c>
      <c r="F193" s="416">
        <f>F14+F42+F49+F53+F57+F62+F77+F127+F155+F164+F146</f>
        <v>1409575</v>
      </c>
      <c r="G193" s="416" t="e">
        <f>G189-G191-G192-G198-#REF!-#REF!</f>
        <v>#REF!</v>
      </c>
      <c r="H193" s="748">
        <f>H14+H42+H49+H53+H57+H62+H77+H127+H155+H164+H146</f>
        <v>0</v>
      </c>
      <c r="I193" s="700">
        <f t="shared" si="4"/>
        <v>1409575</v>
      </c>
    </row>
    <row r="194" spans="1:9" s="202" customFormat="1" ht="12.75">
      <c r="A194" s="762" t="s">
        <v>478</v>
      </c>
      <c r="B194" s="763"/>
      <c r="C194" s="763"/>
      <c r="D194" s="764"/>
      <c r="E194" s="416" t="e">
        <f>#REF!+E142+#REF!+#REF!+#REF!</f>
        <v>#REF!</v>
      </c>
      <c r="F194" s="416">
        <f>F142</f>
        <v>2269000</v>
      </c>
      <c r="G194" s="416" t="e">
        <f>G190-G192-G193-G199-#REF!-#REF!</f>
        <v>#REF!</v>
      </c>
      <c r="H194" s="748">
        <f>H142</f>
        <v>0</v>
      </c>
      <c r="I194" s="700">
        <f t="shared" si="4"/>
        <v>2269000</v>
      </c>
    </row>
    <row r="195" spans="1:9" s="202" customFormat="1" ht="12.75">
      <c r="A195" s="762" t="s">
        <v>476</v>
      </c>
      <c r="B195" s="763"/>
      <c r="C195" s="763"/>
      <c r="D195" s="764"/>
      <c r="E195" s="416" t="e">
        <f>E122+E136+E150+#REF!+#REF!+#REF!+#REF!+#REF!+E185</f>
        <v>#REF!</v>
      </c>
      <c r="F195" s="416">
        <f>F122+F136+F150+F185</f>
        <v>458752</v>
      </c>
      <c r="G195" s="416" t="e">
        <f>G191-G193-G194-G200-#REF!-#REF!</f>
        <v>#REF!</v>
      </c>
      <c r="H195" s="748">
        <f>H122+H136+H150+H185</f>
        <v>-10000</v>
      </c>
      <c r="I195" s="700">
        <f t="shared" si="4"/>
        <v>448752</v>
      </c>
    </row>
    <row r="196" spans="1:9" s="202" customFormat="1" ht="12.75">
      <c r="A196" s="762" t="s">
        <v>490</v>
      </c>
      <c r="B196" s="763"/>
      <c r="C196" s="763"/>
      <c r="D196" s="764"/>
      <c r="E196" s="416" t="e">
        <f>#REF!+#REF!+E134+#REF!</f>
        <v>#REF!</v>
      </c>
      <c r="F196" s="416">
        <f>F134</f>
        <v>0</v>
      </c>
      <c r="G196" s="416" t="e">
        <f>G192-G194-G195-G201-#REF!-#REF!</f>
        <v>#REF!</v>
      </c>
      <c r="H196" s="748">
        <f>H134</f>
        <v>0</v>
      </c>
      <c r="I196" s="700">
        <f t="shared" si="4"/>
        <v>0</v>
      </c>
    </row>
    <row r="197" spans="1:9" s="202" customFormat="1" ht="13.5" thickBot="1">
      <c r="A197" s="765" t="s">
        <v>271</v>
      </c>
      <c r="B197" s="766"/>
      <c r="C197" s="766"/>
      <c r="D197" s="767"/>
      <c r="E197" s="416" t="e">
        <f>E189-E191-E192-E193-E194-E195-E198-E196</f>
        <v>#REF!</v>
      </c>
      <c r="F197" s="416">
        <f>F189-F191-F192-F193-F194-F195-F198-F196</f>
        <v>4469457</v>
      </c>
      <c r="G197" s="416" t="e">
        <f>G193-G195-G196-G202-#REF!-#REF!</f>
        <v>#REF!</v>
      </c>
      <c r="H197" s="748">
        <f>H189-H191-H192-H193-H194-H195-H198-H196</f>
        <v>-163541</v>
      </c>
      <c r="I197" s="709">
        <f t="shared" si="4"/>
        <v>4305916</v>
      </c>
    </row>
    <row r="198" spans="1:9" ht="12.75">
      <c r="A198" s="756" t="s">
        <v>466</v>
      </c>
      <c r="B198" s="757"/>
      <c r="C198" s="757"/>
      <c r="D198" s="758"/>
      <c r="E198" s="417" t="e">
        <f>SUM(E199:E202)</f>
        <v>#REF!</v>
      </c>
      <c r="F198" s="417">
        <f>SUM(F199:F202)</f>
        <v>1342300</v>
      </c>
      <c r="G198" s="417" t="e">
        <f>SUM(G199:G202)</f>
        <v>#REF!</v>
      </c>
      <c r="H198" s="749">
        <f>SUM(H199:H202)</f>
        <v>-75000</v>
      </c>
      <c r="I198" s="700">
        <f>F198+H198</f>
        <v>1267300</v>
      </c>
    </row>
    <row r="199" spans="1:9" ht="12.75">
      <c r="A199" s="759" t="s">
        <v>477</v>
      </c>
      <c r="B199" s="760"/>
      <c r="C199" s="760"/>
      <c r="D199" s="761"/>
      <c r="E199" s="418" t="e">
        <f>#REF!</f>
        <v>#REF!</v>
      </c>
      <c r="F199" s="418">
        <v>0</v>
      </c>
      <c r="G199" s="418" t="e">
        <f>G142+#REF!+#REF!+#REF!</f>
        <v>#REF!</v>
      </c>
      <c r="H199" s="750">
        <v>0</v>
      </c>
      <c r="I199" s="701">
        <f>F199+H199</f>
        <v>0</v>
      </c>
    </row>
    <row r="200" spans="1:9" ht="12.75">
      <c r="A200" s="759" t="s">
        <v>485</v>
      </c>
      <c r="B200" s="760"/>
      <c r="C200" s="760"/>
      <c r="D200" s="761"/>
      <c r="E200" s="419" t="e">
        <f>#REF!+#REF!+E40</f>
        <v>#REF!</v>
      </c>
      <c r="F200" s="419">
        <f>F40</f>
        <v>1342300</v>
      </c>
      <c r="G200" s="419" t="e">
        <f>G146+G127+G77+G62+G57+G53+G49+G42+G14+G164+#REF!+G155</f>
        <v>#REF!</v>
      </c>
      <c r="H200" s="751">
        <f>H40</f>
        <v>-75000</v>
      </c>
      <c r="I200" s="702">
        <f>F200+H200</f>
        <v>1267300</v>
      </c>
    </row>
    <row r="201" spans="1:9" ht="12.75">
      <c r="A201" s="759" t="s">
        <v>467</v>
      </c>
      <c r="B201" s="760"/>
      <c r="C201" s="760"/>
      <c r="D201" s="761"/>
      <c r="E201" s="419">
        <v>0</v>
      </c>
      <c r="F201" s="419">
        <v>0</v>
      </c>
      <c r="G201" s="419" t="e">
        <f>G150+G122+G136+#REF!+#REF!+#REF!+#REF!+#REF!+#REF!</f>
        <v>#REF!</v>
      </c>
      <c r="H201" s="751">
        <v>0</v>
      </c>
      <c r="I201" s="702">
        <f>F201+H201</f>
        <v>0</v>
      </c>
    </row>
    <row r="202" spans="1:9" ht="13.5" thickBot="1">
      <c r="A202" s="753" t="s">
        <v>486</v>
      </c>
      <c r="B202" s="754"/>
      <c r="C202" s="754"/>
      <c r="D202" s="755"/>
      <c r="E202" s="420"/>
      <c r="F202" s="420"/>
      <c r="G202" s="420"/>
      <c r="H202" s="752"/>
      <c r="I202" s="703"/>
    </row>
    <row r="203" spans="1:5" ht="12.75">
      <c r="A203" s="81"/>
      <c r="B203" s="81"/>
      <c r="C203" s="123"/>
      <c r="D203" s="81"/>
      <c r="E203" s="81"/>
    </row>
    <row r="204" spans="1:5" ht="12.75">
      <c r="A204" s="81"/>
      <c r="B204" s="81"/>
      <c r="C204" s="123"/>
      <c r="D204" s="81"/>
      <c r="E204" s="81"/>
    </row>
    <row r="205" spans="1:5" ht="12.75">
      <c r="A205" s="81"/>
      <c r="B205" s="81"/>
      <c r="C205" s="123"/>
      <c r="D205" s="81"/>
      <c r="E205" s="80"/>
    </row>
    <row r="206" spans="1:5" ht="12.75">
      <c r="A206" s="81"/>
      <c r="B206" s="81"/>
      <c r="C206" s="123"/>
      <c r="D206" s="81"/>
      <c r="E206" s="81"/>
    </row>
    <row r="207" spans="1:5" ht="12.75">
      <c r="A207" s="81"/>
      <c r="B207" s="81"/>
      <c r="C207" s="123"/>
      <c r="D207" s="81"/>
      <c r="E207" s="81"/>
    </row>
    <row r="208" spans="1:5" ht="12.75">
      <c r="A208" s="81"/>
      <c r="B208" s="81"/>
      <c r="C208" s="123"/>
      <c r="D208" s="81"/>
      <c r="E208" s="81"/>
    </row>
    <row r="209" spans="1:5" ht="12.75">
      <c r="A209" s="81"/>
      <c r="B209" s="81"/>
      <c r="C209" s="123"/>
      <c r="D209" s="81"/>
      <c r="E209" s="81"/>
    </row>
    <row r="210" spans="1:5" ht="12.75">
      <c r="A210" s="81"/>
      <c r="B210" s="81"/>
      <c r="C210" s="123"/>
      <c r="D210" s="81"/>
      <c r="E210" s="81"/>
    </row>
    <row r="211" spans="1:5" ht="12.75">
      <c r="A211" s="81"/>
      <c r="B211" s="81"/>
      <c r="C211" s="123"/>
      <c r="D211" s="81"/>
      <c r="E211" s="81"/>
    </row>
    <row r="212" spans="1:5" ht="12.75">
      <c r="A212" s="81"/>
      <c r="B212" s="81"/>
      <c r="C212" s="123"/>
      <c r="D212" s="81"/>
      <c r="E212" s="81"/>
    </row>
    <row r="213" spans="1:5" ht="12.75">
      <c r="A213" s="81"/>
      <c r="B213" s="81"/>
      <c r="C213" s="123"/>
      <c r="D213" s="81"/>
      <c r="E213" s="81"/>
    </row>
    <row r="214" spans="1:5" ht="12.75">
      <c r="A214" s="81"/>
      <c r="B214" s="81"/>
      <c r="C214" s="123"/>
      <c r="D214" s="81"/>
      <c r="E214" s="81"/>
    </row>
    <row r="215" spans="1:5" ht="12.75">
      <c r="A215" s="81"/>
      <c r="B215" s="81"/>
      <c r="C215" s="123"/>
      <c r="D215" s="81"/>
      <c r="E215" s="81"/>
    </row>
    <row r="216" spans="1:5" ht="12.75">
      <c r="A216" s="81"/>
      <c r="B216" s="81"/>
      <c r="C216" s="123"/>
      <c r="D216" s="81"/>
      <c r="E216" s="81"/>
    </row>
    <row r="217" spans="1:5" ht="12.75">
      <c r="A217" s="81"/>
      <c r="B217" s="81"/>
      <c r="C217" s="123"/>
      <c r="D217" s="81"/>
      <c r="E217" s="81"/>
    </row>
    <row r="218" spans="1:5" ht="12.75">
      <c r="A218" s="81"/>
      <c r="B218" s="81"/>
      <c r="C218" s="123"/>
      <c r="D218" s="81"/>
      <c r="E218" s="81"/>
    </row>
    <row r="219" spans="1:5" ht="12.75">
      <c r="A219" s="81"/>
      <c r="B219" s="81"/>
      <c r="C219" s="123"/>
      <c r="D219" s="81"/>
      <c r="E219" s="81"/>
    </row>
    <row r="220" spans="1:5" ht="12.75">
      <c r="A220" s="81"/>
      <c r="B220" s="81"/>
      <c r="C220" s="123"/>
      <c r="D220" s="81"/>
      <c r="E220" s="81"/>
    </row>
    <row r="221" spans="1:5" ht="12.75">
      <c r="A221" s="81"/>
      <c r="B221" s="81"/>
      <c r="C221" s="123"/>
      <c r="D221" s="81"/>
      <c r="E221" s="81"/>
    </row>
    <row r="222" spans="1:5" ht="12.75">
      <c r="A222" s="81"/>
      <c r="B222" s="81"/>
      <c r="C222" s="123"/>
      <c r="D222" s="81"/>
      <c r="E222" s="81"/>
    </row>
    <row r="223" spans="1:5" ht="12.75">
      <c r="A223" s="81"/>
      <c r="B223" s="81"/>
      <c r="C223" s="123"/>
      <c r="D223" s="81"/>
      <c r="E223" s="81"/>
    </row>
    <row r="224" spans="1:5" ht="12.75">
      <c r="A224" s="81"/>
      <c r="B224" s="81"/>
      <c r="C224" s="123"/>
      <c r="D224" s="81"/>
      <c r="E224" s="81"/>
    </row>
    <row r="225" spans="1:5" ht="12.75">
      <c r="A225" s="81"/>
      <c r="B225" s="81"/>
      <c r="C225" s="123"/>
      <c r="D225" s="81"/>
      <c r="E225" s="81"/>
    </row>
    <row r="226" spans="1:5" ht="12.75">
      <c r="A226" s="81"/>
      <c r="B226" s="81"/>
      <c r="C226" s="123"/>
      <c r="D226" s="81"/>
      <c r="E226" s="81"/>
    </row>
    <row r="227" spans="1:5" ht="12.75">
      <c r="A227" s="81"/>
      <c r="B227" s="81"/>
      <c r="C227" s="123"/>
      <c r="D227" s="81"/>
      <c r="E227" s="81"/>
    </row>
    <row r="228" spans="1:5" ht="12.75">
      <c r="A228" s="81"/>
      <c r="B228" s="81"/>
      <c r="C228" s="123"/>
      <c r="D228" s="81"/>
      <c r="E228" s="81"/>
    </row>
    <row r="229" spans="1:5" ht="12.75">
      <c r="A229" s="81"/>
      <c r="B229" s="81"/>
      <c r="C229" s="123"/>
      <c r="D229" s="81"/>
      <c r="E229" s="81"/>
    </row>
    <row r="230" spans="1:5" ht="12.75">
      <c r="A230" s="81"/>
      <c r="B230" s="81"/>
      <c r="C230" s="123"/>
      <c r="D230" s="81"/>
      <c r="E230" s="81"/>
    </row>
    <row r="231" spans="1:5" ht="12.75">
      <c r="A231" s="81"/>
      <c r="B231" s="81"/>
      <c r="C231" s="123"/>
      <c r="D231" s="81"/>
      <c r="E231" s="81"/>
    </row>
    <row r="232" spans="1:5" ht="12.75">
      <c r="A232" s="81"/>
      <c r="B232" s="81"/>
      <c r="C232" s="123"/>
      <c r="D232" s="81"/>
      <c r="E232" s="81"/>
    </row>
    <row r="233" spans="1:5" ht="12.75">
      <c r="A233" s="81"/>
      <c r="B233" s="81"/>
      <c r="C233" s="123"/>
      <c r="D233" s="81"/>
      <c r="E233" s="81"/>
    </row>
    <row r="234" spans="1:5" ht="12.75">
      <c r="A234" s="81"/>
      <c r="B234" s="81"/>
      <c r="C234" s="123"/>
      <c r="D234" s="81"/>
      <c r="E234" s="81"/>
    </row>
    <row r="235" spans="1:5" ht="12.75">
      <c r="A235" s="81"/>
      <c r="B235" s="81"/>
      <c r="C235" s="123"/>
      <c r="D235" s="81"/>
      <c r="E235" s="81"/>
    </row>
    <row r="236" spans="1:5" ht="12.75">
      <c r="A236" s="81"/>
      <c r="B236" s="81"/>
      <c r="C236" s="123"/>
      <c r="D236" s="81"/>
      <c r="E236" s="81"/>
    </row>
    <row r="237" spans="1:5" ht="12.75">
      <c r="A237" s="81"/>
      <c r="B237" s="81"/>
      <c r="C237" s="123"/>
      <c r="D237" s="81"/>
      <c r="E237" s="81"/>
    </row>
    <row r="238" spans="1:5" ht="12.75">
      <c r="A238" s="81"/>
      <c r="B238" s="81"/>
      <c r="C238" s="123"/>
      <c r="D238" s="81"/>
      <c r="E238" s="81"/>
    </row>
    <row r="239" spans="1:5" ht="12.75">
      <c r="A239" s="81"/>
      <c r="B239" s="81"/>
      <c r="C239" s="123"/>
      <c r="D239" s="81"/>
      <c r="E239" s="81"/>
    </row>
    <row r="240" spans="1:5" ht="12.75">
      <c r="A240" s="81"/>
      <c r="B240" s="81"/>
      <c r="C240" s="123"/>
      <c r="D240" s="81"/>
      <c r="E240" s="81"/>
    </row>
    <row r="241" spans="1:5" ht="12.75">
      <c r="A241" s="81"/>
      <c r="B241" s="81"/>
      <c r="C241" s="123"/>
      <c r="D241" s="81"/>
      <c r="E241" s="81"/>
    </row>
    <row r="242" spans="1:5" ht="12.75">
      <c r="A242" s="81"/>
      <c r="B242" s="81"/>
      <c r="C242" s="123"/>
      <c r="D242" s="81"/>
      <c r="E242" s="81"/>
    </row>
    <row r="243" spans="1:5" ht="12.75">
      <c r="A243" s="81"/>
      <c r="B243" s="81"/>
      <c r="C243" s="123"/>
      <c r="D243" s="81"/>
      <c r="E243" s="81"/>
    </row>
    <row r="244" spans="1:5" ht="12.75">
      <c r="A244" s="81"/>
      <c r="B244" s="81"/>
      <c r="C244" s="123"/>
      <c r="D244" s="81"/>
      <c r="E244" s="81"/>
    </row>
    <row r="245" spans="1:5" ht="12.75">
      <c r="A245" s="81"/>
      <c r="B245" s="81"/>
      <c r="C245" s="123"/>
      <c r="D245" s="81"/>
      <c r="E245" s="81"/>
    </row>
    <row r="246" spans="1:5" ht="12.75">
      <c r="A246" s="81"/>
      <c r="B246" s="81"/>
      <c r="C246" s="123"/>
      <c r="D246" s="81"/>
      <c r="E246" s="81"/>
    </row>
    <row r="247" spans="1:5" ht="12.75">
      <c r="A247" s="81"/>
      <c r="B247" s="81"/>
      <c r="C247" s="123"/>
      <c r="D247" s="81"/>
      <c r="E247" s="81"/>
    </row>
    <row r="248" spans="1:5" ht="12.75">
      <c r="A248" s="81"/>
      <c r="B248" s="81"/>
      <c r="C248" s="123"/>
      <c r="D248" s="81"/>
      <c r="E248" s="81"/>
    </row>
    <row r="249" spans="1:5" ht="12.75">
      <c r="A249" s="81"/>
      <c r="B249" s="81"/>
      <c r="C249" s="123"/>
      <c r="D249" s="81"/>
      <c r="E249" s="81"/>
    </row>
    <row r="250" spans="1:5" ht="12.75">
      <c r="A250" s="81"/>
      <c r="B250" s="81"/>
      <c r="C250" s="123"/>
      <c r="D250" s="81"/>
      <c r="E250" s="81"/>
    </row>
    <row r="251" spans="1:5" ht="12.75">
      <c r="A251" s="81"/>
      <c r="B251" s="81"/>
      <c r="C251" s="123"/>
      <c r="D251" s="81"/>
      <c r="E251" s="81"/>
    </row>
    <row r="252" spans="1:5" ht="12.75">
      <c r="A252" s="81"/>
      <c r="B252" s="81"/>
      <c r="C252" s="123"/>
      <c r="D252" s="81"/>
      <c r="E252" s="81"/>
    </row>
    <row r="253" spans="1:5" ht="12.75">
      <c r="A253" s="81"/>
      <c r="B253" s="81"/>
      <c r="C253" s="123"/>
      <c r="D253" s="81"/>
      <c r="E253" s="81"/>
    </row>
    <row r="254" spans="1:5" ht="12.75">
      <c r="A254" s="81"/>
      <c r="B254" s="81"/>
      <c r="C254" s="123"/>
      <c r="D254" s="81"/>
      <c r="E254" s="81"/>
    </row>
    <row r="255" spans="1:5" ht="12.75">
      <c r="A255" s="81"/>
      <c r="B255" s="81"/>
      <c r="C255" s="123"/>
      <c r="D255" s="81"/>
      <c r="E255" s="81"/>
    </row>
    <row r="256" spans="1:5" ht="12.75">
      <c r="A256" s="81"/>
      <c r="B256" s="81"/>
      <c r="C256" s="123"/>
      <c r="D256" s="81"/>
      <c r="E256" s="81"/>
    </row>
    <row r="257" spans="1:5" ht="12.75">
      <c r="A257" s="81"/>
      <c r="B257" s="81"/>
      <c r="C257" s="123"/>
      <c r="D257" s="81"/>
      <c r="E257" s="81"/>
    </row>
    <row r="258" spans="1:5" ht="12.75">
      <c r="A258" s="81"/>
      <c r="B258" s="81"/>
      <c r="C258" s="123"/>
      <c r="D258" s="81"/>
      <c r="E258" s="81"/>
    </row>
    <row r="259" spans="1:5" ht="12.75">
      <c r="A259" s="81"/>
      <c r="B259" s="81"/>
      <c r="C259" s="123"/>
      <c r="D259" s="81"/>
      <c r="E259" s="81"/>
    </row>
    <row r="260" spans="1:5" ht="12.75">
      <c r="A260" s="81"/>
      <c r="B260" s="81"/>
      <c r="C260" s="123"/>
      <c r="D260" s="81"/>
      <c r="E260" s="81"/>
    </row>
    <row r="261" spans="1:5" ht="12.75">
      <c r="A261" s="81"/>
      <c r="B261" s="81"/>
      <c r="C261" s="123"/>
      <c r="D261" s="81"/>
      <c r="E261" s="81"/>
    </row>
    <row r="262" spans="1:5" ht="12.75">
      <c r="A262" s="81"/>
      <c r="B262" s="81"/>
      <c r="C262" s="123"/>
      <c r="D262" s="81"/>
      <c r="E262" s="81"/>
    </row>
    <row r="263" spans="1:5" ht="12.75">
      <c r="A263" s="81"/>
      <c r="B263" s="81"/>
      <c r="C263" s="123"/>
      <c r="D263" s="81"/>
      <c r="E263" s="81"/>
    </row>
    <row r="264" spans="1:5" ht="12.75">
      <c r="A264" s="81"/>
      <c r="B264" s="81"/>
      <c r="C264" s="123"/>
      <c r="D264" s="81"/>
      <c r="E264" s="81"/>
    </row>
    <row r="265" spans="1:5" ht="12.75">
      <c r="A265" s="81"/>
      <c r="B265" s="81"/>
      <c r="C265" s="123"/>
      <c r="D265" s="81"/>
      <c r="E265" s="81"/>
    </row>
    <row r="266" spans="1:5" ht="12.75">
      <c r="A266" s="81"/>
      <c r="B266" s="81"/>
      <c r="C266" s="123"/>
      <c r="D266" s="81"/>
      <c r="E266" s="81"/>
    </row>
    <row r="267" spans="1:5" ht="12.75">
      <c r="A267" s="81"/>
      <c r="B267" s="81"/>
      <c r="C267" s="123"/>
      <c r="D267" s="81"/>
      <c r="E267" s="81"/>
    </row>
    <row r="268" spans="1:5" ht="12.75">
      <c r="A268" s="81"/>
      <c r="B268" s="81"/>
      <c r="C268" s="123"/>
      <c r="D268" s="81"/>
      <c r="E268" s="81"/>
    </row>
    <row r="269" spans="1:5" ht="12.75">
      <c r="A269" s="81"/>
      <c r="B269" s="81"/>
      <c r="C269" s="123"/>
      <c r="D269" s="81"/>
      <c r="E269" s="81"/>
    </row>
    <row r="270" spans="1:5" ht="12.75">
      <c r="A270" s="81"/>
      <c r="B270" s="81"/>
      <c r="C270" s="123"/>
      <c r="D270" s="81"/>
      <c r="E270" s="81"/>
    </row>
    <row r="271" spans="1:5" ht="12.75">
      <c r="A271" s="81"/>
      <c r="B271" s="81"/>
      <c r="C271" s="123"/>
      <c r="D271" s="81"/>
      <c r="E271" s="81"/>
    </row>
    <row r="272" spans="1:5" ht="12.75">
      <c r="A272" s="81"/>
      <c r="B272" s="81"/>
      <c r="C272" s="123"/>
      <c r="D272" s="81"/>
      <c r="E272" s="81"/>
    </row>
    <row r="273" spans="1:5" ht="12.75">
      <c r="A273" s="81"/>
      <c r="B273" s="81"/>
      <c r="C273" s="123"/>
      <c r="D273" s="81"/>
      <c r="E273" s="81"/>
    </row>
    <row r="274" spans="1:5" ht="12.75">
      <c r="A274" s="81"/>
      <c r="B274" s="81"/>
      <c r="C274" s="123"/>
      <c r="D274" s="81"/>
      <c r="E274" s="81"/>
    </row>
    <row r="275" spans="1:5" ht="12.75">
      <c r="A275" s="81"/>
      <c r="B275" s="81"/>
      <c r="C275" s="123"/>
      <c r="D275" s="81"/>
      <c r="E275" s="81"/>
    </row>
    <row r="276" spans="1:5" ht="12.75">
      <c r="A276" s="81"/>
      <c r="B276" s="81"/>
      <c r="C276" s="123"/>
      <c r="D276" s="81"/>
      <c r="E276" s="81"/>
    </row>
    <row r="277" spans="1:5" ht="12.75">
      <c r="A277" s="81"/>
      <c r="B277" s="81"/>
      <c r="C277" s="123"/>
      <c r="D277" s="81"/>
      <c r="E277" s="81"/>
    </row>
    <row r="278" spans="1:5" ht="12.75">
      <c r="A278" s="81"/>
      <c r="B278" s="81"/>
      <c r="C278" s="123"/>
      <c r="D278" s="81"/>
      <c r="E278" s="81"/>
    </row>
    <row r="279" spans="1:5" ht="12.75">
      <c r="A279" s="81"/>
      <c r="B279" s="81"/>
      <c r="C279" s="123"/>
      <c r="D279" s="81"/>
      <c r="E279" s="81"/>
    </row>
    <row r="280" spans="1:5" ht="12.75">
      <c r="A280" s="81"/>
      <c r="B280" s="81"/>
      <c r="C280" s="123"/>
      <c r="D280" s="81"/>
      <c r="E280" s="81"/>
    </row>
    <row r="281" spans="1:5" ht="12.75">
      <c r="A281" s="81"/>
      <c r="B281" s="81"/>
      <c r="C281" s="123"/>
      <c r="D281" s="81"/>
      <c r="E281" s="81"/>
    </row>
    <row r="282" spans="1:5" ht="12.75">
      <c r="A282" s="81"/>
      <c r="B282" s="81"/>
      <c r="C282" s="123"/>
      <c r="D282" s="81"/>
      <c r="E282" s="81"/>
    </row>
    <row r="283" spans="1:5" ht="12.75">
      <c r="A283" s="81"/>
      <c r="B283" s="81"/>
      <c r="C283" s="123"/>
      <c r="D283" s="81"/>
      <c r="E283" s="81"/>
    </row>
    <row r="284" spans="1:5" ht="12.75">
      <c r="A284" s="81"/>
      <c r="B284" s="81"/>
      <c r="C284" s="123"/>
      <c r="D284" s="81"/>
      <c r="E284" s="81"/>
    </row>
    <row r="285" spans="1:5" ht="12.75">
      <c r="A285" s="81"/>
      <c r="B285" s="81"/>
      <c r="C285" s="123"/>
      <c r="D285" s="81"/>
      <c r="E285" s="81"/>
    </row>
    <row r="286" spans="1:5" ht="12.75">
      <c r="A286" s="81"/>
      <c r="B286" s="81"/>
      <c r="C286" s="123"/>
      <c r="D286" s="81"/>
      <c r="E286" s="81"/>
    </row>
    <row r="287" spans="1:5" ht="12.75">
      <c r="A287" s="81"/>
      <c r="B287" s="81"/>
      <c r="C287" s="123"/>
      <c r="D287" s="81"/>
      <c r="E287" s="81"/>
    </row>
    <row r="288" spans="1:5" ht="12.75">
      <c r="A288" s="81"/>
      <c r="B288" s="81"/>
      <c r="C288" s="123"/>
      <c r="D288" s="81"/>
      <c r="E288" s="81"/>
    </row>
    <row r="289" spans="1:5" ht="12.75">
      <c r="A289" s="81"/>
      <c r="B289" s="81"/>
      <c r="C289" s="123"/>
      <c r="D289" s="81"/>
      <c r="E289" s="81"/>
    </row>
    <row r="290" spans="1:5" ht="12.75">
      <c r="A290" s="81"/>
      <c r="B290" s="81"/>
      <c r="C290" s="123"/>
      <c r="D290" s="81"/>
      <c r="E290" s="81"/>
    </row>
    <row r="291" spans="1:5" ht="12.75">
      <c r="A291" s="81"/>
      <c r="B291" s="81"/>
      <c r="C291" s="123"/>
      <c r="D291" s="81"/>
      <c r="E291" s="81"/>
    </row>
    <row r="292" spans="1:5" ht="12.75">
      <c r="A292" s="81"/>
      <c r="B292" s="81"/>
      <c r="C292" s="123"/>
      <c r="D292" s="81"/>
      <c r="E292" s="81"/>
    </row>
    <row r="293" spans="1:5" ht="12.75">
      <c r="A293" s="81"/>
      <c r="B293" s="81"/>
      <c r="C293" s="123"/>
      <c r="D293" s="81"/>
      <c r="E293" s="81"/>
    </row>
    <row r="294" spans="1:5" ht="12.75">
      <c r="A294" s="81"/>
      <c r="B294" s="81"/>
      <c r="C294" s="123"/>
      <c r="D294" s="81"/>
      <c r="E294" s="81"/>
    </row>
    <row r="295" spans="1:5" ht="12.75">
      <c r="A295" s="81"/>
      <c r="B295" s="81"/>
      <c r="C295" s="123"/>
      <c r="D295" s="81"/>
      <c r="E295" s="81"/>
    </row>
    <row r="296" spans="1:5" ht="12.75">
      <c r="A296" s="81"/>
      <c r="B296" s="81"/>
      <c r="C296" s="123"/>
      <c r="D296" s="81"/>
      <c r="E296" s="81"/>
    </row>
    <row r="297" spans="1:5" ht="12.75">
      <c r="A297" s="81"/>
      <c r="B297" s="81"/>
      <c r="C297" s="123"/>
      <c r="D297" s="81"/>
      <c r="E297" s="81"/>
    </row>
    <row r="298" spans="1:5" ht="12.75">
      <c r="A298" s="81"/>
      <c r="B298" s="81"/>
      <c r="C298" s="123"/>
      <c r="D298" s="81"/>
      <c r="E298" s="81"/>
    </row>
    <row r="299" spans="1:5" ht="12.75">
      <c r="A299" s="81"/>
      <c r="B299" s="81"/>
      <c r="C299" s="123"/>
      <c r="D299" s="81"/>
      <c r="E299" s="81"/>
    </row>
    <row r="300" spans="1:5" ht="12.75">
      <c r="A300" s="81"/>
      <c r="B300" s="81"/>
      <c r="C300" s="123"/>
      <c r="D300" s="81"/>
      <c r="E300" s="81"/>
    </row>
    <row r="301" spans="1:5" ht="12.75">
      <c r="A301" s="81"/>
      <c r="B301" s="81"/>
      <c r="C301" s="123"/>
      <c r="D301" s="81"/>
      <c r="E301" s="81"/>
    </row>
    <row r="302" spans="1:5" ht="12.75">
      <c r="A302" s="81"/>
      <c r="B302" s="81"/>
      <c r="C302" s="123"/>
      <c r="D302" s="81"/>
      <c r="E302" s="81"/>
    </row>
    <row r="303" spans="1:5" ht="12.75">
      <c r="A303" s="81"/>
      <c r="B303" s="81"/>
      <c r="C303" s="123"/>
      <c r="D303" s="81"/>
      <c r="E303" s="81"/>
    </row>
    <row r="304" spans="1:5" ht="12.75">
      <c r="A304" s="81"/>
      <c r="B304" s="81"/>
      <c r="C304" s="123"/>
      <c r="D304" s="81"/>
      <c r="E304" s="81"/>
    </row>
    <row r="305" spans="1:5" ht="12.75">
      <c r="A305" s="81"/>
      <c r="B305" s="81"/>
      <c r="C305" s="123"/>
      <c r="D305" s="81"/>
      <c r="E305" s="81"/>
    </row>
    <row r="306" spans="1:5" ht="12.75">
      <c r="A306" s="81"/>
      <c r="B306" s="81"/>
      <c r="C306" s="123"/>
      <c r="D306" s="81"/>
      <c r="E306" s="81"/>
    </row>
    <row r="307" spans="1:5" ht="12.75">
      <c r="A307" s="81"/>
      <c r="B307" s="81"/>
      <c r="C307" s="123"/>
      <c r="D307" s="81"/>
      <c r="E307" s="81"/>
    </row>
    <row r="308" spans="1:5" ht="12.75">
      <c r="A308" s="81"/>
      <c r="B308" s="81"/>
      <c r="C308" s="123"/>
      <c r="D308" s="81"/>
      <c r="E308" s="81"/>
    </row>
    <row r="309" spans="1:5" ht="12.75">
      <c r="A309" s="81"/>
      <c r="B309" s="81"/>
      <c r="C309" s="123"/>
      <c r="D309" s="81"/>
      <c r="E309" s="81"/>
    </row>
    <row r="310" spans="1:5" ht="12.75">
      <c r="A310" s="81"/>
      <c r="B310" s="81"/>
      <c r="C310" s="123"/>
      <c r="D310" s="81"/>
      <c r="E310" s="81"/>
    </row>
    <row r="311" spans="1:5" ht="12.75">
      <c r="A311" s="81"/>
      <c r="B311" s="81"/>
      <c r="C311" s="123"/>
      <c r="D311" s="81"/>
      <c r="E311" s="81"/>
    </row>
    <row r="312" spans="1:5" ht="12.75">
      <c r="A312" s="81"/>
      <c r="B312" s="81"/>
      <c r="C312" s="123"/>
      <c r="D312" s="81"/>
      <c r="E312" s="81"/>
    </row>
    <row r="313" spans="1:5" ht="12.75">
      <c r="A313" s="81"/>
      <c r="B313" s="81"/>
      <c r="C313" s="123"/>
      <c r="D313" s="81"/>
      <c r="E313" s="81"/>
    </row>
    <row r="314" spans="1:5" ht="12.75">
      <c r="A314" s="81"/>
      <c r="B314" s="81"/>
      <c r="C314" s="123"/>
      <c r="D314" s="81"/>
      <c r="E314" s="81"/>
    </row>
    <row r="315" spans="1:5" ht="12.75">
      <c r="A315" s="81"/>
      <c r="B315" s="81"/>
      <c r="C315" s="123"/>
      <c r="D315" s="81"/>
      <c r="E315" s="81"/>
    </row>
    <row r="316" spans="1:5" ht="12.75">
      <c r="A316" s="81"/>
      <c r="B316" s="81"/>
      <c r="C316" s="123"/>
      <c r="D316" s="81"/>
      <c r="E316" s="81"/>
    </row>
    <row r="317" spans="1:5" ht="12.75">
      <c r="A317" s="81"/>
      <c r="B317" s="81"/>
      <c r="C317" s="123"/>
      <c r="D317" s="81"/>
      <c r="E317" s="81"/>
    </row>
    <row r="318" spans="1:5" ht="12.75">
      <c r="A318" s="81"/>
      <c r="B318" s="81"/>
      <c r="C318" s="123"/>
      <c r="D318" s="81"/>
      <c r="E318" s="81"/>
    </row>
    <row r="319" spans="1:5" ht="12.75">
      <c r="A319" s="81"/>
      <c r="B319" s="81"/>
      <c r="C319" s="123"/>
      <c r="D319" s="81"/>
      <c r="E319" s="81"/>
    </row>
    <row r="320" spans="1:5" ht="12.75">
      <c r="A320" s="81"/>
      <c r="B320" s="81"/>
      <c r="C320" s="123"/>
      <c r="D320" s="81"/>
      <c r="E320" s="81"/>
    </row>
    <row r="321" spans="1:5" ht="12.75">
      <c r="A321" s="81"/>
      <c r="B321" s="81"/>
      <c r="C321" s="123"/>
      <c r="D321" s="81"/>
      <c r="E321" s="81"/>
    </row>
    <row r="322" spans="1:5" ht="12.75">
      <c r="A322" s="81"/>
      <c r="B322" s="81"/>
      <c r="C322" s="123"/>
      <c r="D322" s="81"/>
      <c r="E322" s="81"/>
    </row>
    <row r="323" spans="1:5" ht="12.75">
      <c r="A323" s="81"/>
      <c r="B323" s="81"/>
      <c r="C323" s="123"/>
      <c r="D323" s="81"/>
      <c r="E323" s="81"/>
    </row>
    <row r="324" spans="1:5" ht="12.75">
      <c r="A324" s="81"/>
      <c r="B324" s="81"/>
      <c r="C324" s="123"/>
      <c r="D324" s="81"/>
      <c r="E324" s="81"/>
    </row>
    <row r="325" spans="1:5" ht="12.75">
      <c r="A325" s="81"/>
      <c r="B325" s="81"/>
      <c r="C325" s="123"/>
      <c r="D325" s="81"/>
      <c r="E325" s="81"/>
    </row>
    <row r="326" spans="1:5" ht="12.75">
      <c r="A326" s="81"/>
      <c r="B326" s="81"/>
      <c r="C326" s="123"/>
      <c r="D326" s="81"/>
      <c r="E326" s="81"/>
    </row>
    <row r="327" spans="1:5" ht="12.75">
      <c r="A327" s="81"/>
      <c r="B327" s="81"/>
      <c r="C327" s="123"/>
      <c r="D327" s="81"/>
      <c r="E327" s="81"/>
    </row>
    <row r="328" spans="1:5" ht="12.75">
      <c r="A328" s="81"/>
      <c r="B328" s="81"/>
      <c r="C328" s="123"/>
      <c r="D328" s="81"/>
      <c r="E328" s="81"/>
    </row>
    <row r="329" spans="1:5" ht="12.75">
      <c r="A329" s="81"/>
      <c r="B329" s="81"/>
      <c r="C329" s="123"/>
      <c r="D329" s="81"/>
      <c r="E329" s="81"/>
    </row>
    <row r="330" spans="1:5" ht="12.75">
      <c r="A330" s="81"/>
      <c r="B330" s="81"/>
      <c r="C330" s="123"/>
      <c r="D330" s="81"/>
      <c r="E330" s="81"/>
    </row>
    <row r="331" spans="1:5" ht="12.75">
      <c r="A331" s="81"/>
      <c r="B331" s="81"/>
      <c r="C331" s="123"/>
      <c r="D331" s="81"/>
      <c r="E331" s="81"/>
    </row>
    <row r="332" spans="1:5" ht="12.75">
      <c r="A332" s="81"/>
      <c r="B332" s="81"/>
      <c r="C332" s="123"/>
      <c r="D332" s="81"/>
      <c r="E332" s="81"/>
    </row>
    <row r="333" spans="1:5" ht="12.75">
      <c r="A333" s="81"/>
      <c r="B333" s="81"/>
      <c r="C333" s="123"/>
      <c r="D333" s="81"/>
      <c r="E333" s="81"/>
    </row>
    <row r="334" spans="1:5" ht="12.75">
      <c r="A334" s="81"/>
      <c r="B334" s="81"/>
      <c r="C334" s="123"/>
      <c r="D334" s="81"/>
      <c r="E334" s="81"/>
    </row>
    <row r="335" spans="1:5" ht="12.75">
      <c r="A335" s="81"/>
      <c r="B335" s="81"/>
      <c r="C335" s="123"/>
      <c r="D335" s="81"/>
      <c r="E335" s="81"/>
    </row>
    <row r="336" spans="1:5" ht="12.75">
      <c r="A336" s="81"/>
      <c r="B336" s="81"/>
      <c r="C336" s="123"/>
      <c r="D336" s="81"/>
      <c r="E336" s="81"/>
    </row>
    <row r="337" spans="1:5" ht="12.75">
      <c r="A337" s="81"/>
      <c r="B337" s="81"/>
      <c r="C337" s="123"/>
      <c r="D337" s="81"/>
      <c r="E337" s="81"/>
    </row>
    <row r="338" spans="1:5" ht="12.75">
      <c r="A338" s="81"/>
      <c r="B338" s="81"/>
      <c r="C338" s="123"/>
      <c r="D338" s="81"/>
      <c r="E338" s="81"/>
    </row>
    <row r="339" spans="1:5" ht="12.75">
      <c r="A339" s="81"/>
      <c r="B339" s="81"/>
      <c r="C339" s="123"/>
      <c r="D339" s="81"/>
      <c r="E339" s="81"/>
    </row>
    <row r="340" spans="1:5" ht="12.75">
      <c r="A340" s="81"/>
      <c r="B340" s="81"/>
      <c r="C340" s="123"/>
      <c r="D340" s="81"/>
      <c r="E340" s="81"/>
    </row>
    <row r="341" spans="1:5" ht="12.75">
      <c r="A341" s="81"/>
      <c r="B341" s="81"/>
      <c r="C341" s="123"/>
      <c r="D341" s="81"/>
      <c r="E341" s="81"/>
    </row>
    <row r="342" spans="1:5" ht="12.75">
      <c r="A342" s="81"/>
      <c r="B342" s="81"/>
      <c r="C342" s="123"/>
      <c r="D342" s="81"/>
      <c r="E342" s="81"/>
    </row>
    <row r="343" spans="2:5" ht="12.75">
      <c r="B343" s="209"/>
      <c r="C343" s="261"/>
      <c r="D343" s="209"/>
      <c r="E343" s="209"/>
    </row>
    <row r="344" spans="2:5" ht="12.75">
      <c r="B344" s="209"/>
      <c r="C344" s="261"/>
      <c r="D344" s="209"/>
      <c r="E344" s="209"/>
    </row>
    <row r="345" spans="2:5" ht="12.75">
      <c r="B345" s="209"/>
      <c r="C345" s="261"/>
      <c r="D345" s="209"/>
      <c r="E345" s="209"/>
    </row>
    <row r="346" spans="2:5" ht="12.75">
      <c r="B346" s="209"/>
      <c r="C346" s="261"/>
      <c r="D346" s="209"/>
      <c r="E346" s="209"/>
    </row>
    <row r="347" spans="2:5" ht="12.75">
      <c r="B347" s="209"/>
      <c r="C347" s="261"/>
      <c r="D347" s="209"/>
      <c r="E347" s="209"/>
    </row>
    <row r="348" spans="2:5" ht="12.75">
      <c r="B348" s="209"/>
      <c r="C348" s="261"/>
      <c r="D348" s="209"/>
      <c r="E348" s="209"/>
    </row>
    <row r="349" spans="2:5" ht="12.75">
      <c r="B349" s="209"/>
      <c r="C349" s="261"/>
      <c r="D349" s="209"/>
      <c r="E349" s="209"/>
    </row>
    <row r="350" spans="2:5" ht="12.75">
      <c r="B350" s="209"/>
      <c r="C350" s="261"/>
      <c r="D350" s="209"/>
      <c r="E350" s="209"/>
    </row>
    <row r="351" spans="2:5" ht="12.75">
      <c r="B351" s="209"/>
      <c r="C351" s="261"/>
      <c r="D351" s="209"/>
      <c r="E351" s="209"/>
    </row>
    <row r="352" spans="2:5" ht="12.75">
      <c r="B352" s="209"/>
      <c r="C352" s="261"/>
      <c r="D352" s="209"/>
      <c r="E352" s="209"/>
    </row>
    <row r="353" spans="2:5" ht="12.75">
      <c r="B353" s="209"/>
      <c r="C353" s="261"/>
      <c r="D353" s="209"/>
      <c r="E353" s="209"/>
    </row>
    <row r="354" spans="2:5" ht="12.75">
      <c r="B354" s="209"/>
      <c r="C354" s="261"/>
      <c r="D354" s="209"/>
      <c r="E354" s="209"/>
    </row>
    <row r="355" spans="2:5" ht="12.75">
      <c r="B355" s="209"/>
      <c r="C355" s="261"/>
      <c r="D355" s="209"/>
      <c r="E355" s="209"/>
    </row>
    <row r="356" spans="2:5" ht="12.75">
      <c r="B356" s="209"/>
      <c r="C356" s="261"/>
      <c r="D356" s="209"/>
      <c r="E356" s="209"/>
    </row>
    <row r="357" spans="2:5" ht="12.75">
      <c r="B357" s="209"/>
      <c r="C357" s="261"/>
      <c r="D357" s="209"/>
      <c r="E357" s="209"/>
    </row>
    <row r="358" spans="2:5" ht="12.75">
      <c r="B358" s="209"/>
      <c r="C358" s="261"/>
      <c r="D358" s="209"/>
      <c r="E358" s="209"/>
    </row>
    <row r="359" spans="2:5" ht="12.75">
      <c r="B359" s="209"/>
      <c r="C359" s="261"/>
      <c r="D359" s="209"/>
      <c r="E359" s="209"/>
    </row>
    <row r="360" spans="2:5" ht="12.75">
      <c r="B360" s="209"/>
      <c r="C360" s="261"/>
      <c r="D360" s="209"/>
      <c r="E360" s="209"/>
    </row>
    <row r="361" spans="2:5" ht="12.75">
      <c r="B361" s="209"/>
      <c r="C361" s="261"/>
      <c r="D361" s="209"/>
      <c r="E361" s="209"/>
    </row>
    <row r="362" spans="2:5" ht="12.75">
      <c r="B362" s="209"/>
      <c r="C362" s="261"/>
      <c r="D362" s="209"/>
      <c r="E362" s="209"/>
    </row>
    <row r="363" spans="2:5" ht="12.75">
      <c r="B363" s="209"/>
      <c r="C363" s="261"/>
      <c r="D363" s="209"/>
      <c r="E363" s="209"/>
    </row>
    <row r="364" spans="2:5" ht="12.75">
      <c r="B364" s="209"/>
      <c r="C364" s="261"/>
      <c r="D364" s="209"/>
      <c r="E364" s="209"/>
    </row>
    <row r="365" spans="2:5" ht="12.75">
      <c r="B365" s="209"/>
      <c r="C365" s="261"/>
      <c r="D365" s="209"/>
      <c r="E365" s="209"/>
    </row>
    <row r="366" spans="2:5" ht="12.75">
      <c r="B366" s="209"/>
      <c r="C366" s="261"/>
      <c r="D366" s="209"/>
      <c r="E366" s="209"/>
    </row>
    <row r="367" spans="2:5" ht="12.75">
      <c r="B367" s="209"/>
      <c r="C367" s="261"/>
      <c r="D367" s="209"/>
      <c r="E367" s="209"/>
    </row>
    <row r="368" spans="2:5" ht="12.75">
      <c r="B368" s="209"/>
      <c r="C368" s="261"/>
      <c r="D368" s="209"/>
      <c r="E368" s="209"/>
    </row>
    <row r="369" spans="2:5" ht="12.75">
      <c r="B369" s="209"/>
      <c r="C369" s="261"/>
      <c r="D369" s="209"/>
      <c r="E369" s="209"/>
    </row>
    <row r="370" spans="2:5" ht="12.75">
      <c r="B370" s="209"/>
      <c r="C370" s="261"/>
      <c r="D370" s="209"/>
      <c r="E370" s="209"/>
    </row>
    <row r="371" spans="2:5" ht="12.75">
      <c r="B371" s="209"/>
      <c r="C371" s="261"/>
      <c r="D371" s="209"/>
      <c r="E371" s="209"/>
    </row>
    <row r="372" spans="2:5" ht="12.75">
      <c r="B372" s="209"/>
      <c r="C372" s="261"/>
      <c r="D372" s="209"/>
      <c r="E372" s="209"/>
    </row>
    <row r="373" spans="2:5" ht="12.75">
      <c r="B373" s="209"/>
      <c r="C373" s="261"/>
      <c r="D373" s="209"/>
      <c r="E373" s="209"/>
    </row>
    <row r="374" spans="2:5" ht="12.75">
      <c r="B374" s="209"/>
      <c r="C374" s="261"/>
      <c r="D374" s="209"/>
      <c r="E374" s="209"/>
    </row>
    <row r="375" spans="2:5" ht="12.75">
      <c r="B375" s="209"/>
      <c r="C375" s="261"/>
      <c r="D375" s="209"/>
      <c r="E375" s="209"/>
    </row>
    <row r="376" spans="2:5" ht="12.75">
      <c r="B376" s="209"/>
      <c r="C376" s="261"/>
      <c r="D376" s="209"/>
      <c r="E376" s="209"/>
    </row>
    <row r="377" spans="2:5" ht="12.75">
      <c r="B377" s="209"/>
      <c r="C377" s="261"/>
      <c r="D377" s="209"/>
      <c r="E377" s="209"/>
    </row>
    <row r="378" spans="2:5" ht="12.75">
      <c r="B378" s="209"/>
      <c r="C378" s="261"/>
      <c r="D378" s="209"/>
      <c r="E378" s="209"/>
    </row>
    <row r="379" spans="2:5" ht="12.75">
      <c r="B379" s="209"/>
      <c r="C379" s="261"/>
      <c r="D379" s="209"/>
      <c r="E379" s="209"/>
    </row>
    <row r="380" spans="2:5" ht="12.75">
      <c r="B380" s="209"/>
      <c r="C380" s="261"/>
      <c r="D380" s="209"/>
      <c r="E380" s="209"/>
    </row>
    <row r="381" spans="2:5" ht="12.75">
      <c r="B381" s="209"/>
      <c r="C381" s="261"/>
      <c r="D381" s="209"/>
      <c r="E381" s="209"/>
    </row>
    <row r="382" spans="2:5" ht="12.75">
      <c r="B382" s="209"/>
      <c r="C382" s="261"/>
      <c r="D382" s="209"/>
      <c r="E382" s="209"/>
    </row>
    <row r="383" spans="2:5" ht="12.75">
      <c r="B383" s="209"/>
      <c r="C383" s="261"/>
      <c r="D383" s="209"/>
      <c r="E383" s="209"/>
    </row>
    <row r="384" spans="2:5" ht="12.75">
      <c r="B384" s="209"/>
      <c r="C384" s="261"/>
      <c r="D384" s="209"/>
      <c r="E384" s="209"/>
    </row>
    <row r="385" spans="2:5" ht="12.75">
      <c r="B385" s="209"/>
      <c r="C385" s="261"/>
      <c r="D385" s="209"/>
      <c r="E385" s="209"/>
    </row>
    <row r="386" spans="2:5" ht="12.75">
      <c r="B386" s="209"/>
      <c r="C386" s="261"/>
      <c r="D386" s="209"/>
      <c r="E386" s="209"/>
    </row>
    <row r="387" spans="2:5" ht="12.75">
      <c r="B387" s="209"/>
      <c r="C387" s="261"/>
      <c r="D387" s="209"/>
      <c r="E387" s="209"/>
    </row>
    <row r="388" spans="2:5" ht="12.75">
      <c r="B388" s="209"/>
      <c r="C388" s="261"/>
      <c r="D388" s="209"/>
      <c r="E388" s="209"/>
    </row>
    <row r="389" spans="2:5" ht="12.75">
      <c r="B389" s="209"/>
      <c r="C389" s="261"/>
      <c r="D389" s="209"/>
      <c r="E389" s="209"/>
    </row>
    <row r="390" spans="2:5" ht="12.75">
      <c r="B390" s="209"/>
      <c r="C390" s="261"/>
      <c r="D390" s="209"/>
      <c r="E390" s="209"/>
    </row>
    <row r="391" spans="2:5" ht="12.75">
      <c r="B391" s="209"/>
      <c r="C391" s="261"/>
      <c r="D391" s="209"/>
      <c r="E391" s="209"/>
    </row>
    <row r="392" spans="2:5" ht="12.75">
      <c r="B392" s="209"/>
      <c r="C392" s="261"/>
      <c r="D392" s="209"/>
      <c r="E392" s="209"/>
    </row>
    <row r="393" spans="2:5" ht="12.75">
      <c r="B393" s="209"/>
      <c r="C393" s="261"/>
      <c r="D393" s="209"/>
      <c r="E393" s="209"/>
    </row>
    <row r="394" spans="2:5" ht="12.75">
      <c r="B394" s="209"/>
      <c r="C394" s="261"/>
      <c r="D394" s="209"/>
      <c r="E394" s="209"/>
    </row>
    <row r="395" spans="2:5" ht="12.75">
      <c r="B395" s="209"/>
      <c r="C395" s="261"/>
      <c r="D395" s="209"/>
      <c r="E395" s="209"/>
    </row>
    <row r="396" spans="2:5" ht="12.75">
      <c r="B396" s="209"/>
      <c r="C396" s="261"/>
      <c r="D396" s="209"/>
      <c r="E396" s="209"/>
    </row>
    <row r="397" spans="2:5" ht="12.75">
      <c r="B397" s="209"/>
      <c r="C397" s="261"/>
      <c r="D397" s="209"/>
      <c r="E397" s="209"/>
    </row>
    <row r="398" spans="2:5" ht="12.75">
      <c r="B398" s="209"/>
      <c r="C398" s="261"/>
      <c r="D398" s="209"/>
      <c r="E398" s="209"/>
    </row>
    <row r="399" spans="2:5" ht="12.75">
      <c r="B399" s="209"/>
      <c r="C399" s="261"/>
      <c r="D399" s="209"/>
      <c r="E399" s="209"/>
    </row>
    <row r="400" spans="2:5" ht="12.75">
      <c r="B400" s="209"/>
      <c r="C400" s="261"/>
      <c r="D400" s="209"/>
      <c r="E400" s="209"/>
    </row>
    <row r="401" spans="2:5" ht="12.75">
      <c r="B401" s="209"/>
      <c r="C401" s="261"/>
      <c r="D401" s="209"/>
      <c r="E401" s="209"/>
    </row>
    <row r="402" spans="2:5" ht="12.75">
      <c r="B402" s="209"/>
      <c r="C402" s="261"/>
      <c r="D402" s="209"/>
      <c r="E402" s="209"/>
    </row>
    <row r="403" spans="2:5" ht="12.75">
      <c r="B403" s="209"/>
      <c r="C403" s="261"/>
      <c r="D403" s="209"/>
      <c r="E403" s="209"/>
    </row>
    <row r="404" spans="2:5" ht="12.75">
      <c r="B404" s="209"/>
      <c r="C404" s="261"/>
      <c r="D404" s="209"/>
      <c r="E404" s="209"/>
    </row>
    <row r="405" spans="2:5" ht="12.75">
      <c r="B405" s="209"/>
      <c r="C405" s="261"/>
      <c r="D405" s="209"/>
      <c r="E405" s="209"/>
    </row>
    <row r="406" spans="2:5" ht="12.75">
      <c r="B406" s="209"/>
      <c r="C406" s="261"/>
      <c r="D406" s="209"/>
      <c r="E406" s="209"/>
    </row>
    <row r="407" spans="2:5" ht="12.75">
      <c r="B407" s="209"/>
      <c r="C407" s="261"/>
      <c r="D407" s="209"/>
      <c r="E407" s="209"/>
    </row>
    <row r="408" spans="2:5" ht="12.75">
      <c r="B408" s="209"/>
      <c r="C408" s="261"/>
      <c r="D408" s="209"/>
      <c r="E408" s="209"/>
    </row>
    <row r="409" spans="2:5" ht="12.75">
      <c r="B409" s="209"/>
      <c r="C409" s="261"/>
      <c r="D409" s="209"/>
      <c r="E409" s="209"/>
    </row>
    <row r="410" spans="2:5" ht="12.75">
      <c r="B410" s="209"/>
      <c r="C410" s="261"/>
      <c r="D410" s="209"/>
      <c r="E410" s="209"/>
    </row>
    <row r="411" spans="2:5" ht="12.75">
      <c r="B411" s="209"/>
      <c r="C411" s="261"/>
      <c r="D411" s="209"/>
      <c r="E411" s="209"/>
    </row>
    <row r="412" spans="2:5" ht="12.75">
      <c r="B412" s="209"/>
      <c r="C412" s="261"/>
      <c r="D412" s="209"/>
      <c r="E412" s="209"/>
    </row>
    <row r="413" spans="2:5" ht="12.75">
      <c r="B413" s="209"/>
      <c r="C413" s="261"/>
      <c r="D413" s="209"/>
      <c r="E413" s="209"/>
    </row>
    <row r="414" spans="2:5" ht="12.75">
      <c r="B414" s="209"/>
      <c r="C414" s="261"/>
      <c r="D414" s="209"/>
      <c r="E414" s="209"/>
    </row>
    <row r="415" spans="2:5" ht="12.75">
      <c r="B415" s="209"/>
      <c r="C415" s="261"/>
      <c r="D415" s="209"/>
      <c r="E415" s="209"/>
    </row>
    <row r="416" spans="2:5" ht="12.75">
      <c r="B416" s="209"/>
      <c r="C416" s="261"/>
      <c r="D416" s="209"/>
      <c r="E416" s="209"/>
    </row>
    <row r="417" spans="2:5" ht="12.75">
      <c r="B417" s="209"/>
      <c r="C417" s="261"/>
      <c r="D417" s="209"/>
      <c r="E417" s="209"/>
    </row>
    <row r="418" spans="2:5" ht="12.75">
      <c r="B418" s="209"/>
      <c r="C418" s="261"/>
      <c r="D418" s="209"/>
      <c r="E418" s="209"/>
    </row>
    <row r="419" spans="2:5" ht="12.75">
      <c r="B419" s="209"/>
      <c r="C419" s="261"/>
      <c r="D419" s="209"/>
      <c r="E419" s="209"/>
    </row>
    <row r="420" spans="2:5" ht="12.75">
      <c r="B420" s="209"/>
      <c r="C420" s="261"/>
      <c r="D420" s="209"/>
      <c r="E420" s="209"/>
    </row>
    <row r="421" spans="2:5" ht="12.75">
      <c r="B421" s="209"/>
      <c r="C421" s="261"/>
      <c r="D421" s="209"/>
      <c r="E421" s="209"/>
    </row>
    <row r="422" spans="2:5" ht="12.75">
      <c r="B422" s="209"/>
      <c r="C422" s="261"/>
      <c r="D422" s="209"/>
      <c r="E422" s="209"/>
    </row>
    <row r="423" spans="2:5" ht="12.75">
      <c r="B423" s="209"/>
      <c r="C423" s="261"/>
      <c r="D423" s="209"/>
      <c r="E423" s="209"/>
    </row>
    <row r="424" spans="2:5" ht="12.75">
      <c r="B424" s="209"/>
      <c r="C424" s="261"/>
      <c r="D424" s="209"/>
      <c r="E424" s="209"/>
    </row>
    <row r="425" spans="2:5" ht="12.75">
      <c r="B425" s="209"/>
      <c r="C425" s="261"/>
      <c r="D425" s="209"/>
      <c r="E425" s="209"/>
    </row>
    <row r="426" spans="2:5" ht="12.75">
      <c r="B426" s="209"/>
      <c r="C426" s="261"/>
      <c r="D426" s="209"/>
      <c r="E426" s="209"/>
    </row>
    <row r="427" spans="2:5" ht="12.75">
      <c r="B427" s="209"/>
      <c r="C427" s="261"/>
      <c r="D427" s="209"/>
      <c r="E427" s="209"/>
    </row>
    <row r="428" spans="2:5" ht="12.75">
      <c r="B428" s="209"/>
      <c r="C428" s="261"/>
      <c r="D428" s="209"/>
      <c r="E428" s="209"/>
    </row>
    <row r="429" spans="2:5" ht="12.75">
      <c r="B429" s="209"/>
      <c r="C429" s="261"/>
      <c r="D429" s="209"/>
      <c r="E429" s="209"/>
    </row>
    <row r="430" spans="2:5" ht="12.75">
      <c r="B430" s="209"/>
      <c r="C430" s="261"/>
      <c r="D430" s="209"/>
      <c r="E430" s="209"/>
    </row>
    <row r="431" spans="2:5" ht="12.75">
      <c r="B431" s="209"/>
      <c r="C431" s="261"/>
      <c r="D431" s="209"/>
      <c r="E431" s="209"/>
    </row>
    <row r="432" spans="2:5" ht="12.75">
      <c r="B432" s="209"/>
      <c r="C432" s="261"/>
      <c r="D432" s="209"/>
      <c r="E432" s="209"/>
    </row>
    <row r="433" spans="2:5" ht="12.75">
      <c r="B433" s="209"/>
      <c r="C433" s="261"/>
      <c r="D433" s="209"/>
      <c r="E433" s="209"/>
    </row>
    <row r="434" spans="2:5" ht="12.75">
      <c r="B434" s="209"/>
      <c r="C434" s="261"/>
      <c r="D434" s="209"/>
      <c r="E434" s="209"/>
    </row>
    <row r="435" spans="2:5" ht="12.75">
      <c r="B435" s="209"/>
      <c r="C435" s="261"/>
      <c r="D435" s="209"/>
      <c r="E435" s="209"/>
    </row>
    <row r="436" spans="2:5" ht="12.75">
      <c r="B436" s="209"/>
      <c r="C436" s="261"/>
      <c r="D436" s="209"/>
      <c r="E436" s="209"/>
    </row>
    <row r="437" spans="2:5" ht="12.75">
      <c r="B437" s="209"/>
      <c r="C437" s="261"/>
      <c r="D437" s="209"/>
      <c r="E437" s="209"/>
    </row>
    <row r="438" spans="2:5" ht="12.75">
      <c r="B438" s="209"/>
      <c r="C438" s="261"/>
      <c r="D438" s="209"/>
      <c r="E438" s="209"/>
    </row>
    <row r="439" spans="2:5" ht="12.75">
      <c r="B439" s="209"/>
      <c r="C439" s="261"/>
      <c r="D439" s="209"/>
      <c r="E439" s="209"/>
    </row>
    <row r="440" spans="2:5" ht="12.75">
      <c r="B440" s="209"/>
      <c r="C440" s="261"/>
      <c r="D440" s="209"/>
      <c r="E440" s="209"/>
    </row>
    <row r="441" spans="2:5" ht="12.75">
      <c r="B441" s="209"/>
      <c r="C441" s="261"/>
      <c r="D441" s="209"/>
      <c r="E441" s="209"/>
    </row>
    <row r="442" spans="2:5" ht="12.75">
      <c r="B442" s="209"/>
      <c r="C442" s="261"/>
      <c r="D442" s="209"/>
      <c r="E442" s="209"/>
    </row>
    <row r="443" spans="2:5" ht="12.75">
      <c r="B443" s="209"/>
      <c r="C443" s="261"/>
      <c r="D443" s="209"/>
      <c r="E443" s="209"/>
    </row>
    <row r="444" spans="2:5" ht="12.75">
      <c r="B444" s="209"/>
      <c r="C444" s="261"/>
      <c r="D444" s="209"/>
      <c r="E444" s="209"/>
    </row>
    <row r="445" spans="2:5" ht="12.75">
      <c r="B445" s="209"/>
      <c r="C445" s="261"/>
      <c r="D445" s="209"/>
      <c r="E445" s="209"/>
    </row>
    <row r="446" spans="2:5" ht="12.75">
      <c r="B446" s="209"/>
      <c r="C446" s="261"/>
      <c r="D446" s="209"/>
      <c r="E446" s="209"/>
    </row>
    <row r="447" spans="2:5" ht="12.75">
      <c r="B447" s="209"/>
      <c r="C447" s="261"/>
      <c r="D447" s="209"/>
      <c r="E447" s="209"/>
    </row>
    <row r="448" spans="2:5" ht="12.75">
      <c r="B448" s="209"/>
      <c r="C448" s="261"/>
      <c r="D448" s="209"/>
      <c r="E448" s="209"/>
    </row>
    <row r="449" spans="2:5" ht="12.75">
      <c r="B449" s="209"/>
      <c r="C449" s="261"/>
      <c r="D449" s="209"/>
      <c r="E449" s="209"/>
    </row>
    <row r="450" spans="2:5" ht="12.75">
      <c r="B450" s="209"/>
      <c r="C450" s="261"/>
      <c r="D450" s="209"/>
      <c r="E450" s="209"/>
    </row>
    <row r="451" spans="2:5" ht="12.75">
      <c r="B451" s="209"/>
      <c r="C451" s="261"/>
      <c r="D451" s="209"/>
      <c r="E451" s="209"/>
    </row>
    <row r="452" spans="2:5" ht="12.75">
      <c r="B452" s="209"/>
      <c r="C452" s="261"/>
      <c r="D452" s="209"/>
      <c r="E452" s="209"/>
    </row>
    <row r="453" spans="2:5" ht="12.75">
      <c r="B453" s="209"/>
      <c r="C453" s="261"/>
      <c r="D453" s="209"/>
      <c r="E453" s="209"/>
    </row>
    <row r="454" spans="2:5" ht="12.75">
      <c r="B454" s="209"/>
      <c r="C454" s="261"/>
      <c r="D454" s="209"/>
      <c r="E454" s="209"/>
    </row>
    <row r="455" spans="2:5" ht="12.75">
      <c r="B455" s="209"/>
      <c r="C455" s="261"/>
      <c r="D455" s="209"/>
      <c r="E455" s="209"/>
    </row>
    <row r="456" spans="2:5" ht="12.75">
      <c r="B456" s="209"/>
      <c r="C456" s="261"/>
      <c r="D456" s="209"/>
      <c r="E456" s="209"/>
    </row>
    <row r="457" spans="2:5" ht="12.75">
      <c r="B457" s="209"/>
      <c r="C457" s="261"/>
      <c r="D457" s="209"/>
      <c r="E457" s="209"/>
    </row>
    <row r="458" spans="2:5" ht="12.75">
      <c r="B458" s="209"/>
      <c r="C458" s="261"/>
      <c r="D458" s="209"/>
      <c r="E458" s="209"/>
    </row>
    <row r="459" spans="2:5" ht="12.75">
      <c r="B459" s="209"/>
      <c r="C459" s="261"/>
      <c r="D459" s="209"/>
      <c r="E459" s="209"/>
    </row>
    <row r="460" spans="2:5" ht="12.75">
      <c r="B460" s="209"/>
      <c r="C460" s="261"/>
      <c r="D460" s="209"/>
      <c r="E460" s="209"/>
    </row>
    <row r="461" spans="2:5" ht="12.75">
      <c r="B461" s="209"/>
      <c r="C461" s="261"/>
      <c r="D461" s="209"/>
      <c r="E461" s="209"/>
    </row>
    <row r="462" spans="2:5" ht="12.75">
      <c r="B462" s="209"/>
      <c r="C462" s="261"/>
      <c r="D462" s="209"/>
      <c r="E462" s="209"/>
    </row>
    <row r="463" spans="2:5" ht="12.75">
      <c r="B463" s="209"/>
      <c r="C463" s="261"/>
      <c r="D463" s="209"/>
      <c r="E463" s="209"/>
    </row>
    <row r="464" spans="2:5" ht="12.75">
      <c r="B464" s="209"/>
      <c r="C464" s="261"/>
      <c r="D464" s="209"/>
      <c r="E464" s="209"/>
    </row>
    <row r="465" spans="2:5" ht="12.75">
      <c r="B465" s="209"/>
      <c r="C465" s="261"/>
      <c r="D465" s="209"/>
      <c r="E465" s="209"/>
    </row>
    <row r="466" spans="2:5" ht="12.75">
      <c r="B466" s="209"/>
      <c r="C466" s="261"/>
      <c r="D466" s="209"/>
      <c r="E466" s="209"/>
    </row>
    <row r="467" spans="2:5" ht="12.75">
      <c r="B467" s="209"/>
      <c r="C467" s="261"/>
      <c r="D467" s="209"/>
      <c r="E467" s="209"/>
    </row>
    <row r="468" spans="2:5" ht="12.75">
      <c r="B468" s="209"/>
      <c r="C468" s="261"/>
      <c r="D468" s="209"/>
      <c r="E468" s="209"/>
    </row>
    <row r="469" spans="2:5" ht="12.75">
      <c r="B469" s="209"/>
      <c r="C469" s="261"/>
      <c r="D469" s="209"/>
      <c r="E469" s="209"/>
    </row>
    <row r="470" spans="2:5" ht="12.75">
      <c r="B470" s="209"/>
      <c r="C470" s="261"/>
      <c r="D470" s="209"/>
      <c r="E470" s="209"/>
    </row>
    <row r="471" spans="2:5" ht="12.75">
      <c r="B471" s="209"/>
      <c r="C471" s="261"/>
      <c r="D471" s="209"/>
      <c r="E471" s="209"/>
    </row>
    <row r="472" spans="2:5" ht="12.75">
      <c r="B472" s="209"/>
      <c r="C472" s="261"/>
      <c r="D472" s="209"/>
      <c r="E472" s="209"/>
    </row>
    <row r="473" spans="2:5" ht="12.75">
      <c r="B473" s="209"/>
      <c r="C473" s="261"/>
      <c r="D473" s="209"/>
      <c r="E473" s="209"/>
    </row>
    <row r="474" spans="2:5" ht="12.75">
      <c r="B474" s="209"/>
      <c r="C474" s="261"/>
      <c r="D474" s="209"/>
      <c r="E474" s="209"/>
    </row>
    <row r="475" spans="2:5" ht="12.75">
      <c r="B475" s="209"/>
      <c r="C475" s="261"/>
      <c r="D475" s="209"/>
      <c r="E475" s="209"/>
    </row>
    <row r="476" spans="2:5" ht="12.75">
      <c r="B476" s="209"/>
      <c r="C476" s="261"/>
      <c r="D476" s="209"/>
      <c r="E476" s="209"/>
    </row>
    <row r="477" spans="2:5" ht="12.75">
      <c r="B477" s="209"/>
      <c r="C477" s="261"/>
      <c r="D477" s="209"/>
      <c r="E477" s="209"/>
    </row>
    <row r="478" spans="2:5" ht="12.75">
      <c r="B478" s="209"/>
      <c r="C478" s="261"/>
      <c r="D478" s="209"/>
      <c r="E478" s="209"/>
    </row>
    <row r="479" spans="2:5" ht="12.75">
      <c r="B479" s="209"/>
      <c r="C479" s="261"/>
      <c r="D479" s="209"/>
      <c r="E479" s="209"/>
    </row>
    <row r="480" spans="2:5" ht="12.75">
      <c r="B480" s="209"/>
      <c r="C480" s="261"/>
      <c r="D480" s="209"/>
      <c r="E480" s="209"/>
    </row>
    <row r="481" spans="2:5" ht="12.75">
      <c r="B481" s="209"/>
      <c r="C481" s="261"/>
      <c r="D481" s="209"/>
      <c r="E481" s="209"/>
    </row>
    <row r="482" spans="2:5" ht="12.75">
      <c r="B482" s="209"/>
      <c r="C482" s="261"/>
      <c r="D482" s="209"/>
      <c r="E482" s="209"/>
    </row>
    <row r="483" spans="2:5" ht="12.75">
      <c r="B483" s="209"/>
      <c r="C483" s="261"/>
      <c r="D483" s="209"/>
      <c r="E483" s="209"/>
    </row>
    <row r="484" spans="2:5" ht="12.75">
      <c r="B484" s="209"/>
      <c r="C484" s="261"/>
      <c r="D484" s="209"/>
      <c r="E484" s="209"/>
    </row>
    <row r="485" spans="2:5" ht="12.75">
      <c r="B485" s="209"/>
      <c r="C485" s="261"/>
      <c r="D485" s="209"/>
      <c r="E485" s="209"/>
    </row>
    <row r="486" spans="2:5" ht="12.75">
      <c r="B486" s="209"/>
      <c r="C486" s="261"/>
      <c r="D486" s="209"/>
      <c r="E486" s="209"/>
    </row>
    <row r="487" spans="2:5" ht="12.75">
      <c r="B487" s="209"/>
      <c r="C487" s="261"/>
      <c r="D487" s="209"/>
      <c r="E487" s="209"/>
    </row>
    <row r="488" spans="2:5" ht="12.75">
      <c r="B488" s="209"/>
      <c r="C488" s="261"/>
      <c r="D488" s="209"/>
      <c r="E488" s="209"/>
    </row>
    <row r="489" spans="2:5" ht="12.75">
      <c r="B489" s="209"/>
      <c r="C489" s="261"/>
      <c r="D489" s="209"/>
      <c r="E489" s="209"/>
    </row>
    <row r="490" spans="2:5" ht="12.75">
      <c r="B490" s="209"/>
      <c r="C490" s="261"/>
      <c r="D490" s="209"/>
      <c r="E490" s="209"/>
    </row>
    <row r="491" spans="2:5" ht="12.75">
      <c r="B491" s="209"/>
      <c r="C491" s="261"/>
      <c r="D491" s="209"/>
      <c r="E491" s="209"/>
    </row>
    <row r="492" spans="2:5" ht="12.75">
      <c r="B492" s="209"/>
      <c r="C492" s="261"/>
      <c r="D492" s="209"/>
      <c r="E492" s="209"/>
    </row>
    <row r="493" spans="2:5" ht="12.75">
      <c r="B493" s="209"/>
      <c r="C493" s="261"/>
      <c r="D493" s="209"/>
      <c r="E493" s="209"/>
    </row>
    <row r="494" spans="2:5" ht="12.75">
      <c r="B494" s="209"/>
      <c r="C494" s="261"/>
      <c r="D494" s="209"/>
      <c r="E494" s="209"/>
    </row>
    <row r="495" spans="2:5" ht="12.75">
      <c r="B495" s="209"/>
      <c r="C495" s="261"/>
      <c r="D495" s="209"/>
      <c r="E495" s="209"/>
    </row>
    <row r="496" spans="2:5" ht="12.75">
      <c r="B496" s="209"/>
      <c r="C496" s="261"/>
      <c r="D496" s="209"/>
      <c r="E496" s="209"/>
    </row>
    <row r="497" spans="2:5" ht="12.75">
      <c r="B497" s="209"/>
      <c r="C497" s="261"/>
      <c r="D497" s="209"/>
      <c r="E497" s="209"/>
    </row>
    <row r="498" spans="2:5" ht="12.75">
      <c r="B498" s="209"/>
      <c r="C498" s="261"/>
      <c r="D498" s="209"/>
      <c r="E498" s="209"/>
    </row>
    <row r="499" spans="2:5" ht="12.75">
      <c r="B499" s="209"/>
      <c r="C499" s="261"/>
      <c r="D499" s="209"/>
      <c r="E499" s="209"/>
    </row>
    <row r="500" spans="2:5" ht="12.75">
      <c r="B500" s="209"/>
      <c r="C500" s="261"/>
      <c r="D500" s="209"/>
      <c r="E500" s="209"/>
    </row>
    <row r="501" spans="2:5" ht="12.75">
      <c r="B501" s="209"/>
      <c r="C501" s="261"/>
      <c r="D501" s="209"/>
      <c r="E501" s="209"/>
    </row>
    <row r="502" spans="2:5" ht="12.75">
      <c r="B502" s="209"/>
      <c r="C502" s="261"/>
      <c r="D502" s="209"/>
      <c r="E502" s="209"/>
    </row>
    <row r="503" spans="2:5" ht="12.75">
      <c r="B503" s="209"/>
      <c r="C503" s="261"/>
      <c r="D503" s="209"/>
      <c r="E503" s="209"/>
    </row>
    <row r="504" spans="2:5" ht="12.75">
      <c r="B504" s="209"/>
      <c r="C504" s="261"/>
      <c r="D504" s="209"/>
      <c r="E504" s="209"/>
    </row>
    <row r="505" spans="2:5" ht="12.75">
      <c r="B505" s="209"/>
      <c r="C505" s="261"/>
      <c r="D505" s="209"/>
      <c r="E505" s="209"/>
    </row>
    <row r="506" spans="2:5" ht="12.75">
      <c r="B506" s="209"/>
      <c r="C506" s="261"/>
      <c r="D506" s="209"/>
      <c r="E506" s="209"/>
    </row>
    <row r="507" spans="2:5" ht="12.75">
      <c r="B507" s="209"/>
      <c r="C507" s="261"/>
      <c r="D507" s="209"/>
      <c r="E507" s="209"/>
    </row>
    <row r="508" spans="2:5" ht="12.75">
      <c r="B508" s="209"/>
      <c r="C508" s="261"/>
      <c r="D508" s="209"/>
      <c r="E508" s="209"/>
    </row>
    <row r="509" spans="2:5" ht="12.75">
      <c r="B509" s="209"/>
      <c r="C509" s="261"/>
      <c r="D509" s="209"/>
      <c r="E509" s="209"/>
    </row>
    <row r="510" spans="2:5" ht="12.75">
      <c r="B510" s="209"/>
      <c r="C510" s="261"/>
      <c r="D510" s="209"/>
      <c r="E510" s="209"/>
    </row>
    <row r="511" spans="2:5" ht="12.75">
      <c r="B511" s="209"/>
      <c r="C511" s="261"/>
      <c r="D511" s="209"/>
      <c r="E511" s="209"/>
    </row>
    <row r="512" spans="2:5" ht="12.75">
      <c r="B512" s="209"/>
      <c r="C512" s="261"/>
      <c r="D512" s="209"/>
      <c r="E512" s="209"/>
    </row>
    <row r="513" spans="2:5" ht="12.75">
      <c r="B513" s="209"/>
      <c r="C513" s="261"/>
      <c r="D513" s="209"/>
      <c r="E513" s="209"/>
    </row>
    <row r="514" spans="2:5" ht="12.75">
      <c r="B514" s="209"/>
      <c r="C514" s="261"/>
      <c r="D514" s="209"/>
      <c r="E514" s="209"/>
    </row>
    <row r="515" spans="2:5" ht="12.75">
      <c r="B515" s="209"/>
      <c r="C515" s="261"/>
      <c r="D515" s="209"/>
      <c r="E515" s="209"/>
    </row>
    <row r="516" spans="2:5" ht="12.75">
      <c r="B516" s="209"/>
      <c r="C516" s="261"/>
      <c r="D516" s="209"/>
      <c r="E516" s="209"/>
    </row>
    <row r="517" spans="2:5" ht="12.75">
      <c r="B517" s="209"/>
      <c r="C517" s="261"/>
      <c r="D517" s="209"/>
      <c r="E517" s="209"/>
    </row>
    <row r="518" spans="2:5" ht="12.75">
      <c r="B518" s="209"/>
      <c r="C518" s="261"/>
      <c r="D518" s="209"/>
      <c r="E518" s="209"/>
    </row>
    <row r="519" spans="2:5" ht="12.75">
      <c r="B519" s="209"/>
      <c r="C519" s="261"/>
      <c r="D519" s="209"/>
      <c r="E519" s="209"/>
    </row>
    <row r="520" spans="2:5" ht="12.75">
      <c r="B520" s="209"/>
      <c r="C520" s="261"/>
      <c r="D520" s="209"/>
      <c r="E520" s="209"/>
    </row>
    <row r="521" spans="2:5" ht="12.75">
      <c r="B521" s="209"/>
      <c r="C521" s="261"/>
      <c r="D521" s="209"/>
      <c r="E521" s="209"/>
    </row>
    <row r="522" spans="2:5" ht="12.75">
      <c r="B522" s="209"/>
      <c r="C522" s="261"/>
      <c r="D522" s="209"/>
      <c r="E522" s="209"/>
    </row>
    <row r="523" spans="2:5" ht="12.75">
      <c r="B523" s="209"/>
      <c r="C523" s="261"/>
      <c r="D523" s="209"/>
      <c r="E523" s="209"/>
    </row>
    <row r="524" spans="2:5" ht="12.75">
      <c r="B524" s="209"/>
      <c r="C524" s="261"/>
      <c r="D524" s="209"/>
      <c r="E524" s="209"/>
    </row>
    <row r="525" spans="2:5" ht="12.75">
      <c r="B525" s="209"/>
      <c r="C525" s="261"/>
      <c r="D525" s="209"/>
      <c r="E525" s="209"/>
    </row>
    <row r="526" spans="2:5" ht="12.75">
      <c r="B526" s="209"/>
      <c r="C526" s="261"/>
      <c r="D526" s="209"/>
      <c r="E526" s="209"/>
    </row>
    <row r="527" spans="2:5" ht="12.75">
      <c r="B527" s="209"/>
      <c r="C527" s="261"/>
      <c r="D527" s="209"/>
      <c r="E527" s="209"/>
    </row>
    <row r="528" spans="2:5" ht="12.75">
      <c r="B528" s="209"/>
      <c r="C528" s="261"/>
      <c r="D528" s="209"/>
      <c r="E528" s="209"/>
    </row>
    <row r="529" spans="2:5" ht="12.75">
      <c r="B529" s="209"/>
      <c r="C529" s="261"/>
      <c r="D529" s="209"/>
      <c r="E529" s="209"/>
    </row>
    <row r="530" spans="2:5" ht="12.75">
      <c r="B530" s="209"/>
      <c r="C530" s="261"/>
      <c r="D530" s="209"/>
      <c r="E530" s="209"/>
    </row>
    <row r="531" spans="2:5" ht="12.75">
      <c r="B531" s="209"/>
      <c r="C531" s="261"/>
      <c r="D531" s="209"/>
      <c r="E531" s="209"/>
    </row>
    <row r="532" spans="2:5" ht="12.75">
      <c r="B532" s="209"/>
      <c r="C532" s="261"/>
      <c r="D532" s="209"/>
      <c r="E532" s="209"/>
    </row>
    <row r="533" spans="2:5" ht="12.75">
      <c r="B533" s="209"/>
      <c r="C533" s="261"/>
      <c r="D533" s="209"/>
      <c r="E533" s="209"/>
    </row>
    <row r="534" spans="2:5" ht="12.75">
      <c r="B534" s="209"/>
      <c r="C534" s="261"/>
      <c r="D534" s="209"/>
      <c r="E534" s="209"/>
    </row>
    <row r="535" spans="2:5" ht="12.75">
      <c r="B535" s="209"/>
      <c r="C535" s="261"/>
      <c r="D535" s="209"/>
      <c r="E535" s="209"/>
    </row>
    <row r="536" spans="2:5" ht="12.75">
      <c r="B536" s="209"/>
      <c r="C536" s="261"/>
      <c r="D536" s="209"/>
      <c r="E536" s="209"/>
    </row>
    <row r="537" spans="2:5" ht="12.75">
      <c r="B537" s="209"/>
      <c r="C537" s="261"/>
      <c r="D537" s="209"/>
      <c r="E537" s="209"/>
    </row>
    <row r="538" spans="2:5" ht="12.75">
      <c r="B538" s="209"/>
      <c r="C538" s="261"/>
      <c r="D538" s="209"/>
      <c r="E538" s="209"/>
    </row>
    <row r="539" spans="2:5" ht="12.75">
      <c r="B539" s="209"/>
      <c r="C539" s="261"/>
      <c r="D539" s="209"/>
      <c r="E539" s="209"/>
    </row>
    <row r="540" spans="2:5" ht="12.75">
      <c r="B540" s="209"/>
      <c r="C540" s="261"/>
      <c r="D540" s="209"/>
      <c r="E540" s="209"/>
    </row>
    <row r="541" spans="2:5" ht="12.75">
      <c r="B541" s="209"/>
      <c r="C541" s="261"/>
      <c r="D541" s="209"/>
      <c r="E541" s="209"/>
    </row>
    <row r="542" spans="2:5" ht="12.75">
      <c r="B542" s="209"/>
      <c r="C542" s="261"/>
      <c r="D542" s="209"/>
      <c r="E542" s="209"/>
    </row>
    <row r="543" spans="2:5" ht="12.75">
      <c r="B543" s="209"/>
      <c r="C543" s="261"/>
      <c r="D543" s="209"/>
      <c r="E543" s="209"/>
    </row>
    <row r="544" spans="2:5" ht="12.75">
      <c r="B544" s="209"/>
      <c r="C544" s="261"/>
      <c r="D544" s="209"/>
      <c r="E544" s="209"/>
    </row>
    <row r="545" spans="2:5" ht="12.75">
      <c r="B545" s="209"/>
      <c r="C545" s="261"/>
      <c r="D545" s="209"/>
      <c r="E545" s="209"/>
    </row>
    <row r="546" spans="2:5" ht="12.75">
      <c r="B546" s="209"/>
      <c r="C546" s="261"/>
      <c r="D546" s="209"/>
      <c r="E546" s="209"/>
    </row>
    <row r="547" spans="2:5" ht="12.75">
      <c r="B547" s="209"/>
      <c r="C547" s="261"/>
      <c r="D547" s="209"/>
      <c r="E547" s="209"/>
    </row>
    <row r="548" spans="2:5" ht="12.75">
      <c r="B548" s="209"/>
      <c r="C548" s="261"/>
      <c r="D548" s="209"/>
      <c r="E548" s="209"/>
    </row>
    <row r="549" spans="2:5" ht="12.75">
      <c r="B549" s="209"/>
      <c r="C549" s="261"/>
      <c r="D549" s="209"/>
      <c r="E549" s="209"/>
    </row>
    <row r="550" spans="2:5" ht="12.75">
      <c r="B550" s="209"/>
      <c r="C550" s="261"/>
      <c r="D550" s="209"/>
      <c r="E550" s="209"/>
    </row>
    <row r="551" spans="2:5" ht="12.75">
      <c r="B551" s="209"/>
      <c r="C551" s="261"/>
      <c r="D551" s="209"/>
      <c r="E551" s="209"/>
    </row>
    <row r="552" spans="2:5" ht="12.75">
      <c r="B552" s="209"/>
      <c r="C552" s="261"/>
      <c r="D552" s="209"/>
      <c r="E552" s="209"/>
    </row>
    <row r="553" spans="2:5" ht="12.75">
      <c r="B553" s="209"/>
      <c r="C553" s="261"/>
      <c r="D553" s="209"/>
      <c r="E553" s="209"/>
    </row>
    <row r="554" spans="2:5" ht="12.75">
      <c r="B554" s="209"/>
      <c r="C554" s="261"/>
      <c r="D554" s="209"/>
      <c r="E554" s="209"/>
    </row>
    <row r="555" spans="2:5" ht="12.75">
      <c r="B555" s="209"/>
      <c r="C555" s="261"/>
      <c r="D555" s="209"/>
      <c r="E555" s="209"/>
    </row>
    <row r="556" spans="2:5" ht="12.75">
      <c r="B556" s="209"/>
      <c r="C556" s="261"/>
      <c r="D556" s="209"/>
      <c r="E556" s="209"/>
    </row>
    <row r="557" spans="2:5" ht="12.75">
      <c r="B557" s="209"/>
      <c r="C557" s="261"/>
      <c r="D557" s="209"/>
      <c r="E557" s="209"/>
    </row>
    <row r="558" spans="2:5" ht="12.75">
      <c r="B558" s="209"/>
      <c r="C558" s="261"/>
      <c r="D558" s="209"/>
      <c r="E558" s="209"/>
    </row>
    <row r="559" spans="2:5" ht="12.75">
      <c r="B559" s="209"/>
      <c r="C559" s="261"/>
      <c r="D559" s="209"/>
      <c r="E559" s="209"/>
    </row>
    <row r="560" spans="2:5" ht="12.75">
      <c r="B560" s="209"/>
      <c r="C560" s="261"/>
      <c r="D560" s="209"/>
      <c r="E560" s="209"/>
    </row>
    <row r="561" spans="2:5" ht="12.75">
      <c r="B561" s="209"/>
      <c r="C561" s="261"/>
      <c r="D561" s="209"/>
      <c r="E561" s="209"/>
    </row>
    <row r="562" spans="2:5" ht="12.75">
      <c r="B562" s="209"/>
      <c r="C562" s="261"/>
      <c r="D562" s="209"/>
      <c r="E562" s="209"/>
    </row>
    <row r="563" spans="2:5" ht="12.75">
      <c r="B563" s="209"/>
      <c r="C563" s="261"/>
      <c r="D563" s="209"/>
      <c r="E563" s="209"/>
    </row>
    <row r="564" spans="2:5" ht="12.75">
      <c r="B564" s="209"/>
      <c r="C564" s="261"/>
      <c r="D564" s="209"/>
      <c r="E564" s="209"/>
    </row>
    <row r="565" spans="2:5" ht="12.75">
      <c r="B565" s="209"/>
      <c r="C565" s="261"/>
      <c r="D565" s="209"/>
      <c r="E565" s="209"/>
    </row>
    <row r="566" spans="2:5" ht="12.75">
      <c r="B566" s="209"/>
      <c r="C566" s="261"/>
      <c r="D566" s="209"/>
      <c r="E566" s="209"/>
    </row>
    <row r="567" spans="2:5" ht="12.75">
      <c r="B567" s="209"/>
      <c r="C567" s="261"/>
      <c r="D567" s="209"/>
      <c r="E567" s="209"/>
    </row>
    <row r="568" spans="2:5" ht="12.75">
      <c r="B568" s="209"/>
      <c r="C568" s="261"/>
      <c r="D568" s="209"/>
      <c r="E568" s="209"/>
    </row>
    <row r="569" spans="2:5" ht="12.75">
      <c r="B569" s="209"/>
      <c r="C569" s="261"/>
      <c r="D569" s="209"/>
      <c r="E569" s="209"/>
    </row>
    <row r="570" spans="2:5" ht="12.75">
      <c r="B570" s="209"/>
      <c r="C570" s="261"/>
      <c r="D570" s="209"/>
      <c r="E570" s="209"/>
    </row>
    <row r="571" spans="2:5" ht="12.75">
      <c r="B571" s="209"/>
      <c r="C571" s="261"/>
      <c r="D571" s="209"/>
      <c r="E571" s="209"/>
    </row>
    <row r="572" spans="2:5" ht="12.75">
      <c r="B572" s="209"/>
      <c r="C572" s="261"/>
      <c r="D572" s="209"/>
      <c r="E572" s="209"/>
    </row>
    <row r="573" spans="2:5" ht="12.75">
      <c r="B573" s="209"/>
      <c r="C573" s="261"/>
      <c r="D573" s="209"/>
      <c r="E573" s="209"/>
    </row>
    <row r="574" spans="2:5" ht="12.75">
      <c r="B574" s="209"/>
      <c r="C574" s="261"/>
      <c r="D574" s="209"/>
      <c r="E574" s="209"/>
    </row>
    <row r="575" spans="2:5" ht="12.75">
      <c r="B575" s="209"/>
      <c r="C575" s="261"/>
      <c r="D575" s="209"/>
      <c r="E575" s="209"/>
    </row>
    <row r="576" spans="2:5" ht="12.75">
      <c r="B576" s="209"/>
      <c r="C576" s="261"/>
      <c r="D576" s="209"/>
      <c r="E576" s="209"/>
    </row>
    <row r="577" spans="2:5" ht="12.75">
      <c r="B577" s="209"/>
      <c r="C577" s="261"/>
      <c r="D577" s="209"/>
      <c r="E577" s="209"/>
    </row>
    <row r="578" spans="2:5" ht="12.75">
      <c r="B578" s="209"/>
      <c r="C578" s="261"/>
      <c r="D578" s="209"/>
      <c r="E578" s="209"/>
    </row>
    <row r="579" spans="2:5" ht="12.75">
      <c r="B579" s="209"/>
      <c r="C579" s="261"/>
      <c r="D579" s="209"/>
      <c r="E579" s="209"/>
    </row>
    <row r="580" spans="2:5" ht="12.75">
      <c r="B580" s="209"/>
      <c r="C580" s="261"/>
      <c r="D580" s="209"/>
      <c r="E580" s="209"/>
    </row>
    <row r="581" spans="2:5" ht="12.75">
      <c r="B581" s="209"/>
      <c r="C581" s="261"/>
      <c r="D581" s="209"/>
      <c r="E581" s="209"/>
    </row>
    <row r="582" spans="2:5" ht="12.75">
      <c r="B582" s="209"/>
      <c r="C582" s="261"/>
      <c r="D582" s="209"/>
      <c r="E582" s="209"/>
    </row>
    <row r="583" spans="2:5" ht="12.75">
      <c r="B583" s="209"/>
      <c r="C583" s="261"/>
      <c r="D583" s="209"/>
      <c r="E583" s="209"/>
    </row>
    <row r="584" spans="2:5" ht="12.75">
      <c r="B584" s="209"/>
      <c r="C584" s="261"/>
      <c r="D584" s="209"/>
      <c r="E584" s="209"/>
    </row>
    <row r="585" spans="2:5" ht="12.75">
      <c r="B585" s="209"/>
      <c r="C585" s="261"/>
      <c r="D585" s="209"/>
      <c r="E585" s="209"/>
    </row>
    <row r="586" spans="2:5" ht="12.75">
      <c r="B586" s="209"/>
      <c r="C586" s="261"/>
      <c r="D586" s="209"/>
      <c r="E586" s="209"/>
    </row>
    <row r="587" spans="2:5" ht="12.75">
      <c r="B587" s="209"/>
      <c r="C587" s="261"/>
      <c r="D587" s="209"/>
      <c r="E587" s="209"/>
    </row>
    <row r="588" spans="2:5" ht="12.75">
      <c r="B588" s="209"/>
      <c r="C588" s="261"/>
      <c r="D588" s="209"/>
      <c r="E588" s="209"/>
    </row>
    <row r="589" spans="2:5" ht="12.75">
      <c r="B589" s="209"/>
      <c r="C589" s="261"/>
      <c r="D589" s="209"/>
      <c r="E589" s="209"/>
    </row>
    <row r="590" spans="2:5" ht="12.75">
      <c r="B590" s="209"/>
      <c r="C590" s="261"/>
      <c r="D590" s="209"/>
      <c r="E590" s="209"/>
    </row>
    <row r="591" spans="2:5" ht="12.75">
      <c r="B591" s="209"/>
      <c r="C591" s="261"/>
      <c r="D591" s="209"/>
      <c r="E591" s="209"/>
    </row>
    <row r="592" spans="2:5" ht="12.75">
      <c r="B592" s="209"/>
      <c r="C592" s="261"/>
      <c r="D592" s="209"/>
      <c r="E592" s="209"/>
    </row>
    <row r="593" spans="2:5" ht="12.75">
      <c r="B593" s="209"/>
      <c r="C593" s="261"/>
      <c r="D593" s="209"/>
      <c r="E593" s="209"/>
    </row>
    <row r="594" spans="2:5" ht="12.75">
      <c r="B594" s="209"/>
      <c r="C594" s="261"/>
      <c r="D594" s="209"/>
      <c r="E594" s="209"/>
    </row>
    <row r="595" spans="2:5" ht="12.75">
      <c r="B595" s="209"/>
      <c r="C595" s="261"/>
      <c r="D595" s="209"/>
      <c r="E595" s="209"/>
    </row>
    <row r="596" spans="2:5" ht="12.75">
      <c r="B596" s="209"/>
      <c r="C596" s="261"/>
      <c r="D596" s="209"/>
      <c r="E596" s="209"/>
    </row>
    <row r="597" spans="2:5" ht="12.75">
      <c r="B597" s="209"/>
      <c r="C597" s="261"/>
      <c r="D597" s="209"/>
      <c r="E597" s="209"/>
    </row>
    <row r="598" spans="2:5" ht="12.75">
      <c r="B598" s="209"/>
      <c r="C598" s="261"/>
      <c r="D598" s="209"/>
      <c r="E598" s="209"/>
    </row>
    <row r="599" spans="2:5" ht="12.75">
      <c r="B599" s="209"/>
      <c r="C599" s="261"/>
      <c r="D599" s="209"/>
      <c r="E599" s="209"/>
    </row>
    <row r="600" spans="2:5" ht="12.75">
      <c r="B600" s="209"/>
      <c r="C600" s="261"/>
      <c r="D600" s="209"/>
      <c r="E600" s="209"/>
    </row>
    <row r="601" spans="2:5" ht="12.75">
      <c r="B601" s="209"/>
      <c r="C601" s="261"/>
      <c r="D601" s="209"/>
      <c r="E601" s="209"/>
    </row>
    <row r="602" spans="2:5" ht="12.75">
      <c r="B602" s="209"/>
      <c r="C602" s="261"/>
      <c r="D602" s="209"/>
      <c r="E602" s="209"/>
    </row>
    <row r="603" spans="2:5" ht="12.75">
      <c r="B603" s="209"/>
      <c r="C603" s="261"/>
      <c r="D603" s="209"/>
      <c r="E603" s="209"/>
    </row>
    <row r="604" spans="2:5" ht="12.75">
      <c r="B604" s="209"/>
      <c r="C604" s="261"/>
      <c r="D604" s="209"/>
      <c r="E604" s="209"/>
    </row>
    <row r="605" spans="2:5" ht="12.75">
      <c r="B605" s="209"/>
      <c r="C605" s="261"/>
      <c r="D605" s="209"/>
      <c r="E605" s="209"/>
    </row>
    <row r="606" spans="2:5" ht="12.75">
      <c r="B606" s="209"/>
      <c r="C606" s="261"/>
      <c r="D606" s="209"/>
      <c r="E606" s="209"/>
    </row>
    <row r="607" spans="2:5" ht="12.75">
      <c r="B607" s="209"/>
      <c r="C607" s="261"/>
      <c r="D607" s="209"/>
      <c r="E607" s="209"/>
    </row>
    <row r="608" spans="2:5" ht="12.75">
      <c r="B608" s="209"/>
      <c r="C608" s="261"/>
      <c r="D608" s="209"/>
      <c r="E608" s="209"/>
    </row>
    <row r="609" spans="2:5" ht="12.75">
      <c r="B609" s="209"/>
      <c r="C609" s="261"/>
      <c r="D609" s="209"/>
      <c r="E609" s="209"/>
    </row>
    <row r="610" spans="2:5" ht="12.75">
      <c r="B610" s="209"/>
      <c r="C610" s="261"/>
      <c r="D610" s="209"/>
      <c r="E610" s="209"/>
    </row>
    <row r="611" spans="2:5" ht="12.75">
      <c r="B611" s="209"/>
      <c r="C611" s="261"/>
      <c r="D611" s="209"/>
      <c r="E611" s="209"/>
    </row>
    <row r="612" spans="2:5" ht="12.75">
      <c r="B612" s="209"/>
      <c r="C612" s="261"/>
      <c r="D612" s="209"/>
      <c r="E612" s="209"/>
    </row>
    <row r="613" spans="2:5" ht="12.75">
      <c r="B613" s="209"/>
      <c r="C613" s="261"/>
      <c r="D613" s="209"/>
      <c r="E613" s="209"/>
    </row>
    <row r="614" spans="2:5" ht="12.75">
      <c r="B614" s="209"/>
      <c r="C614" s="261"/>
      <c r="D614" s="209"/>
      <c r="E614" s="209"/>
    </row>
    <row r="615" spans="2:5" ht="12.75">
      <c r="B615" s="209"/>
      <c r="C615" s="261"/>
      <c r="D615" s="209"/>
      <c r="E615" s="209"/>
    </row>
    <row r="616" spans="2:5" ht="12.75">
      <c r="B616" s="209"/>
      <c r="C616" s="261"/>
      <c r="D616" s="209"/>
      <c r="E616" s="209"/>
    </row>
    <row r="617" spans="2:5" ht="12.75">
      <c r="B617" s="209"/>
      <c r="C617" s="261"/>
      <c r="D617" s="209"/>
      <c r="E617" s="209"/>
    </row>
    <row r="618" spans="2:5" ht="12.75">
      <c r="B618" s="209"/>
      <c r="C618" s="261"/>
      <c r="D618" s="209"/>
      <c r="E618" s="209"/>
    </row>
    <row r="619" spans="2:5" ht="12.75">
      <c r="B619" s="209"/>
      <c r="C619" s="261"/>
      <c r="D619" s="209"/>
      <c r="E619" s="209"/>
    </row>
    <row r="620" spans="2:5" ht="12.75">
      <c r="B620" s="209"/>
      <c r="C620" s="261"/>
      <c r="D620" s="209"/>
      <c r="E620" s="209"/>
    </row>
    <row r="621" spans="2:5" ht="12.75">
      <c r="B621" s="209"/>
      <c r="C621" s="261"/>
      <c r="D621" s="209"/>
      <c r="E621" s="209"/>
    </row>
    <row r="622" spans="2:5" ht="12.75">
      <c r="B622" s="209"/>
      <c r="C622" s="261"/>
      <c r="D622" s="209"/>
      <c r="E622" s="209"/>
    </row>
    <row r="623" spans="2:5" ht="12.75">
      <c r="B623" s="209"/>
      <c r="C623" s="261"/>
      <c r="D623" s="209"/>
      <c r="E623" s="209"/>
    </row>
    <row r="624" spans="2:5" ht="12.75">
      <c r="B624" s="209"/>
      <c r="C624" s="261"/>
      <c r="D624" s="209"/>
      <c r="E624" s="209"/>
    </row>
    <row r="625" spans="2:5" ht="12.75">
      <c r="B625" s="209"/>
      <c r="C625" s="261"/>
      <c r="D625" s="209"/>
      <c r="E625" s="209"/>
    </row>
    <row r="626" spans="2:5" ht="12.75">
      <c r="B626" s="209"/>
      <c r="C626" s="261"/>
      <c r="D626" s="209"/>
      <c r="E626" s="209"/>
    </row>
    <row r="627" spans="2:5" ht="12.75">
      <c r="B627" s="209"/>
      <c r="C627" s="261"/>
      <c r="D627" s="209"/>
      <c r="E627" s="209"/>
    </row>
    <row r="628" spans="2:5" ht="12.75">
      <c r="B628" s="209"/>
      <c r="C628" s="261"/>
      <c r="D628" s="209"/>
      <c r="E628" s="209"/>
    </row>
    <row r="629" spans="2:5" ht="12.75">
      <c r="B629" s="209"/>
      <c r="C629" s="261"/>
      <c r="D629" s="209"/>
      <c r="E629" s="209"/>
    </row>
    <row r="630" spans="2:5" ht="12.75">
      <c r="B630" s="209"/>
      <c r="C630" s="261"/>
      <c r="D630" s="209"/>
      <c r="E630" s="209"/>
    </row>
    <row r="631" spans="2:5" ht="12.75">
      <c r="B631" s="209"/>
      <c r="C631" s="261"/>
      <c r="D631" s="209"/>
      <c r="E631" s="209"/>
    </row>
    <row r="632" spans="2:5" ht="12.75">
      <c r="B632" s="209"/>
      <c r="C632" s="261"/>
      <c r="D632" s="209"/>
      <c r="E632" s="209"/>
    </row>
    <row r="633" spans="2:5" ht="12.75">
      <c r="B633" s="209"/>
      <c r="C633" s="261"/>
      <c r="D633" s="209"/>
      <c r="E633" s="209"/>
    </row>
    <row r="634" spans="2:5" ht="12.75">
      <c r="B634" s="209"/>
      <c r="C634" s="261"/>
      <c r="D634" s="209"/>
      <c r="E634" s="209"/>
    </row>
    <row r="635" spans="2:5" ht="12.75">
      <c r="B635" s="209"/>
      <c r="C635" s="261"/>
      <c r="D635" s="209"/>
      <c r="E635" s="209"/>
    </row>
    <row r="636" spans="2:5" ht="12.75">
      <c r="B636" s="209"/>
      <c r="C636" s="261"/>
      <c r="D636" s="209"/>
      <c r="E636" s="209"/>
    </row>
    <row r="637" spans="2:5" ht="12.75">
      <c r="B637" s="209"/>
      <c r="C637" s="261"/>
      <c r="D637" s="209"/>
      <c r="E637" s="209"/>
    </row>
    <row r="638" spans="2:5" ht="12.75">
      <c r="B638" s="209"/>
      <c r="C638" s="261"/>
      <c r="D638" s="209"/>
      <c r="E638" s="209"/>
    </row>
    <row r="639" spans="2:5" ht="12.75">
      <c r="B639" s="209"/>
      <c r="C639" s="261"/>
      <c r="D639" s="209"/>
      <c r="E639" s="209"/>
    </row>
    <row r="640" spans="2:5" ht="12.75">
      <c r="B640" s="209"/>
      <c r="C640" s="261"/>
      <c r="D640" s="209"/>
      <c r="E640" s="209"/>
    </row>
    <row r="641" spans="2:5" ht="12.75">
      <c r="B641" s="209"/>
      <c r="C641" s="261"/>
      <c r="D641" s="209"/>
      <c r="E641" s="209"/>
    </row>
    <row r="642" spans="2:5" ht="12.75">
      <c r="B642" s="209"/>
      <c r="C642" s="261"/>
      <c r="D642" s="209"/>
      <c r="E642" s="209"/>
    </row>
    <row r="643" spans="2:5" ht="12.75">
      <c r="B643" s="209"/>
      <c r="C643" s="261"/>
      <c r="D643" s="209"/>
      <c r="E643" s="209"/>
    </row>
    <row r="644" spans="2:5" ht="12.75">
      <c r="B644" s="209"/>
      <c r="C644" s="261"/>
      <c r="D644" s="209"/>
      <c r="E644" s="209"/>
    </row>
    <row r="645" spans="2:5" ht="12.75">
      <c r="B645" s="209"/>
      <c r="C645" s="261"/>
      <c r="D645" s="209"/>
      <c r="E645" s="209"/>
    </row>
    <row r="646" spans="2:5" ht="12.75">
      <c r="B646" s="209"/>
      <c r="C646" s="261"/>
      <c r="D646" s="209"/>
      <c r="E646" s="209"/>
    </row>
    <row r="647" spans="2:5" ht="12.75">
      <c r="B647" s="209"/>
      <c r="C647" s="261"/>
      <c r="D647" s="209"/>
      <c r="E647" s="209"/>
    </row>
    <row r="648" spans="2:5" ht="12.75">
      <c r="B648" s="209"/>
      <c r="C648" s="261"/>
      <c r="D648" s="209"/>
      <c r="E648" s="209"/>
    </row>
    <row r="649" spans="2:5" ht="12.75">
      <c r="B649" s="209"/>
      <c r="C649" s="261"/>
      <c r="D649" s="209"/>
      <c r="E649" s="209"/>
    </row>
    <row r="650" spans="2:5" ht="12.75">
      <c r="B650" s="209"/>
      <c r="C650" s="261"/>
      <c r="D650" s="209"/>
      <c r="E650" s="209"/>
    </row>
    <row r="651" spans="2:5" ht="12.75">
      <c r="B651" s="209"/>
      <c r="C651" s="261"/>
      <c r="D651" s="209"/>
      <c r="E651" s="209"/>
    </row>
    <row r="652" spans="2:5" ht="12.75">
      <c r="B652" s="209"/>
      <c r="C652" s="261"/>
      <c r="D652" s="209"/>
      <c r="E652" s="209"/>
    </row>
    <row r="653" spans="2:5" ht="12.75">
      <c r="B653" s="209"/>
      <c r="C653" s="261"/>
      <c r="D653" s="209"/>
      <c r="E653" s="209"/>
    </row>
    <row r="654" spans="2:5" ht="12.75">
      <c r="B654" s="209"/>
      <c r="C654" s="261"/>
      <c r="D654" s="209"/>
      <c r="E654" s="209"/>
    </row>
    <row r="655" spans="2:5" ht="12.75">
      <c r="B655" s="209"/>
      <c r="C655" s="261"/>
      <c r="D655" s="209"/>
      <c r="E655" s="209"/>
    </row>
    <row r="656" spans="2:5" ht="12.75">
      <c r="B656" s="209"/>
      <c r="C656" s="261"/>
      <c r="D656" s="209"/>
      <c r="E656" s="209"/>
    </row>
    <row r="657" spans="2:5" ht="12.75">
      <c r="B657" s="209"/>
      <c r="C657" s="261"/>
      <c r="D657" s="209"/>
      <c r="E657" s="209"/>
    </row>
    <row r="658" spans="2:5" ht="12.75">
      <c r="B658" s="209"/>
      <c r="C658" s="261"/>
      <c r="D658" s="209"/>
      <c r="E658" s="209"/>
    </row>
    <row r="659" spans="2:5" ht="12.75">
      <c r="B659" s="209"/>
      <c r="C659" s="261"/>
      <c r="D659" s="209"/>
      <c r="E659" s="209"/>
    </row>
    <row r="660" spans="2:5" ht="12.75">
      <c r="B660" s="209"/>
      <c r="C660" s="261"/>
      <c r="D660" s="209"/>
      <c r="E660" s="209"/>
    </row>
    <row r="661" spans="2:5" ht="12.75">
      <c r="B661" s="209"/>
      <c r="C661" s="261"/>
      <c r="D661" s="209"/>
      <c r="E661" s="209"/>
    </row>
    <row r="662" spans="2:5" ht="12.75">
      <c r="B662" s="209"/>
      <c r="C662" s="261"/>
      <c r="D662" s="209"/>
      <c r="E662" s="209"/>
    </row>
    <row r="663" spans="2:5" ht="12.75">
      <c r="B663" s="209"/>
      <c r="C663" s="261"/>
      <c r="D663" s="209"/>
      <c r="E663" s="209"/>
    </row>
    <row r="664" spans="2:5" ht="12.75">
      <c r="B664" s="209"/>
      <c r="C664" s="261"/>
      <c r="D664" s="209"/>
      <c r="E664" s="209"/>
    </row>
    <row r="665" spans="2:5" ht="12.75">
      <c r="B665" s="209"/>
      <c r="C665" s="261"/>
      <c r="D665" s="209"/>
      <c r="E665" s="209"/>
    </row>
    <row r="666" spans="2:5" ht="12.75">
      <c r="B666" s="209"/>
      <c r="C666" s="261"/>
      <c r="D666" s="209"/>
      <c r="E666" s="209"/>
    </row>
    <row r="667" spans="2:5" ht="12.75">
      <c r="B667" s="209"/>
      <c r="C667" s="261"/>
      <c r="D667" s="209"/>
      <c r="E667" s="209"/>
    </row>
    <row r="668" spans="2:5" ht="12.75">
      <c r="B668" s="209"/>
      <c r="C668" s="261"/>
      <c r="D668" s="209"/>
      <c r="E668" s="209"/>
    </row>
    <row r="669" spans="2:5" ht="12.75">
      <c r="B669" s="209"/>
      <c r="C669" s="261"/>
      <c r="D669" s="209"/>
      <c r="E669" s="209"/>
    </row>
    <row r="670" spans="2:5" ht="12.75">
      <c r="B670" s="209"/>
      <c r="C670" s="261"/>
      <c r="D670" s="209"/>
      <c r="E670" s="209"/>
    </row>
    <row r="671" spans="2:5" ht="12.75">
      <c r="B671" s="209"/>
      <c r="C671" s="261"/>
      <c r="D671" s="209"/>
      <c r="E671" s="209"/>
    </row>
    <row r="672" spans="2:5" ht="12.75">
      <c r="B672" s="209"/>
      <c r="C672" s="261"/>
      <c r="D672" s="209"/>
      <c r="E672" s="209"/>
    </row>
    <row r="673" spans="2:5" ht="12.75">
      <c r="B673" s="209"/>
      <c r="C673" s="261"/>
      <c r="D673" s="209"/>
      <c r="E673" s="209"/>
    </row>
    <row r="674" spans="2:5" ht="12.75">
      <c r="B674" s="209"/>
      <c r="C674" s="261"/>
      <c r="D674" s="209"/>
      <c r="E674" s="209"/>
    </row>
    <row r="675" spans="2:5" ht="12.75">
      <c r="B675" s="209"/>
      <c r="C675" s="261"/>
      <c r="D675" s="209"/>
      <c r="E675" s="209"/>
    </row>
    <row r="676" spans="2:5" ht="12.75">
      <c r="B676" s="209"/>
      <c r="C676" s="261"/>
      <c r="D676" s="209"/>
      <c r="E676" s="209"/>
    </row>
    <row r="677" spans="2:5" ht="12.75">
      <c r="B677" s="209"/>
      <c r="C677" s="261"/>
      <c r="D677" s="209"/>
      <c r="E677" s="209"/>
    </row>
    <row r="678" spans="2:5" ht="12.75">
      <c r="B678" s="209"/>
      <c r="C678" s="261"/>
      <c r="D678" s="209"/>
      <c r="E678" s="209"/>
    </row>
    <row r="679" spans="2:5" ht="12.75">
      <c r="B679" s="209"/>
      <c r="C679" s="261"/>
      <c r="D679" s="209"/>
      <c r="E679" s="209"/>
    </row>
    <row r="680" spans="2:5" ht="12.75">
      <c r="B680" s="209"/>
      <c r="C680" s="261"/>
      <c r="D680" s="209"/>
      <c r="E680" s="209"/>
    </row>
    <row r="681" spans="2:5" ht="12.75">
      <c r="B681" s="209"/>
      <c r="C681" s="261"/>
      <c r="D681" s="209"/>
      <c r="E681" s="209"/>
    </row>
    <row r="682" spans="2:5" ht="12.75">
      <c r="B682" s="209"/>
      <c r="C682" s="261"/>
      <c r="D682" s="209"/>
      <c r="E682" s="209"/>
    </row>
    <row r="683" spans="2:5" ht="12.75">
      <c r="B683" s="209"/>
      <c r="C683" s="261"/>
      <c r="D683" s="209"/>
      <c r="E683" s="209"/>
    </row>
    <row r="684" spans="2:5" ht="12.75">
      <c r="B684" s="209"/>
      <c r="C684" s="261"/>
      <c r="D684" s="209"/>
      <c r="E684" s="209"/>
    </row>
    <row r="685" spans="2:5" ht="12.75">
      <c r="B685" s="209"/>
      <c r="C685" s="261"/>
      <c r="D685" s="209"/>
      <c r="E685" s="209"/>
    </row>
    <row r="686" spans="2:5" ht="12.75">
      <c r="B686" s="209"/>
      <c r="C686" s="261"/>
      <c r="D686" s="209"/>
      <c r="E686" s="209"/>
    </row>
    <row r="687" spans="2:5" ht="12.75">
      <c r="B687" s="209"/>
      <c r="C687" s="261"/>
      <c r="D687" s="209"/>
      <c r="E687" s="209"/>
    </row>
    <row r="688" spans="2:5" ht="12.75">
      <c r="B688" s="209"/>
      <c r="C688" s="261"/>
      <c r="D688" s="209"/>
      <c r="E688" s="209"/>
    </row>
    <row r="689" spans="2:5" ht="12.75">
      <c r="B689" s="209"/>
      <c r="C689" s="261"/>
      <c r="D689" s="209"/>
      <c r="E689" s="209"/>
    </row>
    <row r="690" spans="2:5" ht="12.75">
      <c r="B690" s="209"/>
      <c r="C690" s="261"/>
      <c r="D690" s="209"/>
      <c r="E690" s="209"/>
    </row>
    <row r="691" spans="2:5" ht="12.75">
      <c r="B691" s="209"/>
      <c r="C691" s="261"/>
      <c r="D691" s="209"/>
      <c r="E691" s="209"/>
    </row>
    <row r="692" spans="2:5" ht="12.75">
      <c r="B692" s="209"/>
      <c r="C692" s="261"/>
      <c r="D692" s="209"/>
      <c r="E692" s="209"/>
    </row>
    <row r="693" spans="2:5" ht="12.75">
      <c r="B693" s="209"/>
      <c r="C693" s="261"/>
      <c r="D693" s="209"/>
      <c r="E693" s="209"/>
    </row>
    <row r="694" spans="2:5" ht="12.75">
      <c r="B694" s="209"/>
      <c r="C694" s="261"/>
      <c r="D694" s="209"/>
      <c r="E694" s="209"/>
    </row>
    <row r="695" spans="2:5" ht="12.75">
      <c r="B695" s="209"/>
      <c r="C695" s="261"/>
      <c r="D695" s="209"/>
      <c r="E695" s="209"/>
    </row>
    <row r="696" spans="2:5" ht="12.75">
      <c r="B696" s="209"/>
      <c r="C696" s="261"/>
      <c r="D696" s="209"/>
      <c r="E696" s="209"/>
    </row>
    <row r="697" spans="2:5" ht="12.75">
      <c r="B697" s="209"/>
      <c r="C697" s="261"/>
      <c r="D697" s="209"/>
      <c r="E697" s="209"/>
    </row>
    <row r="698" spans="2:5" ht="12.75">
      <c r="B698" s="209"/>
      <c r="C698" s="261"/>
      <c r="D698" s="209"/>
      <c r="E698" s="209"/>
    </row>
    <row r="699" spans="2:5" ht="12.75">
      <c r="B699" s="209"/>
      <c r="C699" s="261"/>
      <c r="D699" s="209"/>
      <c r="E699" s="209"/>
    </row>
    <row r="700" spans="2:5" ht="12.75">
      <c r="B700" s="209"/>
      <c r="C700" s="261"/>
      <c r="D700" s="209"/>
      <c r="E700" s="209"/>
    </row>
    <row r="701" spans="2:5" ht="12.75">
      <c r="B701" s="209"/>
      <c r="C701" s="261"/>
      <c r="D701" s="209"/>
      <c r="E701" s="209"/>
    </row>
    <row r="702" spans="2:5" ht="12.75">
      <c r="B702" s="209"/>
      <c r="C702" s="261"/>
      <c r="D702" s="209"/>
      <c r="E702" s="209"/>
    </row>
    <row r="703" spans="2:5" ht="12.75">
      <c r="B703" s="209"/>
      <c r="C703" s="261"/>
      <c r="D703" s="209"/>
      <c r="E703" s="209"/>
    </row>
    <row r="704" spans="2:5" ht="12.75">
      <c r="B704" s="209"/>
      <c r="C704" s="261"/>
      <c r="D704" s="209"/>
      <c r="E704" s="209"/>
    </row>
    <row r="705" spans="2:5" ht="12.75">
      <c r="B705" s="209"/>
      <c r="C705" s="261"/>
      <c r="D705" s="209"/>
      <c r="E705" s="209"/>
    </row>
    <row r="706" spans="2:5" ht="12.75">
      <c r="B706" s="209"/>
      <c r="C706" s="261"/>
      <c r="D706" s="209"/>
      <c r="E706" s="209"/>
    </row>
    <row r="707" spans="2:5" ht="12.75">
      <c r="B707" s="209"/>
      <c r="C707" s="261"/>
      <c r="D707" s="209"/>
      <c r="E707" s="209"/>
    </row>
    <row r="708" spans="2:5" ht="12.75">
      <c r="B708" s="209"/>
      <c r="C708" s="261"/>
      <c r="D708" s="209"/>
      <c r="E708" s="209"/>
    </row>
    <row r="709" spans="2:5" ht="12.75">
      <c r="B709" s="209"/>
      <c r="C709" s="261"/>
      <c r="D709" s="209"/>
      <c r="E709" s="209"/>
    </row>
    <row r="710" spans="2:5" ht="12.75">
      <c r="B710" s="209"/>
      <c r="C710" s="261"/>
      <c r="D710" s="209"/>
      <c r="E710" s="209"/>
    </row>
    <row r="711" spans="2:5" ht="12.75">
      <c r="B711" s="209"/>
      <c r="C711" s="261"/>
      <c r="D711" s="209"/>
      <c r="E711" s="209"/>
    </row>
    <row r="712" spans="2:5" ht="12.75">
      <c r="B712" s="209"/>
      <c r="C712" s="261"/>
      <c r="D712" s="209"/>
      <c r="E712" s="209"/>
    </row>
    <row r="713" spans="2:5" ht="12.75">
      <c r="B713" s="209"/>
      <c r="C713" s="261"/>
      <c r="D713" s="209"/>
      <c r="E713" s="209"/>
    </row>
    <row r="714" spans="2:5" ht="12.75">
      <c r="B714" s="209"/>
      <c r="C714" s="261"/>
      <c r="D714" s="209"/>
      <c r="E714" s="209"/>
    </row>
    <row r="715" spans="2:5" ht="12.75">
      <c r="B715" s="209"/>
      <c r="C715" s="261"/>
      <c r="D715" s="209"/>
      <c r="E715" s="209"/>
    </row>
    <row r="716" spans="2:5" ht="12.75">
      <c r="B716" s="209"/>
      <c r="C716" s="261"/>
      <c r="D716" s="209"/>
      <c r="E716" s="209"/>
    </row>
    <row r="717" spans="2:5" ht="12.75">
      <c r="B717" s="209"/>
      <c r="C717" s="261"/>
      <c r="D717" s="209"/>
      <c r="E717" s="209"/>
    </row>
    <row r="718" spans="2:5" ht="12.75">
      <c r="B718" s="209"/>
      <c r="C718" s="261"/>
      <c r="D718" s="209"/>
      <c r="E718" s="209"/>
    </row>
    <row r="719" spans="2:5" ht="12.75">
      <c r="B719" s="209"/>
      <c r="C719" s="261"/>
      <c r="D719" s="209"/>
      <c r="E719" s="209"/>
    </row>
    <row r="720" spans="2:5" ht="12.75">
      <c r="B720" s="209"/>
      <c r="C720" s="261"/>
      <c r="D720" s="209"/>
      <c r="E720" s="209"/>
    </row>
    <row r="721" spans="2:5" ht="12.75">
      <c r="B721" s="209"/>
      <c r="C721" s="261"/>
      <c r="D721" s="209"/>
      <c r="E721" s="209"/>
    </row>
    <row r="722" spans="2:5" ht="12.75">
      <c r="B722" s="209"/>
      <c r="C722" s="261"/>
      <c r="D722" s="209"/>
      <c r="E722" s="209"/>
    </row>
    <row r="723" spans="2:5" ht="12.75">
      <c r="B723" s="209"/>
      <c r="C723" s="261"/>
      <c r="D723" s="209"/>
      <c r="E723" s="209"/>
    </row>
    <row r="724" spans="2:5" ht="12.75">
      <c r="B724" s="209"/>
      <c r="C724" s="261"/>
      <c r="D724" s="209"/>
      <c r="E724" s="209"/>
    </row>
    <row r="725" spans="2:5" ht="12.75">
      <c r="B725" s="209"/>
      <c r="C725" s="261"/>
      <c r="D725" s="209"/>
      <c r="E725" s="209"/>
    </row>
    <row r="726" spans="2:5" ht="12.75">
      <c r="B726" s="209"/>
      <c r="C726" s="261"/>
      <c r="D726" s="209"/>
      <c r="E726" s="209"/>
    </row>
    <row r="727" spans="2:5" ht="12.75">
      <c r="B727" s="209"/>
      <c r="C727" s="261"/>
      <c r="D727" s="209"/>
      <c r="E727" s="209"/>
    </row>
    <row r="728" spans="2:5" ht="12.75">
      <c r="B728" s="209"/>
      <c r="C728" s="261"/>
      <c r="D728" s="209"/>
      <c r="E728" s="209"/>
    </row>
    <row r="729" spans="2:5" ht="12.75">
      <c r="B729" s="209"/>
      <c r="C729" s="261"/>
      <c r="D729" s="209"/>
      <c r="E729" s="209"/>
    </row>
    <row r="730" spans="2:5" ht="12.75">
      <c r="B730" s="209"/>
      <c r="C730" s="261"/>
      <c r="D730" s="209"/>
      <c r="E730" s="209"/>
    </row>
    <row r="731" spans="2:5" ht="12.75">
      <c r="B731" s="209"/>
      <c r="C731" s="261"/>
      <c r="D731" s="209"/>
      <c r="E731" s="209"/>
    </row>
    <row r="732" spans="2:5" ht="12.75">
      <c r="B732" s="209"/>
      <c r="C732" s="261"/>
      <c r="D732" s="209"/>
      <c r="E732" s="209"/>
    </row>
    <row r="733" spans="2:5" ht="12.75">
      <c r="B733" s="209"/>
      <c r="C733" s="261"/>
      <c r="D733" s="209"/>
      <c r="E733" s="209"/>
    </row>
    <row r="734" spans="2:5" ht="12.75">
      <c r="B734" s="209"/>
      <c r="C734" s="261"/>
      <c r="D734" s="209"/>
      <c r="E734" s="209"/>
    </row>
    <row r="735" spans="2:5" ht="12.75">
      <c r="B735" s="209"/>
      <c r="C735" s="261"/>
      <c r="D735" s="209"/>
      <c r="E735" s="209"/>
    </row>
    <row r="736" spans="2:5" ht="12.75">
      <c r="B736" s="209"/>
      <c r="C736" s="261"/>
      <c r="D736" s="209"/>
      <c r="E736" s="209"/>
    </row>
    <row r="737" spans="2:5" ht="12.75">
      <c r="B737" s="209"/>
      <c r="C737" s="261"/>
      <c r="D737" s="209"/>
      <c r="E737" s="209"/>
    </row>
    <row r="738" spans="2:5" ht="12.75">
      <c r="B738" s="209"/>
      <c r="C738" s="261"/>
      <c r="D738" s="209"/>
      <c r="E738" s="209"/>
    </row>
    <row r="739" spans="2:5" ht="12.75">
      <c r="B739" s="209"/>
      <c r="C739" s="261"/>
      <c r="D739" s="209"/>
      <c r="E739" s="209"/>
    </row>
    <row r="740" spans="2:5" ht="12.75">
      <c r="B740" s="209"/>
      <c r="C740" s="261"/>
      <c r="D740" s="209"/>
      <c r="E740" s="209"/>
    </row>
    <row r="741" spans="2:5" ht="12.75">
      <c r="B741" s="209"/>
      <c r="C741" s="261"/>
      <c r="D741" s="209"/>
      <c r="E741" s="209"/>
    </row>
    <row r="742" spans="2:5" ht="12.75">
      <c r="B742" s="209"/>
      <c r="C742" s="261"/>
      <c r="D742" s="209"/>
      <c r="E742" s="209"/>
    </row>
    <row r="743" spans="2:5" ht="12.75">
      <c r="B743" s="209"/>
      <c r="C743" s="261"/>
      <c r="D743" s="209"/>
      <c r="E743" s="209"/>
    </row>
    <row r="744" spans="2:5" ht="12.75">
      <c r="B744" s="209"/>
      <c r="C744" s="261"/>
      <c r="D744" s="209"/>
      <c r="E744" s="209"/>
    </row>
    <row r="745" spans="2:5" ht="12.75">
      <c r="B745" s="209"/>
      <c r="C745" s="261"/>
      <c r="D745" s="209"/>
      <c r="E745" s="209"/>
    </row>
    <row r="746" spans="2:5" ht="12.75">
      <c r="B746" s="209"/>
      <c r="C746" s="261"/>
      <c r="D746" s="209"/>
      <c r="E746" s="209"/>
    </row>
    <row r="747" spans="2:5" ht="12.75">
      <c r="B747" s="209"/>
      <c r="C747" s="261"/>
      <c r="D747" s="209"/>
      <c r="E747" s="209"/>
    </row>
    <row r="748" spans="2:5" ht="12.75">
      <c r="B748" s="209"/>
      <c r="C748" s="261"/>
      <c r="D748" s="209"/>
      <c r="E748" s="209"/>
    </row>
    <row r="749" spans="2:5" ht="12.75">
      <c r="B749" s="209"/>
      <c r="C749" s="261"/>
      <c r="D749" s="209"/>
      <c r="E749" s="209"/>
    </row>
    <row r="750" spans="2:5" ht="12.75">
      <c r="B750" s="209"/>
      <c r="C750" s="261"/>
      <c r="D750" s="209"/>
      <c r="E750" s="209"/>
    </row>
    <row r="751" spans="2:5" ht="12.75">
      <c r="B751" s="209"/>
      <c r="C751" s="261"/>
      <c r="D751" s="209"/>
      <c r="E751" s="209"/>
    </row>
    <row r="752" spans="2:5" ht="12.75">
      <c r="B752" s="209"/>
      <c r="C752" s="261"/>
      <c r="D752" s="209"/>
      <c r="E752" s="209"/>
    </row>
    <row r="753" spans="2:5" ht="12.75">
      <c r="B753" s="209"/>
      <c r="C753" s="261"/>
      <c r="D753" s="209"/>
      <c r="E753" s="209"/>
    </row>
    <row r="754" spans="2:5" ht="12.75">
      <c r="B754" s="209"/>
      <c r="C754" s="261"/>
      <c r="D754" s="209"/>
      <c r="E754" s="209"/>
    </row>
    <row r="755" spans="2:5" ht="12.75">
      <c r="B755" s="209"/>
      <c r="C755" s="261"/>
      <c r="D755" s="209"/>
      <c r="E755" s="209"/>
    </row>
    <row r="756" spans="2:5" ht="12.75">
      <c r="B756" s="209"/>
      <c r="C756" s="261"/>
      <c r="D756" s="209"/>
      <c r="E756" s="209"/>
    </row>
    <row r="757" spans="2:5" ht="12.75">
      <c r="B757" s="209"/>
      <c r="C757" s="261"/>
      <c r="D757" s="209"/>
      <c r="E757" s="209"/>
    </row>
    <row r="758" spans="2:5" ht="12.75">
      <c r="B758" s="209"/>
      <c r="C758" s="261"/>
      <c r="D758" s="209"/>
      <c r="E758" s="209"/>
    </row>
    <row r="759" spans="2:5" ht="12.75">
      <c r="B759" s="209"/>
      <c r="C759" s="261"/>
      <c r="D759" s="209"/>
      <c r="E759" s="209"/>
    </row>
    <row r="760" spans="2:5" ht="12.75">
      <c r="B760" s="209"/>
      <c r="C760" s="261"/>
      <c r="D760" s="209"/>
      <c r="E760" s="209"/>
    </row>
    <row r="761" spans="2:5" ht="12.75">
      <c r="B761" s="209"/>
      <c r="C761" s="261"/>
      <c r="D761" s="209"/>
      <c r="E761" s="209"/>
    </row>
    <row r="762" spans="2:5" ht="12.75">
      <c r="B762" s="209"/>
      <c r="C762" s="261"/>
      <c r="D762" s="209"/>
      <c r="E762" s="209"/>
    </row>
    <row r="763" spans="2:5" ht="12.75">
      <c r="B763" s="209"/>
      <c r="C763" s="261"/>
      <c r="D763" s="209"/>
      <c r="E763" s="209"/>
    </row>
    <row r="764" spans="2:5" ht="12.75">
      <c r="B764" s="209"/>
      <c r="C764" s="261"/>
      <c r="D764" s="209"/>
      <c r="E764" s="209"/>
    </row>
    <row r="765" spans="2:5" ht="12.75">
      <c r="B765" s="209"/>
      <c r="C765" s="261"/>
      <c r="D765" s="209"/>
      <c r="E765" s="209"/>
    </row>
    <row r="766" spans="2:5" ht="12.75">
      <c r="B766" s="209"/>
      <c r="C766" s="261"/>
      <c r="D766" s="209"/>
      <c r="E766" s="209"/>
    </row>
    <row r="767" spans="2:5" ht="12.75">
      <c r="B767" s="209"/>
      <c r="C767" s="261"/>
      <c r="D767" s="209"/>
      <c r="E767" s="209"/>
    </row>
    <row r="768" spans="2:5" ht="12.75">
      <c r="B768" s="209"/>
      <c r="C768" s="261"/>
      <c r="D768" s="209"/>
      <c r="E768" s="209"/>
    </row>
    <row r="769" spans="2:5" ht="12.75">
      <c r="B769" s="209"/>
      <c r="C769" s="261"/>
      <c r="D769" s="209"/>
      <c r="E769" s="209"/>
    </row>
    <row r="770" spans="2:5" ht="12.75">
      <c r="B770" s="209"/>
      <c r="C770" s="261"/>
      <c r="D770" s="209"/>
      <c r="E770" s="209"/>
    </row>
    <row r="771" spans="2:5" ht="12.75">
      <c r="B771" s="209"/>
      <c r="C771" s="261"/>
      <c r="D771" s="209"/>
      <c r="E771" s="209"/>
    </row>
    <row r="772" spans="2:5" ht="12.75">
      <c r="B772" s="209"/>
      <c r="C772" s="261"/>
      <c r="D772" s="209"/>
      <c r="E772" s="209"/>
    </row>
    <row r="773" spans="2:5" ht="12.75">
      <c r="B773" s="209"/>
      <c r="C773" s="261"/>
      <c r="D773" s="209"/>
      <c r="E773" s="209"/>
    </row>
    <row r="774" spans="2:5" ht="12.75">
      <c r="B774" s="209"/>
      <c r="C774" s="261"/>
      <c r="D774" s="209"/>
      <c r="E774" s="209"/>
    </row>
    <row r="775" spans="2:5" ht="12.75">
      <c r="B775" s="209"/>
      <c r="C775" s="261"/>
      <c r="D775" s="209"/>
      <c r="E775" s="209"/>
    </row>
    <row r="776" spans="2:5" ht="12.75">
      <c r="B776" s="209"/>
      <c r="C776" s="261"/>
      <c r="D776" s="209"/>
      <c r="E776" s="209"/>
    </row>
    <row r="777" spans="2:5" ht="12.75">
      <c r="B777" s="209"/>
      <c r="C777" s="261"/>
      <c r="D777" s="209"/>
      <c r="E777" s="209"/>
    </row>
    <row r="778" spans="2:5" ht="12.75">
      <c r="B778" s="209"/>
      <c r="C778" s="261"/>
      <c r="D778" s="209"/>
      <c r="E778" s="209"/>
    </row>
    <row r="779" spans="2:5" ht="12.75">
      <c r="B779" s="209"/>
      <c r="C779" s="261"/>
      <c r="D779" s="209"/>
      <c r="E779" s="209"/>
    </row>
    <row r="780" spans="2:5" ht="12.75">
      <c r="B780" s="209"/>
      <c r="C780" s="261"/>
      <c r="D780" s="209"/>
      <c r="E780" s="209"/>
    </row>
    <row r="781" spans="2:5" ht="12.75">
      <c r="B781" s="209"/>
      <c r="C781" s="261"/>
      <c r="D781" s="209"/>
      <c r="E781" s="209"/>
    </row>
    <row r="782" spans="2:5" ht="12.75">
      <c r="B782" s="209"/>
      <c r="C782" s="261"/>
      <c r="D782" s="209"/>
      <c r="E782" s="209"/>
    </row>
    <row r="783" spans="2:5" ht="12.75">
      <c r="B783" s="209"/>
      <c r="C783" s="261"/>
      <c r="D783" s="209"/>
      <c r="E783" s="209"/>
    </row>
    <row r="784" spans="2:5" ht="12.75">
      <c r="B784" s="209"/>
      <c r="C784" s="261"/>
      <c r="D784" s="209"/>
      <c r="E784" s="209"/>
    </row>
    <row r="785" spans="2:5" ht="12.75">
      <c r="B785" s="209"/>
      <c r="C785" s="261"/>
      <c r="D785" s="209"/>
      <c r="E785" s="209"/>
    </row>
    <row r="786" spans="2:5" ht="12.75">
      <c r="B786" s="209"/>
      <c r="C786" s="261"/>
      <c r="D786" s="209"/>
      <c r="E786" s="209"/>
    </row>
    <row r="787" spans="2:5" ht="12.75">
      <c r="B787" s="209"/>
      <c r="C787" s="261"/>
      <c r="D787" s="209"/>
      <c r="E787" s="209"/>
    </row>
    <row r="788" spans="2:5" ht="12.75">
      <c r="B788" s="209"/>
      <c r="C788" s="261"/>
      <c r="D788" s="209"/>
      <c r="E788" s="209"/>
    </row>
    <row r="789" spans="2:5" ht="12.75">
      <c r="B789" s="209"/>
      <c r="C789" s="261"/>
      <c r="D789" s="209"/>
      <c r="E789" s="209"/>
    </row>
    <row r="790" spans="2:5" ht="12.75">
      <c r="B790" s="209"/>
      <c r="C790" s="261"/>
      <c r="D790" s="209"/>
      <c r="E790" s="209"/>
    </row>
    <row r="791" spans="2:5" ht="12.75">
      <c r="B791" s="209"/>
      <c r="C791" s="261"/>
      <c r="D791" s="209"/>
      <c r="E791" s="209"/>
    </row>
    <row r="792" spans="2:5" ht="12.75">
      <c r="B792" s="209"/>
      <c r="C792" s="261"/>
      <c r="D792" s="209"/>
      <c r="E792" s="209"/>
    </row>
    <row r="793" spans="2:5" ht="12.75">
      <c r="B793" s="209"/>
      <c r="C793" s="261"/>
      <c r="D793" s="209"/>
      <c r="E793" s="209"/>
    </row>
    <row r="794" spans="2:5" ht="12.75">
      <c r="B794" s="209"/>
      <c r="C794" s="261"/>
      <c r="D794" s="209"/>
      <c r="E794" s="209"/>
    </row>
    <row r="795" spans="2:5" ht="12.75">
      <c r="B795" s="209"/>
      <c r="C795" s="261"/>
      <c r="D795" s="209"/>
      <c r="E795" s="209"/>
    </row>
    <row r="796" spans="2:5" ht="12.75">
      <c r="B796" s="209"/>
      <c r="C796" s="261"/>
      <c r="D796" s="209"/>
      <c r="E796" s="209"/>
    </row>
    <row r="797" spans="2:5" ht="12.75">
      <c r="B797" s="209"/>
      <c r="C797" s="261"/>
      <c r="D797" s="209"/>
      <c r="E797" s="209"/>
    </row>
    <row r="798" spans="2:5" ht="12.75">
      <c r="B798" s="209"/>
      <c r="C798" s="261"/>
      <c r="D798" s="209"/>
      <c r="E798" s="209"/>
    </row>
    <row r="799" spans="2:5" ht="12.75">
      <c r="B799" s="209"/>
      <c r="C799" s="261"/>
      <c r="D799" s="209"/>
      <c r="E799" s="209"/>
    </row>
    <row r="800" spans="2:5" ht="12.75">
      <c r="B800" s="209"/>
      <c r="C800" s="261"/>
      <c r="D800" s="209"/>
      <c r="E800" s="209"/>
    </row>
    <row r="801" spans="2:5" ht="12.75">
      <c r="B801" s="209"/>
      <c r="C801" s="261"/>
      <c r="D801" s="209"/>
      <c r="E801" s="209"/>
    </row>
    <row r="802" spans="2:5" ht="12.75">
      <c r="B802" s="209"/>
      <c r="C802" s="261"/>
      <c r="D802" s="209"/>
      <c r="E802" s="209"/>
    </row>
    <row r="803" spans="2:5" ht="12.75">
      <c r="B803" s="209"/>
      <c r="C803" s="261"/>
      <c r="D803" s="209"/>
      <c r="E803" s="209"/>
    </row>
    <row r="804" spans="2:5" ht="12.75">
      <c r="B804" s="209"/>
      <c r="C804" s="261"/>
      <c r="D804" s="209"/>
      <c r="E804" s="209"/>
    </row>
    <row r="805" spans="2:5" ht="12.75">
      <c r="B805" s="209"/>
      <c r="C805" s="261"/>
      <c r="D805" s="209"/>
      <c r="E805" s="209"/>
    </row>
    <row r="806" spans="2:5" ht="12.75">
      <c r="B806" s="209"/>
      <c r="C806" s="261"/>
      <c r="D806" s="209"/>
      <c r="E806" s="209"/>
    </row>
    <row r="807" spans="2:5" ht="12.75">
      <c r="B807" s="209"/>
      <c r="C807" s="261"/>
      <c r="D807" s="209"/>
      <c r="E807" s="209"/>
    </row>
    <row r="808" spans="2:5" ht="12.75">
      <c r="B808" s="209"/>
      <c r="C808" s="261"/>
      <c r="D808" s="209"/>
      <c r="E808" s="209"/>
    </row>
    <row r="809" spans="2:5" ht="12.75">
      <c r="B809" s="209"/>
      <c r="C809" s="261"/>
      <c r="D809" s="209"/>
      <c r="E809" s="209"/>
    </row>
    <row r="810" spans="2:5" ht="12.75">
      <c r="B810" s="209"/>
      <c r="C810" s="261"/>
      <c r="D810" s="209"/>
      <c r="E810" s="209"/>
    </row>
    <row r="811" spans="2:5" ht="12.75">
      <c r="B811" s="209"/>
      <c r="C811" s="261"/>
      <c r="D811" s="209"/>
      <c r="E811" s="209"/>
    </row>
    <row r="812" spans="2:5" ht="12.75">
      <c r="B812" s="209"/>
      <c r="C812" s="261"/>
      <c r="D812" s="209"/>
      <c r="E812" s="209"/>
    </row>
    <row r="813" spans="2:5" ht="12.75">
      <c r="B813" s="209"/>
      <c r="C813" s="261"/>
      <c r="D813" s="209"/>
      <c r="E813" s="209"/>
    </row>
    <row r="814" spans="2:5" ht="12.75">
      <c r="B814" s="209"/>
      <c r="C814" s="261"/>
      <c r="D814" s="209"/>
      <c r="E814" s="209"/>
    </row>
    <row r="815" spans="2:5" ht="12.75">
      <c r="B815" s="209"/>
      <c r="C815" s="261"/>
      <c r="D815" s="209"/>
      <c r="E815" s="209"/>
    </row>
    <row r="816" spans="2:5" ht="12.75">
      <c r="B816" s="209"/>
      <c r="C816" s="261"/>
      <c r="D816" s="209"/>
      <c r="E816" s="209"/>
    </row>
    <row r="817" spans="2:5" ht="12.75">
      <c r="B817" s="209"/>
      <c r="C817" s="261"/>
      <c r="D817" s="209"/>
      <c r="E817" s="209"/>
    </row>
    <row r="818" spans="2:5" ht="12.75">
      <c r="B818" s="209"/>
      <c r="C818" s="261"/>
      <c r="D818" s="209"/>
      <c r="E818" s="209"/>
    </row>
    <row r="819" spans="2:5" ht="12.75">
      <c r="B819" s="209"/>
      <c r="C819" s="261"/>
      <c r="D819" s="209"/>
      <c r="E819" s="209"/>
    </row>
    <row r="820" spans="2:5" ht="12.75">
      <c r="B820" s="209"/>
      <c r="C820" s="261"/>
      <c r="D820" s="209"/>
      <c r="E820" s="209"/>
    </row>
    <row r="821" spans="2:5" ht="12.75">
      <c r="B821" s="209"/>
      <c r="C821" s="261"/>
      <c r="D821" s="209"/>
      <c r="E821" s="209"/>
    </row>
    <row r="822" spans="2:5" ht="12.75">
      <c r="B822" s="209"/>
      <c r="C822" s="261"/>
      <c r="D822" s="209"/>
      <c r="E822" s="209"/>
    </row>
    <row r="823" spans="2:5" ht="12.75">
      <c r="B823" s="209"/>
      <c r="C823" s="261"/>
      <c r="D823" s="209"/>
      <c r="E823" s="209"/>
    </row>
    <row r="824" spans="2:5" ht="12.75">
      <c r="B824" s="209"/>
      <c r="C824" s="261"/>
      <c r="D824" s="209"/>
      <c r="E824" s="209"/>
    </row>
    <row r="825" spans="2:5" ht="12.75">
      <c r="B825" s="209"/>
      <c r="C825" s="261"/>
      <c r="D825" s="209"/>
      <c r="E825" s="209"/>
    </row>
    <row r="826" spans="2:5" ht="12.75">
      <c r="B826" s="209"/>
      <c r="C826" s="261"/>
      <c r="D826" s="209"/>
      <c r="E826" s="209"/>
    </row>
    <row r="827" spans="2:5" ht="12.75">
      <c r="B827" s="209"/>
      <c r="C827" s="261"/>
      <c r="D827" s="209"/>
      <c r="E827" s="209"/>
    </row>
    <row r="828" spans="2:5" ht="12.75">
      <c r="B828" s="209"/>
      <c r="C828" s="261"/>
      <c r="D828" s="209"/>
      <c r="E828" s="209"/>
    </row>
    <row r="829" spans="2:5" ht="12.75">
      <c r="B829" s="209"/>
      <c r="C829" s="261"/>
      <c r="D829" s="209"/>
      <c r="E829" s="209"/>
    </row>
    <row r="830" spans="2:5" ht="12.75">
      <c r="B830" s="209"/>
      <c r="C830" s="261"/>
      <c r="D830" s="209"/>
      <c r="E830" s="209"/>
    </row>
    <row r="831" spans="2:5" ht="12.75">
      <c r="B831" s="209"/>
      <c r="C831" s="261"/>
      <c r="D831" s="209"/>
      <c r="E831" s="209"/>
    </row>
    <row r="832" spans="2:5" ht="12.75">
      <c r="B832" s="209"/>
      <c r="C832" s="261"/>
      <c r="D832" s="209"/>
      <c r="E832" s="209"/>
    </row>
    <row r="833" spans="2:5" ht="12.75">
      <c r="B833" s="209"/>
      <c r="C833" s="261"/>
      <c r="D833" s="209"/>
      <c r="E833" s="209"/>
    </row>
    <row r="834" spans="2:5" ht="12.75">
      <c r="B834" s="209"/>
      <c r="C834" s="261"/>
      <c r="D834" s="209"/>
      <c r="E834" s="209"/>
    </row>
    <row r="835" spans="2:5" ht="12.75">
      <c r="B835" s="209"/>
      <c r="C835" s="261"/>
      <c r="D835" s="209"/>
      <c r="E835" s="209"/>
    </row>
    <row r="836" spans="2:5" ht="12.75">
      <c r="B836" s="209"/>
      <c r="C836" s="261"/>
      <c r="D836" s="209"/>
      <c r="E836" s="209"/>
    </row>
    <row r="837" spans="2:5" ht="12.75">
      <c r="B837" s="209"/>
      <c r="C837" s="261"/>
      <c r="D837" s="209"/>
      <c r="E837" s="209"/>
    </row>
    <row r="838" spans="2:5" ht="12.75">
      <c r="B838" s="209"/>
      <c r="C838" s="261"/>
      <c r="D838" s="209"/>
      <c r="E838" s="209"/>
    </row>
    <row r="839" spans="2:5" ht="12.75">
      <c r="B839" s="209"/>
      <c r="C839" s="261"/>
      <c r="D839" s="209"/>
      <c r="E839" s="209"/>
    </row>
    <row r="840" spans="2:5" ht="12.75">
      <c r="B840" s="209"/>
      <c r="C840" s="261"/>
      <c r="D840" s="209"/>
      <c r="E840" s="209"/>
    </row>
    <row r="841" spans="2:5" ht="12.75">
      <c r="B841" s="209"/>
      <c r="C841" s="261"/>
      <c r="D841" s="209"/>
      <c r="E841" s="209"/>
    </row>
    <row r="842" spans="2:5" ht="12.75">
      <c r="B842" s="209"/>
      <c r="C842" s="261"/>
      <c r="D842" s="209"/>
      <c r="E842" s="209"/>
    </row>
    <row r="843" spans="2:5" ht="12.75">
      <c r="B843" s="209"/>
      <c r="C843" s="261"/>
      <c r="D843" s="209"/>
      <c r="E843" s="209"/>
    </row>
    <row r="844" spans="2:5" ht="12.75">
      <c r="B844" s="209"/>
      <c r="C844" s="261"/>
      <c r="D844" s="209"/>
      <c r="E844" s="209"/>
    </row>
    <row r="845" spans="2:5" ht="12.75">
      <c r="B845" s="209"/>
      <c r="C845" s="261"/>
      <c r="D845" s="209"/>
      <c r="E845" s="209"/>
    </row>
    <row r="846" spans="2:5" ht="12.75">
      <c r="B846" s="209"/>
      <c r="C846" s="261"/>
      <c r="D846" s="209"/>
      <c r="E846" s="209"/>
    </row>
    <row r="847" spans="2:5" ht="12.75">
      <c r="B847" s="209"/>
      <c r="C847" s="261"/>
      <c r="D847" s="209"/>
      <c r="E847" s="209"/>
    </row>
    <row r="848" spans="2:5" ht="12.75">
      <c r="B848" s="209"/>
      <c r="C848" s="261"/>
      <c r="D848" s="209"/>
      <c r="E848" s="209"/>
    </row>
    <row r="849" spans="2:5" ht="12.75">
      <c r="B849" s="209"/>
      <c r="C849" s="261"/>
      <c r="D849" s="209"/>
      <c r="E849" s="209"/>
    </row>
    <row r="850" spans="2:5" ht="12.75">
      <c r="B850" s="209"/>
      <c r="C850" s="261"/>
      <c r="D850" s="209"/>
      <c r="E850" s="209"/>
    </row>
    <row r="851" spans="2:5" ht="12.75">
      <c r="B851" s="209"/>
      <c r="C851" s="261"/>
      <c r="D851" s="209"/>
      <c r="E851" s="209"/>
    </row>
    <row r="852" spans="2:5" ht="12.75">
      <c r="B852" s="209"/>
      <c r="C852" s="261"/>
      <c r="D852" s="209"/>
      <c r="E852" s="209"/>
    </row>
    <row r="853" spans="2:5" ht="12.75">
      <c r="B853" s="209"/>
      <c r="C853" s="261"/>
      <c r="D853" s="209"/>
      <c r="E853" s="209"/>
    </row>
    <row r="854" spans="2:5" ht="12.75">
      <c r="B854" s="209"/>
      <c r="C854" s="261"/>
      <c r="D854" s="209"/>
      <c r="E854" s="209"/>
    </row>
    <row r="855" spans="2:5" ht="12.75">
      <c r="B855" s="209"/>
      <c r="C855" s="261"/>
      <c r="D855" s="209"/>
      <c r="E855" s="209"/>
    </row>
    <row r="856" spans="2:5" ht="12.75">
      <c r="B856" s="209"/>
      <c r="C856" s="261"/>
      <c r="D856" s="209"/>
      <c r="E856" s="209"/>
    </row>
    <row r="857" spans="2:5" ht="12.75">
      <c r="B857" s="209"/>
      <c r="C857" s="261"/>
      <c r="D857" s="209"/>
      <c r="E857" s="209"/>
    </row>
    <row r="858" spans="2:5" ht="12.75">
      <c r="B858" s="209"/>
      <c r="C858" s="261"/>
      <c r="D858" s="209"/>
      <c r="E858" s="209"/>
    </row>
    <row r="859" spans="2:5" ht="12.75">
      <c r="B859" s="209"/>
      <c r="C859" s="261"/>
      <c r="D859" s="209"/>
      <c r="E859" s="209"/>
    </row>
    <row r="860" spans="2:5" ht="12.75">
      <c r="B860" s="209"/>
      <c r="C860" s="261"/>
      <c r="D860" s="209"/>
      <c r="E860" s="209"/>
    </row>
    <row r="861" spans="2:5" ht="12.75">
      <c r="B861" s="209"/>
      <c r="C861" s="261"/>
      <c r="D861" s="209"/>
      <c r="E861" s="209"/>
    </row>
    <row r="862" spans="2:5" ht="12.75">
      <c r="B862" s="209"/>
      <c r="C862" s="261"/>
      <c r="D862" s="209"/>
      <c r="E862" s="209"/>
    </row>
    <row r="863" spans="2:5" ht="12.75">
      <c r="B863" s="209"/>
      <c r="C863" s="261"/>
      <c r="D863" s="209"/>
      <c r="E863" s="209"/>
    </row>
    <row r="864" spans="2:5" ht="12.75">
      <c r="B864" s="209"/>
      <c r="C864" s="261"/>
      <c r="D864" s="209"/>
      <c r="E864" s="209"/>
    </row>
    <row r="865" spans="2:5" ht="12.75">
      <c r="B865" s="209"/>
      <c r="C865" s="261"/>
      <c r="D865" s="209"/>
      <c r="E865" s="209"/>
    </row>
    <row r="866" spans="2:5" ht="12.75">
      <c r="B866" s="209"/>
      <c r="C866" s="261"/>
      <c r="D866" s="209"/>
      <c r="E866" s="209"/>
    </row>
    <row r="867" spans="2:5" ht="12.75">
      <c r="B867" s="209"/>
      <c r="C867" s="261"/>
      <c r="D867" s="209"/>
      <c r="E867" s="209"/>
    </row>
    <row r="868" spans="2:5" ht="12.75">
      <c r="B868" s="209"/>
      <c r="C868" s="261"/>
      <c r="D868" s="209"/>
      <c r="E868" s="209"/>
    </row>
    <row r="869" spans="2:5" ht="12.75">
      <c r="B869" s="209"/>
      <c r="C869" s="261"/>
      <c r="D869" s="209"/>
      <c r="E869" s="209"/>
    </row>
    <row r="870" spans="2:5" ht="12.75">
      <c r="B870" s="209"/>
      <c r="C870" s="261"/>
      <c r="D870" s="209"/>
      <c r="E870" s="209"/>
    </row>
    <row r="871" spans="2:5" ht="12.75">
      <c r="B871" s="209"/>
      <c r="C871" s="261"/>
      <c r="D871" s="209"/>
      <c r="E871" s="209"/>
    </row>
    <row r="872" spans="2:5" ht="12.75">
      <c r="B872" s="209"/>
      <c r="C872" s="261"/>
      <c r="D872" s="209"/>
      <c r="E872" s="209"/>
    </row>
    <row r="873" spans="2:5" ht="12.75">
      <c r="B873" s="209"/>
      <c r="C873" s="261"/>
      <c r="D873" s="209"/>
      <c r="E873" s="209"/>
    </row>
    <row r="874" spans="2:5" ht="12.75">
      <c r="B874" s="209"/>
      <c r="C874" s="261"/>
      <c r="D874" s="209"/>
      <c r="E874" s="209"/>
    </row>
    <row r="875" spans="2:5" ht="12.75">
      <c r="B875" s="209"/>
      <c r="C875" s="261"/>
      <c r="D875" s="209"/>
      <c r="E875" s="209"/>
    </row>
    <row r="876" spans="2:5" ht="12.75">
      <c r="B876" s="209"/>
      <c r="C876" s="261"/>
      <c r="D876" s="209"/>
      <c r="E876" s="209"/>
    </row>
    <row r="877" spans="2:5" ht="12.75">
      <c r="B877" s="209"/>
      <c r="C877" s="261"/>
      <c r="D877" s="209"/>
      <c r="E877" s="209"/>
    </row>
    <row r="878" spans="2:5" ht="12.75">
      <c r="B878" s="209"/>
      <c r="C878" s="261"/>
      <c r="D878" s="209"/>
      <c r="E878" s="209"/>
    </row>
    <row r="879" spans="2:5" ht="12.75">
      <c r="B879" s="209"/>
      <c r="C879" s="261"/>
      <c r="D879" s="209"/>
      <c r="E879" s="209"/>
    </row>
    <row r="880" spans="2:5" ht="12.75">
      <c r="B880" s="209"/>
      <c r="C880" s="261"/>
      <c r="D880" s="209"/>
      <c r="E880" s="209"/>
    </row>
    <row r="881" spans="2:5" ht="12.75">
      <c r="B881" s="209"/>
      <c r="C881" s="261"/>
      <c r="D881" s="209"/>
      <c r="E881" s="209"/>
    </row>
    <row r="882" spans="2:5" ht="12.75">
      <c r="B882" s="209"/>
      <c r="C882" s="261"/>
      <c r="D882" s="209"/>
      <c r="E882" s="209"/>
    </row>
    <row r="883" spans="2:5" ht="12.75">
      <c r="B883" s="209"/>
      <c r="C883" s="261"/>
      <c r="D883" s="209"/>
      <c r="E883" s="209"/>
    </row>
    <row r="884" spans="2:5" ht="12.75">
      <c r="B884" s="209"/>
      <c r="C884" s="261"/>
      <c r="D884" s="209"/>
      <c r="E884" s="209"/>
    </row>
    <row r="885" spans="2:5" ht="12.75">
      <c r="B885" s="209"/>
      <c r="C885" s="261"/>
      <c r="D885" s="209"/>
      <c r="E885" s="209"/>
    </row>
    <row r="886" spans="2:5" ht="12.75">
      <c r="B886" s="209"/>
      <c r="C886" s="261"/>
      <c r="D886" s="209"/>
      <c r="E886" s="209"/>
    </row>
    <row r="887" spans="2:5" ht="12.75">
      <c r="B887" s="209"/>
      <c r="C887" s="261"/>
      <c r="D887" s="209"/>
      <c r="E887" s="209"/>
    </row>
    <row r="888" spans="2:5" ht="12.75">
      <c r="B888" s="209"/>
      <c r="C888" s="261"/>
      <c r="D888" s="209"/>
      <c r="E888" s="209"/>
    </row>
    <row r="889" spans="2:5" ht="12.75">
      <c r="B889" s="209"/>
      <c r="C889" s="261"/>
      <c r="D889" s="209"/>
      <c r="E889" s="209"/>
    </row>
    <row r="890" spans="2:5" ht="12.75">
      <c r="B890" s="209"/>
      <c r="C890" s="261"/>
      <c r="D890" s="209"/>
      <c r="E890" s="209"/>
    </row>
    <row r="891" spans="2:5" ht="12.75">
      <c r="B891" s="209"/>
      <c r="C891" s="261"/>
      <c r="D891" s="209"/>
      <c r="E891" s="209"/>
    </row>
    <row r="892" spans="2:5" ht="12.75">
      <c r="B892" s="209"/>
      <c r="C892" s="261"/>
      <c r="D892" s="209"/>
      <c r="E892" s="209"/>
    </row>
    <row r="893" spans="2:5" ht="12.75">
      <c r="B893" s="209"/>
      <c r="C893" s="261"/>
      <c r="D893" s="209"/>
      <c r="E893" s="209"/>
    </row>
    <row r="894" spans="2:5" ht="12.75">
      <c r="B894" s="209"/>
      <c r="C894" s="261"/>
      <c r="D894" s="209"/>
      <c r="E894" s="209"/>
    </row>
    <row r="895" spans="2:5" ht="12.75">
      <c r="B895" s="209"/>
      <c r="C895" s="261"/>
      <c r="D895" s="209"/>
      <c r="E895" s="209"/>
    </row>
    <row r="896" spans="2:5" ht="12.75">
      <c r="B896" s="209"/>
      <c r="C896" s="261"/>
      <c r="D896" s="209"/>
      <c r="E896" s="209"/>
    </row>
    <row r="897" spans="2:5" ht="12.75">
      <c r="B897" s="209"/>
      <c r="C897" s="261"/>
      <c r="D897" s="209"/>
      <c r="E897" s="209"/>
    </row>
    <row r="898" spans="2:5" ht="12.75">
      <c r="B898" s="209"/>
      <c r="C898" s="261"/>
      <c r="D898" s="209"/>
      <c r="E898" s="209"/>
    </row>
    <row r="899" spans="2:5" ht="12.75">
      <c r="B899" s="209"/>
      <c r="C899" s="261"/>
      <c r="D899" s="209"/>
      <c r="E899" s="209"/>
    </row>
    <row r="900" spans="2:5" ht="12.75">
      <c r="B900" s="209"/>
      <c r="C900" s="261"/>
      <c r="D900" s="209"/>
      <c r="E900" s="209"/>
    </row>
    <row r="901" spans="2:5" ht="12.75">
      <c r="B901" s="209"/>
      <c r="C901" s="261"/>
      <c r="D901" s="209"/>
      <c r="E901" s="209"/>
    </row>
    <row r="902" spans="2:5" ht="12.75">
      <c r="B902" s="209"/>
      <c r="C902" s="261"/>
      <c r="D902" s="209"/>
      <c r="E902" s="209"/>
    </row>
    <row r="903" spans="2:5" ht="12.75">
      <c r="B903" s="209"/>
      <c r="C903" s="261"/>
      <c r="D903" s="209"/>
      <c r="E903" s="209"/>
    </row>
    <row r="904" spans="2:5" ht="12.75">
      <c r="B904" s="209"/>
      <c r="C904" s="261"/>
      <c r="D904" s="209"/>
      <c r="E904" s="209"/>
    </row>
    <row r="905" spans="2:5" ht="12.75">
      <c r="B905" s="209"/>
      <c r="C905" s="261"/>
      <c r="D905" s="209"/>
      <c r="E905" s="209"/>
    </row>
    <row r="906" spans="2:5" ht="12.75">
      <c r="B906" s="209"/>
      <c r="C906" s="261"/>
      <c r="D906" s="209"/>
      <c r="E906" s="209"/>
    </row>
    <row r="907" spans="2:5" ht="12.75">
      <c r="B907" s="209"/>
      <c r="C907" s="261"/>
      <c r="D907" s="209"/>
      <c r="E907" s="209"/>
    </row>
    <row r="908" spans="2:5" ht="12.75">
      <c r="B908" s="209"/>
      <c r="C908" s="261"/>
      <c r="D908" s="209"/>
      <c r="E908" s="209"/>
    </row>
    <row r="909" spans="2:5" ht="12.75">
      <c r="B909" s="209"/>
      <c r="C909" s="261"/>
      <c r="D909" s="209"/>
      <c r="E909" s="209"/>
    </row>
    <row r="910" spans="2:5" ht="12.75">
      <c r="B910" s="209"/>
      <c r="C910" s="261"/>
      <c r="D910" s="209"/>
      <c r="E910" s="209"/>
    </row>
    <row r="911" spans="2:5" ht="12.75">
      <c r="B911" s="209"/>
      <c r="C911" s="261"/>
      <c r="D911" s="209"/>
      <c r="E911" s="209"/>
    </row>
    <row r="912" spans="2:5" ht="12.75">
      <c r="B912" s="209"/>
      <c r="C912" s="261"/>
      <c r="D912" s="209"/>
      <c r="E912" s="209"/>
    </row>
    <row r="913" spans="2:5" ht="12.75">
      <c r="B913" s="209"/>
      <c r="C913" s="261"/>
      <c r="D913" s="209"/>
      <c r="E913" s="209"/>
    </row>
    <row r="914" spans="2:5" ht="12.75">
      <c r="B914" s="209"/>
      <c r="C914" s="261"/>
      <c r="D914" s="209"/>
      <c r="E914" s="209"/>
    </row>
    <row r="915" spans="2:5" ht="12.75">
      <c r="B915" s="209"/>
      <c r="C915" s="261"/>
      <c r="D915" s="209"/>
      <c r="E915" s="209"/>
    </row>
    <row r="916" spans="2:5" ht="12.75">
      <c r="B916" s="209"/>
      <c r="C916" s="261"/>
      <c r="D916" s="209"/>
      <c r="E916" s="209"/>
    </row>
    <row r="917" spans="2:5" ht="12.75">
      <c r="B917" s="209"/>
      <c r="C917" s="261"/>
      <c r="D917" s="209"/>
      <c r="E917" s="209"/>
    </row>
    <row r="918" spans="2:5" ht="12.75">
      <c r="B918" s="209"/>
      <c r="C918" s="261"/>
      <c r="D918" s="209"/>
      <c r="E918" s="209"/>
    </row>
    <row r="919" spans="2:5" ht="12.75">
      <c r="B919" s="209"/>
      <c r="C919" s="261"/>
      <c r="D919" s="209"/>
      <c r="E919" s="209"/>
    </row>
    <row r="920" spans="2:5" ht="12.75">
      <c r="B920" s="209"/>
      <c r="C920" s="261"/>
      <c r="D920" s="209"/>
      <c r="E920" s="209"/>
    </row>
    <row r="921" spans="2:5" ht="12.75">
      <c r="B921" s="209"/>
      <c r="C921" s="261"/>
      <c r="D921" s="209"/>
      <c r="E921" s="209"/>
    </row>
    <row r="922" spans="2:5" ht="12.75">
      <c r="B922" s="209"/>
      <c r="C922" s="261"/>
      <c r="D922" s="209"/>
      <c r="E922" s="209"/>
    </row>
    <row r="923" spans="2:5" ht="12.75">
      <c r="B923" s="209"/>
      <c r="C923" s="261"/>
      <c r="D923" s="209"/>
      <c r="E923" s="209"/>
    </row>
    <row r="924" spans="2:5" ht="12.75">
      <c r="B924" s="209"/>
      <c r="C924" s="261"/>
      <c r="D924" s="209"/>
      <c r="E924" s="209"/>
    </row>
    <row r="925" spans="2:5" ht="12.75">
      <c r="B925" s="209"/>
      <c r="C925" s="261"/>
      <c r="D925" s="209"/>
      <c r="E925" s="209"/>
    </row>
    <row r="926" spans="2:5" ht="12.75">
      <c r="B926" s="209"/>
      <c r="C926" s="261"/>
      <c r="D926" s="209"/>
      <c r="E926" s="209"/>
    </row>
    <row r="927" spans="2:5" ht="12.75">
      <c r="B927" s="209"/>
      <c r="C927" s="261"/>
      <c r="D927" s="209"/>
      <c r="E927" s="209"/>
    </row>
    <row r="928" spans="2:5" ht="12.75">
      <c r="B928" s="209"/>
      <c r="C928" s="261"/>
      <c r="D928" s="209"/>
      <c r="E928" s="209"/>
    </row>
    <row r="929" spans="2:5" ht="12.75">
      <c r="B929" s="209"/>
      <c r="C929" s="261"/>
      <c r="D929" s="209"/>
      <c r="E929" s="209"/>
    </row>
    <row r="930" spans="2:5" ht="12.75">
      <c r="B930" s="209"/>
      <c r="C930" s="261"/>
      <c r="D930" s="209"/>
      <c r="E930" s="209"/>
    </row>
    <row r="931" spans="2:5" ht="12.75">
      <c r="B931" s="209"/>
      <c r="C931" s="261"/>
      <c r="D931" s="209"/>
      <c r="E931" s="209"/>
    </row>
    <row r="932" spans="2:5" ht="12.75">
      <c r="B932" s="209"/>
      <c r="C932" s="261"/>
      <c r="D932" s="209"/>
      <c r="E932" s="209"/>
    </row>
    <row r="933" spans="2:5" ht="12.75">
      <c r="B933" s="209"/>
      <c r="C933" s="261"/>
      <c r="D933" s="209"/>
      <c r="E933" s="209"/>
    </row>
    <row r="934" spans="2:5" ht="12.75">
      <c r="B934" s="209"/>
      <c r="C934" s="261"/>
      <c r="D934" s="209"/>
      <c r="E934" s="209"/>
    </row>
    <row r="935" spans="2:5" ht="12.75">
      <c r="B935" s="209"/>
      <c r="C935" s="261"/>
      <c r="D935" s="209"/>
      <c r="E935" s="209"/>
    </row>
    <row r="936" spans="2:5" ht="12.75">
      <c r="B936" s="209"/>
      <c r="C936" s="261"/>
      <c r="D936" s="209"/>
      <c r="E936" s="209"/>
    </row>
    <row r="937" spans="2:5" ht="12.75">
      <c r="B937" s="209"/>
      <c r="C937" s="261"/>
      <c r="D937" s="209"/>
      <c r="E937" s="209"/>
    </row>
    <row r="938" spans="2:5" ht="12.75">
      <c r="B938" s="209"/>
      <c r="C938" s="261"/>
      <c r="D938" s="209"/>
      <c r="E938" s="209"/>
    </row>
    <row r="939" spans="2:5" ht="12.75">
      <c r="B939" s="209"/>
      <c r="C939" s="261"/>
      <c r="D939" s="209"/>
      <c r="E939" s="209"/>
    </row>
    <row r="940" spans="2:5" ht="12.75">
      <c r="B940" s="209"/>
      <c r="C940" s="261"/>
      <c r="D940" s="209"/>
      <c r="E940" s="209"/>
    </row>
    <row r="941" spans="2:5" ht="12.75">
      <c r="B941" s="209"/>
      <c r="C941" s="261"/>
      <c r="D941" s="209"/>
      <c r="E941" s="209"/>
    </row>
    <row r="942" spans="2:5" ht="12.75">
      <c r="B942" s="209"/>
      <c r="C942" s="261"/>
      <c r="D942" s="209"/>
      <c r="E942" s="209"/>
    </row>
    <row r="943" spans="2:5" ht="12.75">
      <c r="B943" s="209"/>
      <c r="C943" s="261"/>
      <c r="D943" s="209"/>
      <c r="E943" s="209"/>
    </row>
    <row r="944" spans="2:5" ht="12.75">
      <c r="B944" s="209"/>
      <c r="C944" s="261"/>
      <c r="D944" s="209"/>
      <c r="E944" s="209"/>
    </row>
    <row r="945" spans="2:5" ht="12.75">
      <c r="B945" s="209"/>
      <c r="C945" s="261"/>
      <c r="D945" s="209"/>
      <c r="E945" s="209"/>
    </row>
    <row r="946" spans="2:5" ht="12.75">
      <c r="B946" s="209"/>
      <c r="C946" s="261"/>
      <c r="D946" s="209"/>
      <c r="E946" s="209"/>
    </row>
    <row r="947" spans="2:5" ht="12.75">
      <c r="B947" s="209"/>
      <c r="C947" s="261"/>
      <c r="D947" s="209"/>
      <c r="E947" s="209"/>
    </row>
    <row r="948" spans="2:5" ht="12.75">
      <c r="B948" s="209"/>
      <c r="C948" s="261"/>
      <c r="D948" s="209"/>
      <c r="E948" s="209"/>
    </row>
    <row r="949" spans="2:5" ht="12.75">
      <c r="B949" s="209"/>
      <c r="C949" s="261"/>
      <c r="D949" s="209"/>
      <c r="E949" s="209"/>
    </row>
    <row r="950" spans="2:5" ht="12.75">
      <c r="B950" s="209"/>
      <c r="C950" s="261"/>
      <c r="D950" s="209"/>
      <c r="E950" s="209"/>
    </row>
    <row r="951" spans="2:5" ht="12.75">
      <c r="B951" s="209"/>
      <c r="C951" s="261"/>
      <c r="D951" s="209"/>
      <c r="E951" s="209"/>
    </row>
    <row r="952" spans="2:5" ht="12.75">
      <c r="B952" s="209"/>
      <c r="C952" s="261"/>
      <c r="D952" s="209"/>
      <c r="E952" s="209"/>
    </row>
    <row r="953" spans="2:5" ht="12.75">
      <c r="B953" s="209"/>
      <c r="C953" s="261"/>
      <c r="D953" s="209"/>
      <c r="E953" s="209"/>
    </row>
    <row r="954" spans="2:5" ht="12.75">
      <c r="B954" s="209"/>
      <c r="C954" s="261"/>
      <c r="D954" s="209"/>
      <c r="E954" s="209"/>
    </row>
    <row r="955" spans="2:5" ht="12.75">
      <c r="B955" s="209"/>
      <c r="C955" s="261"/>
      <c r="D955" s="209"/>
      <c r="E955" s="209"/>
    </row>
    <row r="956" spans="2:5" ht="12.75">
      <c r="B956" s="209"/>
      <c r="C956" s="261"/>
      <c r="D956" s="209"/>
      <c r="E956" s="209"/>
    </row>
    <row r="957" spans="2:5" ht="12.75">
      <c r="B957" s="209"/>
      <c r="C957" s="261"/>
      <c r="D957" s="209"/>
      <c r="E957" s="209"/>
    </row>
    <row r="958" spans="2:5" ht="12.75">
      <c r="B958" s="209"/>
      <c r="C958" s="261"/>
      <c r="D958" s="209"/>
      <c r="E958" s="209"/>
    </row>
    <row r="959" spans="2:5" ht="12.75">
      <c r="B959" s="209"/>
      <c r="C959" s="261"/>
      <c r="D959" s="209"/>
      <c r="E959" s="209"/>
    </row>
    <row r="960" spans="2:5" ht="12.75">
      <c r="B960" s="209"/>
      <c r="C960" s="261"/>
      <c r="D960" s="209"/>
      <c r="E960" s="209"/>
    </row>
    <row r="961" spans="2:5" ht="12.75">
      <c r="B961" s="209"/>
      <c r="C961" s="261"/>
      <c r="D961" s="209"/>
      <c r="E961" s="209"/>
    </row>
    <row r="962" spans="2:5" ht="12.75">
      <c r="B962" s="209"/>
      <c r="C962" s="261"/>
      <c r="D962" s="209"/>
      <c r="E962" s="209"/>
    </row>
    <row r="963" spans="2:5" ht="12.75">
      <c r="B963" s="209"/>
      <c r="C963" s="261"/>
      <c r="D963" s="209"/>
      <c r="E963" s="209"/>
    </row>
    <row r="964" spans="2:5" ht="12.75">
      <c r="B964" s="209"/>
      <c r="C964" s="261"/>
      <c r="D964" s="209"/>
      <c r="E964" s="209"/>
    </row>
    <row r="965" spans="2:5" ht="12.75">
      <c r="B965" s="209"/>
      <c r="C965" s="261"/>
      <c r="D965" s="209"/>
      <c r="E965" s="209"/>
    </row>
    <row r="966" spans="2:5" ht="12.75">
      <c r="B966" s="209"/>
      <c r="C966" s="261"/>
      <c r="D966" s="209"/>
      <c r="E966" s="209"/>
    </row>
    <row r="967" spans="2:5" ht="12.75">
      <c r="B967" s="209"/>
      <c r="C967" s="261"/>
      <c r="D967" s="209"/>
      <c r="E967" s="209"/>
    </row>
    <row r="968" spans="2:5" ht="12.75">
      <c r="B968" s="209"/>
      <c r="C968" s="261"/>
      <c r="D968" s="209"/>
      <c r="E968" s="209"/>
    </row>
    <row r="969" spans="2:5" ht="12.75">
      <c r="B969" s="209"/>
      <c r="C969" s="261"/>
      <c r="D969" s="209"/>
      <c r="E969" s="209"/>
    </row>
    <row r="970" spans="2:5" ht="12.75">
      <c r="B970" s="209"/>
      <c r="C970" s="261"/>
      <c r="D970" s="209"/>
      <c r="E970" s="209"/>
    </row>
    <row r="971" spans="2:5" ht="12.75">
      <c r="B971" s="209"/>
      <c r="C971" s="261"/>
      <c r="D971" s="209"/>
      <c r="E971" s="209"/>
    </row>
    <row r="972" spans="2:5" ht="12.75">
      <c r="B972" s="209"/>
      <c r="C972" s="261"/>
      <c r="D972" s="209"/>
      <c r="E972" s="209"/>
    </row>
    <row r="973" spans="2:5" ht="12.75">
      <c r="B973" s="209"/>
      <c r="C973" s="261"/>
      <c r="D973" s="209"/>
      <c r="E973" s="209"/>
    </row>
    <row r="974" spans="2:5" ht="12.75">
      <c r="B974" s="209"/>
      <c r="C974" s="261"/>
      <c r="D974" s="209"/>
      <c r="E974" s="209"/>
    </row>
    <row r="975" spans="2:5" ht="12.75">
      <c r="B975" s="209"/>
      <c r="C975" s="261"/>
      <c r="D975" s="209"/>
      <c r="E975" s="209"/>
    </row>
    <row r="976" spans="2:5" ht="12.75">
      <c r="B976" s="209"/>
      <c r="C976" s="261"/>
      <c r="D976" s="209"/>
      <c r="E976" s="209"/>
    </row>
    <row r="977" spans="2:5" ht="12.75">
      <c r="B977" s="209"/>
      <c r="C977" s="261"/>
      <c r="D977" s="209"/>
      <c r="E977" s="209"/>
    </row>
    <row r="978" spans="2:5" ht="12.75">
      <c r="B978" s="209"/>
      <c r="C978" s="261"/>
      <c r="D978" s="209"/>
      <c r="E978" s="209"/>
    </row>
    <row r="979" spans="2:5" ht="12.75">
      <c r="B979" s="209"/>
      <c r="C979" s="261"/>
      <c r="D979" s="209"/>
      <c r="E979" s="209"/>
    </row>
    <row r="980" spans="2:5" ht="12.75">
      <c r="B980" s="209"/>
      <c r="C980" s="261"/>
      <c r="D980" s="209"/>
      <c r="E980" s="209"/>
    </row>
    <row r="981" spans="2:5" ht="12.75">
      <c r="B981" s="209"/>
      <c r="C981" s="261"/>
      <c r="D981" s="209"/>
      <c r="E981" s="209"/>
    </row>
    <row r="982" spans="2:5" ht="12.75">
      <c r="B982" s="209"/>
      <c r="C982" s="261"/>
      <c r="D982" s="209"/>
      <c r="E982" s="209"/>
    </row>
    <row r="983" spans="2:5" ht="12.75">
      <c r="B983" s="209"/>
      <c r="C983" s="261"/>
      <c r="D983" s="209"/>
      <c r="E983" s="209"/>
    </row>
    <row r="984" spans="2:5" ht="12.75">
      <c r="B984" s="209"/>
      <c r="C984" s="261"/>
      <c r="D984" s="209"/>
      <c r="E984" s="209"/>
    </row>
    <row r="985" spans="2:5" ht="12.75">
      <c r="B985" s="209"/>
      <c r="C985" s="261"/>
      <c r="D985" s="209"/>
      <c r="E985" s="209"/>
    </row>
    <row r="986" spans="2:5" ht="12.75">
      <c r="B986" s="209"/>
      <c r="C986" s="261"/>
      <c r="D986" s="209"/>
      <c r="E986" s="209"/>
    </row>
    <row r="987" spans="2:5" ht="12.75">
      <c r="B987" s="209"/>
      <c r="C987" s="261"/>
      <c r="D987" s="209"/>
      <c r="E987" s="209"/>
    </row>
    <row r="988" spans="2:5" ht="12.75">
      <c r="B988" s="209"/>
      <c r="C988" s="261"/>
      <c r="D988" s="209"/>
      <c r="E988" s="209"/>
    </row>
    <row r="989" spans="2:5" ht="12.75">
      <c r="B989" s="209"/>
      <c r="C989" s="261"/>
      <c r="D989" s="209"/>
      <c r="E989" s="209"/>
    </row>
    <row r="990" spans="2:5" ht="12.75">
      <c r="B990" s="209"/>
      <c r="C990" s="261"/>
      <c r="D990" s="209"/>
      <c r="E990" s="209"/>
    </row>
    <row r="991" spans="2:5" ht="12.75">
      <c r="B991" s="209"/>
      <c r="C991" s="261"/>
      <c r="D991" s="209"/>
      <c r="E991" s="209"/>
    </row>
    <row r="992" spans="2:5" ht="12.75">
      <c r="B992" s="209"/>
      <c r="C992" s="261"/>
      <c r="D992" s="209"/>
      <c r="E992" s="209"/>
    </row>
    <row r="993" spans="2:5" ht="12.75">
      <c r="B993" s="209"/>
      <c r="C993" s="261"/>
      <c r="D993" s="209"/>
      <c r="E993" s="209"/>
    </row>
    <row r="994" spans="2:5" ht="12.75">
      <c r="B994" s="209"/>
      <c r="C994" s="261"/>
      <c r="D994" s="209"/>
      <c r="E994" s="209"/>
    </row>
    <row r="995" spans="2:5" ht="12.75">
      <c r="B995" s="209"/>
      <c r="C995" s="261"/>
      <c r="D995" s="209"/>
      <c r="E995" s="209"/>
    </row>
    <row r="996" spans="2:5" ht="12.75">
      <c r="B996" s="209"/>
      <c r="C996" s="261"/>
      <c r="D996" s="209"/>
      <c r="E996" s="209"/>
    </row>
    <row r="997" spans="2:5" ht="12.75">
      <c r="B997" s="209"/>
      <c r="C997" s="261"/>
      <c r="D997" s="209"/>
      <c r="E997" s="209"/>
    </row>
    <row r="998" spans="2:5" ht="12.75">
      <c r="B998" s="209"/>
      <c r="C998" s="261"/>
      <c r="D998" s="209"/>
      <c r="E998" s="209"/>
    </row>
    <row r="999" spans="2:5" ht="12.75">
      <c r="B999" s="209"/>
      <c r="C999" s="261"/>
      <c r="D999" s="209"/>
      <c r="E999" s="209"/>
    </row>
    <row r="1000" spans="2:5" ht="12.75">
      <c r="B1000" s="209"/>
      <c r="C1000" s="261"/>
      <c r="D1000" s="209"/>
      <c r="E1000" s="209"/>
    </row>
    <row r="1001" spans="2:5" ht="12.75">
      <c r="B1001" s="209"/>
      <c r="C1001" s="261"/>
      <c r="D1001" s="209"/>
      <c r="E1001" s="209"/>
    </row>
    <row r="1002" spans="2:5" ht="12.75">
      <c r="B1002" s="209"/>
      <c r="C1002" s="261"/>
      <c r="D1002" s="209"/>
      <c r="E1002" s="209"/>
    </row>
    <row r="1003" spans="2:5" ht="12.75">
      <c r="B1003" s="209"/>
      <c r="C1003" s="261"/>
      <c r="D1003" s="209"/>
      <c r="E1003" s="209"/>
    </row>
    <row r="1004" spans="2:5" ht="12.75">
      <c r="B1004" s="209"/>
      <c r="C1004" s="261"/>
      <c r="D1004" s="209"/>
      <c r="E1004" s="209"/>
    </row>
    <row r="1005" spans="2:5" ht="12.75">
      <c r="B1005" s="209"/>
      <c r="C1005" s="261"/>
      <c r="D1005" s="209"/>
      <c r="E1005" s="209"/>
    </row>
    <row r="1006" spans="2:5" ht="12.75">
      <c r="B1006" s="209"/>
      <c r="C1006" s="261"/>
      <c r="D1006" s="209"/>
      <c r="E1006" s="209"/>
    </row>
    <row r="1007" spans="2:5" ht="12.75">
      <c r="B1007" s="209"/>
      <c r="C1007" s="261"/>
      <c r="D1007" s="209"/>
      <c r="E1007" s="209"/>
    </row>
    <row r="1008" spans="2:5" ht="12.75">
      <c r="B1008" s="209"/>
      <c r="C1008" s="261"/>
      <c r="D1008" s="209"/>
      <c r="E1008" s="209"/>
    </row>
    <row r="1009" spans="2:5" ht="12.75">
      <c r="B1009" s="209"/>
      <c r="C1009" s="261"/>
      <c r="D1009" s="209"/>
      <c r="E1009" s="209"/>
    </row>
    <row r="1010" spans="2:5" ht="12.75">
      <c r="B1010" s="209"/>
      <c r="C1010" s="261"/>
      <c r="D1010" s="209"/>
      <c r="E1010" s="209"/>
    </row>
    <row r="1011" spans="2:5" ht="12.75">
      <c r="B1011" s="209"/>
      <c r="C1011" s="261"/>
      <c r="D1011" s="209"/>
      <c r="E1011" s="209"/>
    </row>
    <row r="1012" spans="2:5" ht="12.75">
      <c r="B1012" s="209"/>
      <c r="C1012" s="261"/>
      <c r="D1012" s="209"/>
      <c r="E1012" s="209"/>
    </row>
    <row r="1013" spans="2:5" ht="12.75">
      <c r="B1013" s="209"/>
      <c r="C1013" s="261"/>
      <c r="D1013" s="209"/>
      <c r="E1013" s="209"/>
    </row>
    <row r="1014" spans="2:5" ht="12.75">
      <c r="B1014" s="209"/>
      <c r="C1014" s="261"/>
      <c r="D1014" s="209"/>
      <c r="E1014" s="209"/>
    </row>
    <row r="1015" spans="2:5" ht="12.75">
      <c r="B1015" s="209"/>
      <c r="C1015" s="261"/>
      <c r="D1015" s="209"/>
      <c r="E1015" s="209"/>
    </row>
    <row r="1016" spans="2:5" ht="12.75">
      <c r="B1016" s="209"/>
      <c r="C1016" s="261"/>
      <c r="D1016" s="209"/>
      <c r="E1016" s="209"/>
    </row>
    <row r="1017" spans="2:5" ht="12.75">
      <c r="B1017" s="209"/>
      <c r="C1017" s="261"/>
      <c r="D1017" s="209"/>
      <c r="E1017" s="209"/>
    </row>
    <row r="1018" spans="2:5" ht="12.75">
      <c r="B1018" s="209"/>
      <c r="C1018" s="261"/>
      <c r="D1018" s="209"/>
      <c r="E1018" s="209"/>
    </row>
    <row r="1019" spans="2:5" ht="12.75">
      <c r="B1019" s="209"/>
      <c r="C1019" s="261"/>
      <c r="D1019" s="209"/>
      <c r="E1019" s="209"/>
    </row>
    <row r="1020" spans="2:5" ht="12.75">
      <c r="B1020" s="209"/>
      <c r="C1020" s="261"/>
      <c r="D1020" s="209"/>
      <c r="E1020" s="209"/>
    </row>
    <row r="1021" spans="2:5" ht="12.75">
      <c r="B1021" s="209"/>
      <c r="C1021" s="261"/>
      <c r="D1021" s="209"/>
      <c r="E1021" s="209"/>
    </row>
    <row r="1022" spans="2:5" ht="12.75">
      <c r="B1022" s="209"/>
      <c r="C1022" s="261"/>
      <c r="D1022" s="209"/>
      <c r="E1022" s="209"/>
    </row>
    <row r="1023" spans="2:5" ht="12.75">
      <c r="B1023" s="209"/>
      <c r="C1023" s="261"/>
      <c r="D1023" s="209"/>
      <c r="E1023" s="209"/>
    </row>
    <row r="1024" spans="2:5" ht="12.75">
      <c r="B1024" s="209"/>
      <c r="C1024" s="261"/>
      <c r="D1024" s="209"/>
      <c r="E1024" s="209"/>
    </row>
    <row r="1025" spans="2:5" ht="12.75">
      <c r="B1025" s="209"/>
      <c r="C1025" s="261"/>
      <c r="D1025" s="209"/>
      <c r="E1025" s="209"/>
    </row>
    <row r="1026" spans="2:5" ht="12.75">
      <c r="B1026" s="209"/>
      <c r="C1026" s="261"/>
      <c r="D1026" s="209"/>
      <c r="E1026" s="209"/>
    </row>
    <row r="1027" spans="2:5" ht="12.75">
      <c r="B1027" s="209"/>
      <c r="C1027" s="261"/>
      <c r="D1027" s="209"/>
      <c r="E1027" s="209"/>
    </row>
    <row r="1028" spans="2:5" ht="12.75">
      <c r="B1028" s="209"/>
      <c r="C1028" s="261"/>
      <c r="D1028" s="209"/>
      <c r="E1028" s="209"/>
    </row>
    <row r="1029" spans="2:5" ht="12.75">
      <c r="B1029" s="209"/>
      <c r="C1029" s="261"/>
      <c r="D1029" s="209"/>
      <c r="E1029" s="209"/>
    </row>
    <row r="1030" spans="2:5" ht="12.75">
      <c r="B1030" s="209"/>
      <c r="C1030" s="261"/>
      <c r="D1030" s="209"/>
      <c r="E1030" s="209"/>
    </row>
    <row r="1031" spans="2:5" ht="12.75">
      <c r="B1031" s="209"/>
      <c r="C1031" s="261"/>
      <c r="D1031" s="209"/>
      <c r="E1031" s="209"/>
    </row>
    <row r="1032" spans="2:5" ht="12.75">
      <c r="B1032" s="209"/>
      <c r="C1032" s="261"/>
      <c r="D1032" s="209"/>
      <c r="E1032" s="209"/>
    </row>
    <row r="1033" spans="2:5" ht="12.75">
      <c r="B1033" s="209"/>
      <c r="C1033" s="261"/>
      <c r="D1033" s="209"/>
      <c r="E1033" s="209"/>
    </row>
    <row r="1034" spans="2:5" ht="12.75">
      <c r="B1034" s="209"/>
      <c r="C1034" s="261"/>
      <c r="D1034" s="209"/>
      <c r="E1034" s="209"/>
    </row>
    <row r="1035" spans="2:5" ht="12.75">
      <c r="B1035" s="209"/>
      <c r="C1035" s="261"/>
      <c r="D1035" s="209"/>
      <c r="E1035" s="209"/>
    </row>
    <row r="1036" spans="2:5" ht="12.75">
      <c r="B1036" s="209"/>
      <c r="C1036" s="261"/>
      <c r="D1036" s="209"/>
      <c r="E1036" s="209"/>
    </row>
    <row r="1037" spans="2:5" ht="12.75">
      <c r="B1037" s="209"/>
      <c r="C1037" s="261"/>
      <c r="D1037" s="209"/>
      <c r="E1037" s="209"/>
    </row>
    <row r="1038" spans="2:5" ht="12.75">
      <c r="B1038" s="209"/>
      <c r="C1038" s="261"/>
      <c r="D1038" s="209"/>
      <c r="E1038" s="209"/>
    </row>
    <row r="1039" spans="2:5" ht="12.75">
      <c r="B1039" s="209"/>
      <c r="C1039" s="261"/>
      <c r="D1039" s="209"/>
      <c r="E1039" s="209"/>
    </row>
    <row r="1040" spans="2:5" ht="12.75">
      <c r="B1040" s="209"/>
      <c r="C1040" s="261"/>
      <c r="D1040" s="209"/>
      <c r="E1040" s="209"/>
    </row>
    <row r="1041" spans="2:5" ht="12.75">
      <c r="B1041" s="209"/>
      <c r="C1041" s="261"/>
      <c r="D1041" s="209"/>
      <c r="E1041" s="209"/>
    </row>
    <row r="1042" spans="2:5" ht="12.75">
      <c r="B1042" s="209"/>
      <c r="C1042" s="261"/>
      <c r="D1042" s="209"/>
      <c r="E1042" s="209"/>
    </row>
    <row r="1043" spans="2:5" ht="12.75">
      <c r="B1043" s="209"/>
      <c r="C1043" s="261"/>
      <c r="D1043" s="209"/>
      <c r="E1043" s="209"/>
    </row>
    <row r="1044" spans="2:5" ht="12.75">
      <c r="B1044" s="209"/>
      <c r="C1044" s="261"/>
      <c r="D1044" s="209"/>
      <c r="E1044" s="209"/>
    </row>
    <row r="1045" spans="2:5" ht="12.75">
      <c r="B1045" s="209"/>
      <c r="C1045" s="261"/>
      <c r="D1045" s="209"/>
      <c r="E1045" s="209"/>
    </row>
    <row r="1046" spans="2:5" ht="12.75">
      <c r="B1046" s="209"/>
      <c r="C1046" s="261"/>
      <c r="D1046" s="209"/>
      <c r="E1046" s="209"/>
    </row>
    <row r="1047" spans="2:5" ht="12.75">
      <c r="B1047" s="209"/>
      <c r="C1047" s="261"/>
      <c r="D1047" s="209"/>
      <c r="E1047" s="209"/>
    </row>
    <row r="1048" spans="2:5" ht="12.75">
      <c r="B1048" s="209"/>
      <c r="C1048" s="261"/>
      <c r="D1048" s="209"/>
      <c r="E1048" s="209"/>
    </row>
    <row r="1049" spans="2:5" ht="12.75">
      <c r="B1049" s="209"/>
      <c r="C1049" s="261"/>
      <c r="D1049" s="209"/>
      <c r="E1049" s="209"/>
    </row>
    <row r="1050" spans="2:5" ht="12.75">
      <c r="B1050" s="209"/>
      <c r="C1050" s="261"/>
      <c r="D1050" s="209"/>
      <c r="E1050" s="209"/>
    </row>
    <row r="1051" spans="2:5" ht="12.75">
      <c r="B1051" s="209"/>
      <c r="C1051" s="261"/>
      <c r="D1051" s="209"/>
      <c r="E1051" s="209"/>
    </row>
    <row r="1052" spans="2:5" ht="12.75">
      <c r="B1052" s="209"/>
      <c r="C1052" s="261"/>
      <c r="D1052" s="209"/>
      <c r="E1052" s="209"/>
    </row>
    <row r="1053" spans="2:5" ht="12.75">
      <c r="B1053" s="209"/>
      <c r="C1053" s="261"/>
      <c r="D1053" s="209"/>
      <c r="E1053" s="209"/>
    </row>
    <row r="1054" spans="2:5" ht="12.75">
      <c r="B1054" s="209"/>
      <c r="C1054" s="261"/>
      <c r="D1054" s="209"/>
      <c r="E1054" s="209"/>
    </row>
    <row r="1055" spans="2:5" ht="12.75">
      <c r="B1055" s="209"/>
      <c r="C1055" s="261"/>
      <c r="D1055" s="209"/>
      <c r="E1055" s="209"/>
    </row>
    <row r="1056" spans="2:5" ht="12.75">
      <c r="B1056" s="209"/>
      <c r="C1056" s="261"/>
      <c r="D1056" s="209"/>
      <c r="E1056" s="209"/>
    </row>
    <row r="1057" spans="2:5" ht="12.75">
      <c r="B1057" s="209"/>
      <c r="C1057" s="261"/>
      <c r="D1057" s="209"/>
      <c r="E1057" s="209"/>
    </row>
    <row r="1058" spans="2:5" ht="12.75">
      <c r="B1058" s="209"/>
      <c r="C1058" s="261"/>
      <c r="D1058" s="209"/>
      <c r="E1058" s="209"/>
    </row>
    <row r="1059" spans="2:5" ht="12.75">
      <c r="B1059" s="209"/>
      <c r="C1059" s="261"/>
      <c r="D1059" s="209"/>
      <c r="E1059" s="209"/>
    </row>
    <row r="1060" spans="2:5" ht="12.75">
      <c r="B1060" s="209"/>
      <c r="C1060" s="261"/>
      <c r="D1060" s="209"/>
      <c r="E1060" s="209"/>
    </row>
    <row r="1061" spans="2:5" ht="12.75">
      <c r="B1061" s="209"/>
      <c r="C1061" s="261"/>
      <c r="D1061" s="209"/>
      <c r="E1061" s="209"/>
    </row>
    <row r="1062" spans="2:5" ht="12.75">
      <c r="B1062" s="209"/>
      <c r="C1062" s="261"/>
      <c r="D1062" s="209"/>
      <c r="E1062" s="209"/>
    </row>
    <row r="1063" spans="2:5" ht="12.75">
      <c r="B1063" s="209"/>
      <c r="C1063" s="261"/>
      <c r="D1063" s="209"/>
      <c r="E1063" s="209"/>
    </row>
    <row r="1064" spans="2:5" ht="12.75">
      <c r="B1064" s="209"/>
      <c r="C1064" s="261"/>
      <c r="D1064" s="209"/>
      <c r="E1064" s="209"/>
    </row>
    <row r="1065" spans="2:5" ht="12.75">
      <c r="B1065" s="209"/>
      <c r="C1065" s="261"/>
      <c r="D1065" s="209"/>
      <c r="E1065" s="209"/>
    </row>
    <row r="1066" spans="2:5" ht="12.75">
      <c r="B1066" s="209"/>
      <c r="C1066" s="261"/>
      <c r="D1066" s="209"/>
      <c r="E1066" s="209"/>
    </row>
    <row r="1067" spans="2:5" ht="12.75">
      <c r="B1067" s="209"/>
      <c r="C1067" s="261"/>
      <c r="D1067" s="209"/>
      <c r="E1067" s="209"/>
    </row>
    <row r="1068" spans="2:5" ht="12.75">
      <c r="B1068" s="209"/>
      <c r="C1068" s="261"/>
      <c r="D1068" s="209"/>
      <c r="E1068" s="209"/>
    </row>
    <row r="1069" spans="2:5" ht="12.75">
      <c r="B1069" s="209"/>
      <c r="C1069" s="261"/>
      <c r="D1069" s="209"/>
      <c r="E1069" s="209"/>
    </row>
    <row r="1070" spans="2:5" ht="12.75">
      <c r="B1070" s="209"/>
      <c r="C1070" s="261"/>
      <c r="D1070" s="209"/>
      <c r="E1070" s="209"/>
    </row>
    <row r="1071" spans="2:5" ht="12.75">
      <c r="B1071" s="209"/>
      <c r="C1071" s="261"/>
      <c r="D1071" s="209"/>
      <c r="E1071" s="209"/>
    </row>
    <row r="1072" spans="2:5" ht="12.75">
      <c r="B1072" s="209"/>
      <c r="C1072" s="261"/>
      <c r="D1072" s="209"/>
      <c r="E1072" s="209"/>
    </row>
    <row r="1073" spans="2:5" ht="12.75">
      <c r="B1073" s="209"/>
      <c r="C1073" s="261"/>
      <c r="D1073" s="209"/>
      <c r="E1073" s="209"/>
    </row>
    <row r="1074" spans="2:5" ht="12.75">
      <c r="B1074" s="209"/>
      <c r="C1074" s="261"/>
      <c r="D1074" s="209"/>
      <c r="E1074" s="209"/>
    </row>
    <row r="1075" spans="2:5" ht="12.75">
      <c r="B1075" s="209"/>
      <c r="C1075" s="261"/>
      <c r="D1075" s="209"/>
      <c r="E1075" s="209"/>
    </row>
    <row r="1076" spans="2:5" ht="12.75">
      <c r="B1076" s="209"/>
      <c r="C1076" s="261"/>
      <c r="D1076" s="209"/>
      <c r="E1076" s="209"/>
    </row>
    <row r="1077" spans="2:5" ht="12.75">
      <c r="B1077" s="209"/>
      <c r="C1077" s="261"/>
      <c r="D1077" s="209"/>
      <c r="E1077" s="209"/>
    </row>
    <row r="1078" spans="2:5" ht="12.75">
      <c r="B1078" s="209"/>
      <c r="C1078" s="261"/>
      <c r="D1078" s="209"/>
      <c r="E1078" s="209"/>
    </row>
    <row r="1079" spans="2:5" ht="12.75">
      <c r="B1079" s="209"/>
      <c r="C1079" s="261"/>
      <c r="D1079" s="209"/>
      <c r="E1079" s="209"/>
    </row>
    <row r="1080" spans="2:5" ht="12.75">
      <c r="B1080" s="209"/>
      <c r="C1080" s="261"/>
      <c r="D1080" s="209"/>
      <c r="E1080" s="209"/>
    </row>
    <row r="1081" spans="2:5" ht="12.75">
      <c r="B1081" s="209"/>
      <c r="C1081" s="261"/>
      <c r="D1081" s="209"/>
      <c r="E1081" s="209"/>
    </row>
    <row r="1082" spans="2:5" ht="12.75">
      <c r="B1082" s="209"/>
      <c r="C1082" s="261"/>
      <c r="D1082" s="209"/>
      <c r="E1082" s="209"/>
    </row>
    <row r="1083" spans="2:5" ht="12.75">
      <c r="B1083" s="209"/>
      <c r="C1083" s="261"/>
      <c r="D1083" s="209"/>
      <c r="E1083" s="209"/>
    </row>
    <row r="1084" spans="2:5" ht="12.75">
      <c r="B1084" s="209"/>
      <c r="C1084" s="261"/>
      <c r="D1084" s="209"/>
      <c r="E1084" s="209"/>
    </row>
    <row r="1085" spans="2:5" ht="12.75">
      <c r="B1085" s="209"/>
      <c r="C1085" s="261"/>
      <c r="D1085" s="209"/>
      <c r="E1085" s="209"/>
    </row>
    <row r="1086" spans="2:5" ht="12.75">
      <c r="B1086" s="209"/>
      <c r="C1086" s="261"/>
      <c r="D1086" s="209"/>
      <c r="E1086" s="209"/>
    </row>
    <row r="1087" spans="2:5" ht="12.75">
      <c r="B1087" s="209"/>
      <c r="C1087" s="261"/>
      <c r="D1087" s="209"/>
      <c r="E1087" s="209"/>
    </row>
    <row r="1088" spans="2:5" ht="12.75">
      <c r="B1088" s="209"/>
      <c r="C1088" s="261"/>
      <c r="D1088" s="209"/>
      <c r="E1088" s="209"/>
    </row>
    <row r="1089" spans="2:5" ht="12.75">
      <c r="B1089" s="209"/>
      <c r="C1089" s="261"/>
      <c r="D1089" s="209"/>
      <c r="E1089" s="209"/>
    </row>
    <row r="1090" spans="2:5" ht="12.75">
      <c r="B1090" s="209"/>
      <c r="C1090" s="261"/>
      <c r="D1090" s="209"/>
      <c r="E1090" s="209"/>
    </row>
    <row r="1091" spans="2:5" ht="12.75">
      <c r="B1091" s="209"/>
      <c r="C1091" s="261"/>
      <c r="D1091" s="209"/>
      <c r="E1091" s="209"/>
    </row>
    <row r="1092" spans="2:5" ht="12.75">
      <c r="B1092" s="209"/>
      <c r="C1092" s="261"/>
      <c r="D1092" s="209"/>
      <c r="E1092" s="209"/>
    </row>
    <row r="1093" spans="2:5" ht="12.75">
      <c r="B1093" s="209"/>
      <c r="C1093" s="261"/>
      <c r="D1093" s="209"/>
      <c r="E1093" s="209"/>
    </row>
    <row r="1094" spans="2:5" ht="12.75">
      <c r="B1094" s="209"/>
      <c r="C1094" s="261"/>
      <c r="D1094" s="209"/>
      <c r="E1094" s="209"/>
    </row>
    <row r="1095" spans="2:5" ht="12.75">
      <c r="B1095" s="209"/>
      <c r="C1095" s="261"/>
      <c r="D1095" s="209"/>
      <c r="E1095" s="209"/>
    </row>
    <row r="1096" spans="2:5" ht="12.75">
      <c r="B1096" s="209"/>
      <c r="C1096" s="261"/>
      <c r="D1096" s="209"/>
      <c r="E1096" s="209"/>
    </row>
    <row r="1097" spans="2:5" ht="12.75">
      <c r="B1097" s="209"/>
      <c r="C1097" s="261"/>
      <c r="D1097" s="209"/>
      <c r="E1097" s="209"/>
    </row>
    <row r="1098" spans="2:5" ht="12.75">
      <c r="B1098" s="209"/>
      <c r="C1098" s="261"/>
      <c r="D1098" s="209"/>
      <c r="E1098" s="209"/>
    </row>
    <row r="1099" spans="2:5" ht="12.75">
      <c r="B1099" s="209"/>
      <c r="C1099" s="261"/>
      <c r="D1099" s="209"/>
      <c r="E1099" s="209"/>
    </row>
    <row r="1100" spans="2:5" ht="12.75">
      <c r="B1100" s="209"/>
      <c r="C1100" s="261"/>
      <c r="D1100" s="209"/>
      <c r="E1100" s="209"/>
    </row>
    <row r="1101" spans="2:5" ht="12.75">
      <c r="B1101" s="209"/>
      <c r="C1101" s="261"/>
      <c r="D1101" s="209"/>
      <c r="E1101" s="209"/>
    </row>
    <row r="1102" spans="2:5" ht="12.75">
      <c r="B1102" s="209"/>
      <c r="C1102" s="261"/>
      <c r="D1102" s="209"/>
      <c r="E1102" s="209"/>
    </row>
    <row r="1103" spans="2:5" ht="12.75">
      <c r="B1103" s="209"/>
      <c r="C1103" s="261"/>
      <c r="D1103" s="209"/>
      <c r="E1103" s="209"/>
    </row>
    <row r="1104" spans="2:5" ht="12.75">
      <c r="B1104" s="209"/>
      <c r="C1104" s="261"/>
      <c r="D1104" s="209"/>
      <c r="E1104" s="209"/>
    </row>
    <row r="1105" spans="2:5" ht="12.75">
      <c r="B1105" s="209"/>
      <c r="C1105" s="261"/>
      <c r="D1105" s="209"/>
      <c r="E1105" s="209"/>
    </row>
    <row r="1106" spans="2:5" ht="12.75">
      <c r="B1106" s="209"/>
      <c r="C1106" s="261"/>
      <c r="D1106" s="209"/>
      <c r="E1106" s="209"/>
    </row>
    <row r="1107" spans="2:5" ht="12.75">
      <c r="B1107" s="209"/>
      <c r="C1107" s="261"/>
      <c r="D1107" s="209"/>
      <c r="E1107" s="209"/>
    </row>
    <row r="1108" spans="2:5" ht="12.75">
      <c r="B1108" s="209"/>
      <c r="C1108" s="261"/>
      <c r="D1108" s="209"/>
      <c r="E1108" s="209"/>
    </row>
    <row r="1109" spans="2:5" ht="12.75">
      <c r="B1109" s="209"/>
      <c r="C1109" s="261"/>
      <c r="D1109" s="209"/>
      <c r="E1109" s="209"/>
    </row>
    <row r="1110" spans="2:5" ht="12.75">
      <c r="B1110" s="209"/>
      <c r="C1110" s="261"/>
      <c r="D1110" s="209"/>
      <c r="E1110" s="209"/>
    </row>
    <row r="1111" spans="2:5" ht="12.75">
      <c r="B1111" s="209"/>
      <c r="C1111" s="261"/>
      <c r="D1111" s="209"/>
      <c r="E1111" s="209"/>
    </row>
    <row r="1112" spans="2:5" ht="12.75">
      <c r="B1112" s="209"/>
      <c r="C1112" s="261"/>
      <c r="D1112" s="209"/>
      <c r="E1112" s="209"/>
    </row>
    <row r="1113" spans="2:5" ht="12.75">
      <c r="B1113" s="209"/>
      <c r="C1113" s="261"/>
      <c r="D1113" s="209"/>
      <c r="E1113" s="209"/>
    </row>
    <row r="1114" spans="2:5" ht="12.75">
      <c r="B1114" s="209"/>
      <c r="C1114" s="261"/>
      <c r="D1114" s="209"/>
      <c r="E1114" s="209"/>
    </row>
    <row r="1115" spans="2:5" ht="12.75">
      <c r="B1115" s="209"/>
      <c r="C1115" s="261"/>
      <c r="D1115" s="209"/>
      <c r="E1115" s="209"/>
    </row>
    <row r="1116" spans="2:5" ht="12.75">
      <c r="B1116" s="209"/>
      <c r="C1116" s="261"/>
      <c r="D1116" s="209"/>
      <c r="E1116" s="209"/>
    </row>
    <row r="1117" spans="2:5" ht="12.75">
      <c r="B1117" s="209"/>
      <c r="C1117" s="261"/>
      <c r="D1117" s="209"/>
      <c r="E1117" s="209"/>
    </row>
    <row r="1118" spans="2:5" ht="12.75">
      <c r="B1118" s="209"/>
      <c r="C1118" s="261"/>
      <c r="D1118" s="209"/>
      <c r="E1118" s="209"/>
    </row>
    <row r="1119" spans="2:5" ht="12.75">
      <c r="B1119" s="209"/>
      <c r="C1119" s="261"/>
      <c r="D1119" s="209"/>
      <c r="E1119" s="209"/>
    </row>
    <row r="1120" spans="2:5" ht="12.75">
      <c r="B1120" s="209"/>
      <c r="C1120" s="261"/>
      <c r="D1120" s="209"/>
      <c r="E1120" s="209"/>
    </row>
    <row r="1121" spans="2:5" ht="12.75">
      <c r="B1121" s="209"/>
      <c r="C1121" s="261"/>
      <c r="D1121" s="209"/>
      <c r="E1121" s="209"/>
    </row>
    <row r="1122" spans="2:5" ht="12.75">
      <c r="B1122" s="209"/>
      <c r="C1122" s="261"/>
      <c r="D1122" s="209"/>
      <c r="E1122" s="209"/>
    </row>
    <row r="1123" spans="2:5" ht="12.75">
      <c r="B1123" s="209"/>
      <c r="C1123" s="261"/>
      <c r="D1123" s="209"/>
      <c r="E1123" s="209"/>
    </row>
    <row r="1124" spans="2:5" ht="12.75">
      <c r="B1124" s="209"/>
      <c r="C1124" s="261"/>
      <c r="D1124" s="209"/>
      <c r="E1124" s="209"/>
    </row>
    <row r="1125" spans="2:5" ht="12.75">
      <c r="B1125" s="209"/>
      <c r="C1125" s="261"/>
      <c r="D1125" s="209"/>
      <c r="E1125" s="209"/>
    </row>
    <row r="1126" spans="2:5" ht="12.75">
      <c r="B1126" s="209"/>
      <c r="C1126" s="261"/>
      <c r="D1126" s="209"/>
      <c r="E1126" s="209"/>
    </row>
    <row r="1127" spans="2:5" ht="12.75">
      <c r="B1127" s="209"/>
      <c r="C1127" s="261"/>
      <c r="D1127" s="209"/>
      <c r="E1127" s="209"/>
    </row>
    <row r="1128" spans="2:5" ht="12.75">
      <c r="B1128" s="209"/>
      <c r="C1128" s="261"/>
      <c r="D1128" s="209"/>
      <c r="E1128" s="209"/>
    </row>
    <row r="1129" spans="2:5" ht="12.75">
      <c r="B1129" s="209"/>
      <c r="C1129" s="261"/>
      <c r="D1129" s="209"/>
      <c r="E1129" s="209"/>
    </row>
    <row r="1130" spans="2:5" ht="12.75">
      <c r="B1130" s="209"/>
      <c r="C1130" s="261"/>
      <c r="D1130" s="209"/>
      <c r="E1130" s="209"/>
    </row>
    <row r="1131" spans="2:5" ht="12.75">
      <c r="B1131" s="209"/>
      <c r="C1131" s="261"/>
      <c r="D1131" s="209"/>
      <c r="E1131" s="209"/>
    </row>
    <row r="1132" spans="2:5" ht="12.75">
      <c r="B1132" s="209"/>
      <c r="C1132" s="261"/>
      <c r="D1132" s="209"/>
      <c r="E1132" s="209"/>
    </row>
    <row r="1133" spans="2:5" ht="12.75">
      <c r="B1133" s="209"/>
      <c r="C1133" s="261"/>
      <c r="D1133" s="209"/>
      <c r="E1133" s="209"/>
    </row>
    <row r="1134" spans="2:5" ht="12.75">
      <c r="B1134" s="209"/>
      <c r="C1134" s="261"/>
      <c r="D1134" s="209"/>
      <c r="E1134" s="209"/>
    </row>
    <row r="1135" spans="2:5" ht="12.75">
      <c r="B1135" s="209"/>
      <c r="C1135" s="261"/>
      <c r="D1135" s="209"/>
      <c r="E1135" s="209"/>
    </row>
    <row r="1136" spans="2:5" ht="12.75">
      <c r="B1136" s="209"/>
      <c r="C1136" s="261"/>
      <c r="D1136" s="209"/>
      <c r="E1136" s="209"/>
    </row>
    <row r="1137" spans="2:5" ht="12.75">
      <c r="B1137" s="209"/>
      <c r="C1137" s="261"/>
      <c r="D1137" s="209"/>
      <c r="E1137" s="209"/>
    </row>
    <row r="1138" spans="2:5" ht="12.75">
      <c r="B1138" s="209"/>
      <c r="C1138" s="261"/>
      <c r="D1138" s="209"/>
      <c r="E1138" s="209"/>
    </row>
    <row r="1139" spans="2:5" ht="12.75">
      <c r="B1139" s="209"/>
      <c r="C1139" s="261"/>
      <c r="D1139" s="209"/>
      <c r="E1139" s="209"/>
    </row>
    <row r="1140" spans="2:5" ht="12.75">
      <c r="B1140" s="209"/>
      <c r="C1140" s="261"/>
      <c r="D1140" s="209"/>
      <c r="E1140" s="209"/>
    </row>
    <row r="1141" spans="2:5" ht="12.75">
      <c r="B1141" s="209"/>
      <c r="C1141" s="261"/>
      <c r="D1141" s="209"/>
      <c r="E1141" s="209"/>
    </row>
    <row r="1142" spans="2:5" ht="12.75">
      <c r="B1142" s="209"/>
      <c r="C1142" s="261"/>
      <c r="D1142" s="209"/>
      <c r="E1142" s="209"/>
    </row>
    <row r="1143" spans="2:5" ht="12.75">
      <c r="B1143" s="209"/>
      <c r="C1143" s="261"/>
      <c r="D1143" s="209"/>
      <c r="E1143" s="209"/>
    </row>
    <row r="1144" spans="2:5" ht="12.75">
      <c r="B1144" s="209"/>
      <c r="C1144" s="261"/>
      <c r="D1144" s="209"/>
      <c r="E1144" s="209"/>
    </row>
    <row r="1145" spans="2:5" ht="12.75">
      <c r="B1145" s="209"/>
      <c r="C1145" s="261"/>
      <c r="D1145" s="209"/>
      <c r="E1145" s="209"/>
    </row>
    <row r="1146" spans="2:5" ht="12.75">
      <c r="B1146" s="209"/>
      <c r="C1146" s="261"/>
      <c r="D1146" s="209"/>
      <c r="E1146" s="209"/>
    </row>
    <row r="1147" spans="2:5" ht="12.75">
      <c r="B1147" s="209"/>
      <c r="C1147" s="261"/>
      <c r="D1147" s="209"/>
      <c r="E1147" s="209"/>
    </row>
    <row r="1148" spans="2:5" ht="12.75">
      <c r="B1148" s="209"/>
      <c r="C1148" s="261"/>
      <c r="D1148" s="209"/>
      <c r="E1148" s="209"/>
    </row>
    <row r="1149" spans="2:5" ht="12.75">
      <c r="B1149" s="209"/>
      <c r="C1149" s="261"/>
      <c r="D1149" s="209"/>
      <c r="E1149" s="209"/>
    </row>
    <row r="1150" spans="2:5" ht="12.75">
      <c r="B1150" s="209"/>
      <c r="C1150" s="261"/>
      <c r="D1150" s="209"/>
      <c r="E1150" s="209"/>
    </row>
    <row r="1151" spans="2:5" ht="12.75">
      <c r="B1151" s="209"/>
      <c r="C1151" s="261"/>
      <c r="D1151" s="209"/>
      <c r="E1151" s="209"/>
    </row>
    <row r="1152" spans="2:5" ht="12.75">
      <c r="B1152" s="209"/>
      <c r="C1152" s="261"/>
      <c r="D1152" s="209"/>
      <c r="E1152" s="209"/>
    </row>
    <row r="1153" spans="2:5" ht="12.75">
      <c r="B1153" s="209"/>
      <c r="C1153" s="261"/>
      <c r="D1153" s="209"/>
      <c r="E1153" s="209"/>
    </row>
    <row r="1154" spans="2:5" ht="12.75">
      <c r="B1154" s="209"/>
      <c r="C1154" s="261"/>
      <c r="D1154" s="209"/>
      <c r="E1154" s="209"/>
    </row>
    <row r="1155" spans="2:5" ht="12.75">
      <c r="B1155" s="209"/>
      <c r="C1155" s="261"/>
      <c r="D1155" s="209"/>
      <c r="E1155" s="209"/>
    </row>
    <row r="1156" spans="2:5" ht="12.75">
      <c r="B1156" s="209"/>
      <c r="C1156" s="261"/>
      <c r="D1156" s="209"/>
      <c r="E1156" s="209"/>
    </row>
    <row r="1157" spans="2:5" ht="12.75">
      <c r="B1157" s="209"/>
      <c r="C1157" s="261"/>
      <c r="D1157" s="209"/>
      <c r="E1157" s="209"/>
    </row>
    <row r="1158" spans="2:5" ht="12.75">
      <c r="B1158" s="209"/>
      <c r="C1158" s="261"/>
      <c r="D1158" s="209"/>
      <c r="E1158" s="209"/>
    </row>
    <row r="1159" spans="2:5" ht="12.75">
      <c r="B1159" s="209"/>
      <c r="C1159" s="261"/>
      <c r="D1159" s="209"/>
      <c r="E1159" s="209"/>
    </row>
    <row r="1160" spans="2:5" ht="12.75">
      <c r="B1160" s="209"/>
      <c r="C1160" s="261"/>
      <c r="D1160" s="209"/>
      <c r="E1160" s="209"/>
    </row>
    <row r="1161" spans="2:5" ht="12.75">
      <c r="B1161" s="209"/>
      <c r="C1161" s="261"/>
      <c r="D1161" s="209"/>
      <c r="E1161" s="209"/>
    </row>
    <row r="1162" spans="2:5" ht="12.75">
      <c r="B1162" s="209"/>
      <c r="C1162" s="261"/>
      <c r="D1162" s="209"/>
      <c r="E1162" s="209"/>
    </row>
    <row r="1163" spans="2:5" ht="12.75">
      <c r="B1163" s="209"/>
      <c r="C1163" s="261"/>
      <c r="D1163" s="209"/>
      <c r="E1163" s="209"/>
    </row>
    <row r="1164" spans="2:5" ht="12.75">
      <c r="B1164" s="209"/>
      <c r="C1164" s="261"/>
      <c r="D1164" s="209"/>
      <c r="E1164" s="209"/>
    </row>
    <row r="1165" spans="2:5" ht="12.75">
      <c r="B1165" s="209"/>
      <c r="C1165" s="261"/>
      <c r="D1165" s="209"/>
      <c r="E1165" s="209"/>
    </row>
    <row r="1166" spans="2:5" ht="12.75">
      <c r="B1166" s="209"/>
      <c r="C1166" s="261"/>
      <c r="D1166" s="209"/>
      <c r="E1166" s="209"/>
    </row>
    <row r="1167" spans="2:5" ht="12.75">
      <c r="B1167" s="209"/>
      <c r="C1167" s="261"/>
      <c r="D1167" s="209"/>
      <c r="E1167" s="209"/>
    </row>
    <row r="1168" spans="2:5" ht="12.75">
      <c r="B1168" s="209"/>
      <c r="C1168" s="261"/>
      <c r="D1168" s="209"/>
      <c r="E1168" s="209"/>
    </row>
    <row r="1169" spans="2:5" ht="12.75">
      <c r="B1169" s="209"/>
      <c r="C1169" s="261"/>
      <c r="D1169" s="209"/>
      <c r="E1169" s="209"/>
    </row>
    <row r="1170" spans="2:5" ht="12.75">
      <c r="B1170" s="209"/>
      <c r="C1170" s="261"/>
      <c r="D1170" s="209"/>
      <c r="E1170" s="209"/>
    </row>
    <row r="1171" spans="2:5" ht="12.75">
      <c r="B1171" s="209"/>
      <c r="C1171" s="261"/>
      <c r="D1171" s="209"/>
      <c r="E1171" s="209"/>
    </row>
    <row r="1172" spans="2:5" ht="12.75">
      <c r="B1172" s="209"/>
      <c r="C1172" s="261"/>
      <c r="D1172" s="209"/>
      <c r="E1172" s="209"/>
    </row>
    <row r="1173" spans="2:5" ht="12.75">
      <c r="B1173" s="209"/>
      <c r="C1173" s="261"/>
      <c r="D1173" s="209"/>
      <c r="E1173" s="209"/>
    </row>
    <row r="1174" spans="2:5" ht="12.75">
      <c r="B1174" s="209"/>
      <c r="C1174" s="261"/>
      <c r="D1174" s="209"/>
      <c r="E1174" s="209"/>
    </row>
    <row r="1175" spans="2:5" ht="12.75">
      <c r="B1175" s="209"/>
      <c r="C1175" s="261"/>
      <c r="D1175" s="209"/>
      <c r="E1175" s="209"/>
    </row>
    <row r="1176" spans="2:5" ht="12.75">
      <c r="B1176" s="209"/>
      <c r="C1176" s="261"/>
      <c r="D1176" s="209"/>
      <c r="E1176" s="209"/>
    </row>
    <row r="1177" spans="2:5" ht="12.75">
      <c r="B1177" s="209"/>
      <c r="C1177" s="261"/>
      <c r="D1177" s="209"/>
      <c r="E1177" s="209"/>
    </row>
    <row r="1178" spans="2:5" ht="12.75">
      <c r="B1178" s="209"/>
      <c r="C1178" s="261"/>
      <c r="D1178" s="209"/>
      <c r="E1178" s="209"/>
    </row>
    <row r="1179" spans="2:5" ht="12.75">
      <c r="B1179" s="209"/>
      <c r="C1179" s="261"/>
      <c r="D1179" s="209"/>
      <c r="E1179" s="209"/>
    </row>
    <row r="1180" spans="2:5" ht="12.75">
      <c r="B1180" s="209"/>
      <c r="C1180" s="261"/>
      <c r="D1180" s="209"/>
      <c r="E1180" s="209"/>
    </row>
    <row r="1181" spans="2:5" ht="12.75">
      <c r="B1181" s="209"/>
      <c r="C1181" s="261"/>
      <c r="D1181" s="209"/>
      <c r="E1181" s="209"/>
    </row>
    <row r="1182" spans="2:5" ht="12.75">
      <c r="B1182" s="209"/>
      <c r="C1182" s="261"/>
      <c r="D1182" s="209"/>
      <c r="E1182" s="209"/>
    </row>
    <row r="1183" spans="2:5" ht="12.75">
      <c r="B1183" s="209"/>
      <c r="C1183" s="261"/>
      <c r="D1183" s="209"/>
      <c r="E1183" s="209"/>
    </row>
    <row r="1184" spans="2:5" ht="12.75">
      <c r="B1184" s="209"/>
      <c r="C1184" s="261"/>
      <c r="D1184" s="209"/>
      <c r="E1184" s="209"/>
    </row>
    <row r="1185" spans="2:5" ht="12.75">
      <c r="B1185" s="209"/>
      <c r="C1185" s="261"/>
      <c r="D1185" s="209"/>
      <c r="E1185" s="209"/>
    </row>
    <row r="1186" spans="2:5" ht="12.75">
      <c r="B1186" s="209"/>
      <c r="C1186" s="261"/>
      <c r="D1186" s="209"/>
      <c r="E1186" s="209"/>
    </row>
    <row r="1187" spans="2:5" ht="12.75">
      <c r="B1187" s="209"/>
      <c r="C1187" s="261"/>
      <c r="D1187" s="209"/>
      <c r="E1187" s="209"/>
    </row>
    <row r="1188" spans="2:5" ht="12.75">
      <c r="B1188" s="209"/>
      <c r="C1188" s="261"/>
      <c r="D1188" s="209"/>
      <c r="E1188" s="209"/>
    </row>
    <row r="1189" spans="2:5" ht="12.75">
      <c r="B1189" s="209"/>
      <c r="C1189" s="261"/>
      <c r="D1189" s="209"/>
      <c r="E1189" s="209"/>
    </row>
    <row r="1190" spans="2:5" ht="12.75">
      <c r="B1190" s="209"/>
      <c r="C1190" s="261"/>
      <c r="D1190" s="209"/>
      <c r="E1190" s="209"/>
    </row>
    <row r="1191" spans="2:5" ht="12.75">
      <c r="B1191" s="209"/>
      <c r="C1191" s="261"/>
      <c r="D1191" s="209"/>
      <c r="E1191" s="209"/>
    </row>
    <row r="1192" spans="2:5" ht="12.75">
      <c r="B1192" s="209"/>
      <c r="C1192" s="261"/>
      <c r="D1192" s="209"/>
      <c r="E1192" s="209"/>
    </row>
    <row r="1193" spans="2:5" ht="12.75">
      <c r="B1193" s="209"/>
      <c r="C1193" s="261"/>
      <c r="D1193" s="209"/>
      <c r="E1193" s="209"/>
    </row>
    <row r="1194" spans="2:5" ht="12.75">
      <c r="B1194" s="209"/>
      <c r="C1194" s="261"/>
      <c r="D1194" s="209"/>
      <c r="E1194" s="209"/>
    </row>
    <row r="1195" spans="2:5" ht="12.75">
      <c r="B1195" s="209"/>
      <c r="C1195" s="261"/>
      <c r="D1195" s="209"/>
      <c r="E1195" s="209"/>
    </row>
    <row r="1196" spans="2:5" ht="12.75">
      <c r="B1196" s="209"/>
      <c r="C1196" s="261"/>
      <c r="D1196" s="209"/>
      <c r="E1196" s="209"/>
    </row>
    <row r="1197" spans="2:5" ht="12.75">
      <c r="B1197" s="209"/>
      <c r="C1197" s="261"/>
      <c r="D1197" s="209"/>
      <c r="E1197" s="209"/>
    </row>
    <row r="1198" spans="2:5" ht="12.75">
      <c r="B1198" s="209"/>
      <c r="C1198" s="261"/>
      <c r="D1198" s="209"/>
      <c r="E1198" s="209"/>
    </row>
    <row r="1199" spans="2:5" ht="12.75">
      <c r="B1199" s="209"/>
      <c r="C1199" s="261"/>
      <c r="D1199" s="209"/>
      <c r="E1199" s="209"/>
    </row>
    <row r="1200" spans="2:5" ht="12.75">
      <c r="B1200" s="209"/>
      <c r="C1200" s="261"/>
      <c r="D1200" s="209"/>
      <c r="E1200" s="209"/>
    </row>
    <row r="1201" spans="2:5" ht="12.75">
      <c r="B1201" s="209"/>
      <c r="C1201" s="261"/>
      <c r="D1201" s="209"/>
      <c r="E1201" s="209"/>
    </row>
    <row r="1202" spans="2:5" ht="12.75">
      <c r="B1202" s="209"/>
      <c r="C1202" s="261"/>
      <c r="D1202" s="209"/>
      <c r="E1202" s="209"/>
    </row>
    <row r="1203" spans="2:5" ht="12.75">
      <c r="B1203" s="209"/>
      <c r="C1203" s="261"/>
      <c r="D1203" s="209"/>
      <c r="E1203" s="209"/>
    </row>
    <row r="1204" spans="2:5" ht="12.75">
      <c r="B1204" s="209"/>
      <c r="C1204" s="261"/>
      <c r="D1204" s="209"/>
      <c r="E1204" s="209"/>
    </row>
    <row r="1205" spans="2:5" ht="12.75">
      <c r="B1205" s="209"/>
      <c r="C1205" s="261"/>
      <c r="D1205" s="209"/>
      <c r="E1205" s="209"/>
    </row>
    <row r="1206" spans="2:5" ht="12.75">
      <c r="B1206" s="209"/>
      <c r="C1206" s="261"/>
      <c r="D1206" s="209"/>
      <c r="E1206" s="209"/>
    </row>
    <row r="1207" spans="2:5" ht="12.75">
      <c r="B1207" s="209"/>
      <c r="C1207" s="261"/>
      <c r="D1207" s="209"/>
      <c r="E1207" s="209"/>
    </row>
    <row r="1208" spans="2:5" ht="12.75">
      <c r="B1208" s="209"/>
      <c r="C1208" s="261"/>
      <c r="D1208" s="209"/>
      <c r="E1208" s="209"/>
    </row>
    <row r="1209" spans="2:5" ht="12.75">
      <c r="B1209" s="209"/>
      <c r="C1209" s="261"/>
      <c r="D1209" s="209"/>
      <c r="E1209" s="209"/>
    </row>
    <row r="1210" spans="2:5" ht="12.75">
      <c r="B1210" s="209"/>
      <c r="C1210" s="261"/>
      <c r="D1210" s="209"/>
      <c r="E1210" s="209"/>
    </row>
    <row r="1211" spans="2:5" ht="12.75">
      <c r="B1211" s="209"/>
      <c r="C1211" s="261"/>
      <c r="D1211" s="209"/>
      <c r="E1211" s="209"/>
    </row>
    <row r="1212" spans="2:5" ht="12.75">
      <c r="B1212" s="209"/>
      <c r="C1212" s="261"/>
      <c r="D1212" s="209"/>
      <c r="E1212" s="209"/>
    </row>
    <row r="1213" spans="2:5" ht="12.75">
      <c r="B1213" s="209"/>
      <c r="C1213" s="261"/>
      <c r="D1213" s="209"/>
      <c r="E1213" s="209"/>
    </row>
    <row r="1214" spans="2:5" ht="12.75">
      <c r="B1214" s="209"/>
      <c r="C1214" s="261"/>
      <c r="D1214" s="209"/>
      <c r="E1214" s="209"/>
    </row>
    <row r="1215" spans="2:5" ht="12.75">
      <c r="B1215" s="209"/>
      <c r="C1215" s="261"/>
      <c r="D1215" s="209"/>
      <c r="E1215" s="209"/>
    </row>
    <row r="1216" spans="2:5" ht="12.75">
      <c r="B1216" s="209"/>
      <c r="C1216" s="261"/>
      <c r="D1216" s="209"/>
      <c r="E1216" s="209"/>
    </row>
    <row r="1217" spans="2:5" ht="12.75">
      <c r="B1217" s="209"/>
      <c r="C1217" s="261"/>
      <c r="D1217" s="209"/>
      <c r="E1217" s="209"/>
    </row>
    <row r="1218" spans="2:5" ht="12.75">
      <c r="B1218" s="209"/>
      <c r="C1218" s="261"/>
      <c r="D1218" s="209"/>
      <c r="E1218" s="209"/>
    </row>
    <row r="1219" spans="2:5" ht="12.75">
      <c r="B1219" s="209"/>
      <c r="C1219" s="261"/>
      <c r="D1219" s="209"/>
      <c r="E1219" s="209"/>
    </row>
    <row r="1220" spans="2:5" ht="12.75">
      <c r="B1220" s="209"/>
      <c r="C1220" s="261"/>
      <c r="D1220" s="209"/>
      <c r="E1220" s="209"/>
    </row>
    <row r="1221" spans="2:5" ht="12.75">
      <c r="B1221" s="209"/>
      <c r="C1221" s="261"/>
      <c r="D1221" s="209"/>
      <c r="E1221" s="209"/>
    </row>
    <row r="1222" spans="2:5" ht="12.75">
      <c r="B1222" s="209"/>
      <c r="C1222" s="261"/>
      <c r="D1222" s="209"/>
      <c r="E1222" s="209"/>
    </row>
    <row r="1223" spans="2:5" ht="12.75">
      <c r="B1223" s="209"/>
      <c r="C1223" s="261"/>
      <c r="D1223" s="209"/>
      <c r="E1223" s="209"/>
    </row>
    <row r="1224" spans="2:5" ht="12.75">
      <c r="B1224" s="209"/>
      <c r="C1224" s="261"/>
      <c r="D1224" s="209"/>
      <c r="E1224" s="209"/>
    </row>
    <row r="1225" spans="2:5" ht="12.75">
      <c r="B1225" s="209"/>
      <c r="C1225" s="261"/>
      <c r="D1225" s="209"/>
      <c r="E1225" s="209"/>
    </row>
    <row r="1226" spans="2:5" ht="12.75">
      <c r="B1226" s="209"/>
      <c r="C1226" s="261"/>
      <c r="D1226" s="209"/>
      <c r="E1226" s="209"/>
    </row>
    <row r="1227" spans="2:5" ht="12.75">
      <c r="B1227" s="209"/>
      <c r="C1227" s="261"/>
      <c r="D1227" s="209"/>
      <c r="E1227" s="209"/>
    </row>
    <row r="1228" spans="2:5" ht="12.75">
      <c r="B1228" s="209"/>
      <c r="C1228" s="261"/>
      <c r="D1228" s="209"/>
      <c r="E1228" s="209"/>
    </row>
    <row r="1229" spans="2:5" ht="12.75">
      <c r="B1229" s="209"/>
      <c r="C1229" s="261"/>
      <c r="D1229" s="209"/>
      <c r="E1229" s="209"/>
    </row>
    <row r="1230" spans="2:5" ht="12.75">
      <c r="B1230" s="209"/>
      <c r="C1230" s="261"/>
      <c r="D1230" s="209"/>
      <c r="E1230" s="209"/>
    </row>
    <row r="1231" spans="2:5" ht="12.75">
      <c r="B1231" s="209"/>
      <c r="C1231" s="261"/>
      <c r="D1231" s="209"/>
      <c r="E1231" s="209"/>
    </row>
    <row r="1232" spans="2:5" ht="12.75">
      <c r="B1232" s="209"/>
      <c r="C1232" s="261"/>
      <c r="D1232" s="209"/>
      <c r="E1232" s="209"/>
    </row>
    <row r="1233" spans="2:5" ht="12.75">
      <c r="B1233" s="209"/>
      <c r="C1233" s="261"/>
      <c r="D1233" s="209"/>
      <c r="E1233" s="209"/>
    </row>
    <row r="1234" spans="2:5" ht="12.75">
      <c r="B1234" s="209"/>
      <c r="C1234" s="261"/>
      <c r="D1234" s="209"/>
      <c r="E1234" s="209"/>
    </row>
    <row r="1235" spans="2:5" ht="12.75">
      <c r="B1235" s="209"/>
      <c r="C1235" s="261"/>
      <c r="D1235" s="209"/>
      <c r="E1235" s="209"/>
    </row>
    <row r="1236" spans="2:5" ht="12.75">
      <c r="B1236" s="209"/>
      <c r="C1236" s="261"/>
      <c r="D1236" s="209"/>
      <c r="E1236" s="209"/>
    </row>
    <row r="1237" spans="2:5" ht="12.75">
      <c r="B1237" s="209"/>
      <c r="C1237" s="261"/>
      <c r="D1237" s="209"/>
      <c r="E1237" s="209"/>
    </row>
    <row r="1238" spans="2:5" ht="12.75">
      <c r="B1238" s="209"/>
      <c r="C1238" s="261"/>
      <c r="D1238" s="209"/>
      <c r="E1238" s="209"/>
    </row>
    <row r="1239" spans="2:5" ht="12.75">
      <c r="B1239" s="209"/>
      <c r="C1239" s="261"/>
      <c r="D1239" s="209"/>
      <c r="E1239" s="209"/>
    </row>
    <row r="1240" spans="2:5" ht="12.75">
      <c r="B1240" s="209"/>
      <c r="C1240" s="261"/>
      <c r="D1240" s="209"/>
      <c r="E1240" s="209"/>
    </row>
    <row r="1241" spans="2:5" ht="12.75">
      <c r="B1241" s="209"/>
      <c r="C1241" s="261"/>
      <c r="D1241" s="209"/>
      <c r="E1241" s="209"/>
    </row>
    <row r="1242" spans="2:5" ht="12.75">
      <c r="B1242" s="209"/>
      <c r="C1242" s="261"/>
      <c r="D1242" s="209"/>
      <c r="E1242" s="209"/>
    </row>
    <row r="1243" spans="2:5" ht="12.75">
      <c r="B1243" s="209"/>
      <c r="C1243" s="261"/>
      <c r="D1243" s="209"/>
      <c r="E1243" s="209"/>
    </row>
    <row r="1244" spans="2:5" ht="12.75">
      <c r="B1244" s="209"/>
      <c r="C1244" s="261"/>
      <c r="D1244" s="209"/>
      <c r="E1244" s="209"/>
    </row>
    <row r="1245" spans="2:5" ht="12.75">
      <c r="B1245" s="209"/>
      <c r="C1245" s="261"/>
      <c r="D1245" s="209"/>
      <c r="E1245" s="209"/>
    </row>
    <row r="1246" spans="2:5" ht="12.75">
      <c r="B1246" s="209"/>
      <c r="C1246" s="261"/>
      <c r="D1246" s="209"/>
      <c r="E1246" s="209"/>
    </row>
    <row r="1247" spans="2:5" ht="12.75">
      <c r="B1247" s="209"/>
      <c r="C1247" s="261"/>
      <c r="D1247" s="209"/>
      <c r="E1247" s="209"/>
    </row>
    <row r="1248" spans="2:5" ht="12.75">
      <c r="B1248" s="209"/>
      <c r="C1248" s="261"/>
      <c r="D1248" s="209"/>
      <c r="E1248" s="209"/>
    </row>
    <row r="1249" spans="2:5" ht="12.75">
      <c r="B1249" s="209"/>
      <c r="C1249" s="261"/>
      <c r="D1249" s="209"/>
      <c r="E1249" s="209"/>
    </row>
    <row r="1250" spans="2:5" ht="12.75">
      <c r="B1250" s="209"/>
      <c r="C1250" s="261"/>
      <c r="D1250" s="209"/>
      <c r="E1250" s="209"/>
    </row>
    <row r="1251" spans="2:5" ht="12.75">
      <c r="B1251" s="209"/>
      <c r="C1251" s="261"/>
      <c r="D1251" s="209"/>
      <c r="E1251" s="209"/>
    </row>
    <row r="1252" spans="2:5" ht="12.75">
      <c r="B1252" s="209"/>
      <c r="C1252" s="261"/>
      <c r="D1252" s="209"/>
      <c r="E1252" s="209"/>
    </row>
    <row r="1253" spans="2:5" ht="12.75">
      <c r="B1253" s="209"/>
      <c r="C1253" s="261"/>
      <c r="D1253" s="209"/>
      <c r="E1253" s="209"/>
    </row>
    <row r="1254" spans="2:5" ht="12.75">
      <c r="B1254" s="209"/>
      <c r="C1254" s="261"/>
      <c r="D1254" s="209"/>
      <c r="E1254" s="209"/>
    </row>
    <row r="1255" spans="2:5" ht="12.75">
      <c r="B1255" s="209"/>
      <c r="C1255" s="261"/>
      <c r="D1255" s="209"/>
      <c r="E1255" s="209"/>
    </row>
    <row r="1256" spans="2:5" ht="12.75">
      <c r="B1256" s="209"/>
      <c r="C1256" s="261"/>
      <c r="D1256" s="209"/>
      <c r="E1256" s="209"/>
    </row>
    <row r="1257" spans="2:5" ht="12.75">
      <c r="B1257" s="209"/>
      <c r="C1257" s="261"/>
      <c r="D1257" s="209"/>
      <c r="E1257" s="209"/>
    </row>
    <row r="1258" spans="2:5" ht="12.75">
      <c r="B1258" s="209"/>
      <c r="C1258" s="261"/>
      <c r="D1258" s="209"/>
      <c r="E1258" s="209"/>
    </row>
    <row r="1259" spans="2:5" ht="12.75">
      <c r="B1259" s="209"/>
      <c r="C1259" s="261"/>
      <c r="D1259" s="209"/>
      <c r="E1259" s="209"/>
    </row>
    <row r="1260" spans="2:5" ht="12.75">
      <c r="B1260" s="209"/>
      <c r="C1260" s="261"/>
      <c r="D1260" s="209"/>
      <c r="E1260" s="209"/>
    </row>
    <row r="1261" spans="2:5" ht="12.75">
      <c r="B1261" s="209"/>
      <c r="C1261" s="261"/>
      <c r="D1261" s="209"/>
      <c r="E1261" s="209"/>
    </row>
    <row r="1262" spans="2:5" ht="12.75">
      <c r="B1262" s="209"/>
      <c r="C1262" s="261"/>
      <c r="D1262" s="209"/>
      <c r="E1262" s="209"/>
    </row>
    <row r="1263" spans="2:5" ht="12.75">
      <c r="B1263" s="209"/>
      <c r="C1263" s="261"/>
      <c r="D1263" s="209"/>
      <c r="E1263" s="209"/>
    </row>
    <row r="1264" spans="2:5" ht="12.75">
      <c r="B1264" s="209"/>
      <c r="C1264" s="261"/>
      <c r="D1264" s="209"/>
      <c r="E1264" s="209"/>
    </row>
    <row r="1265" spans="2:5" ht="12.75">
      <c r="B1265" s="209"/>
      <c r="C1265" s="261"/>
      <c r="D1265" s="209"/>
      <c r="E1265" s="209"/>
    </row>
    <row r="1266" spans="2:5" ht="12.75">
      <c r="B1266" s="209"/>
      <c r="C1266" s="261"/>
      <c r="D1266" s="209"/>
      <c r="E1266" s="209"/>
    </row>
    <row r="1267" spans="2:5" ht="12.75">
      <c r="B1267" s="209"/>
      <c r="C1267" s="261"/>
      <c r="D1267" s="209"/>
      <c r="E1267" s="209"/>
    </row>
    <row r="1268" spans="2:5" ht="12.75">
      <c r="B1268" s="209"/>
      <c r="C1268" s="261"/>
      <c r="D1268" s="209"/>
      <c r="E1268" s="209"/>
    </row>
    <row r="1269" spans="2:5" ht="12.75">
      <c r="B1269" s="209"/>
      <c r="C1269" s="261"/>
      <c r="D1269" s="209"/>
      <c r="E1269" s="209"/>
    </row>
    <row r="1270" spans="2:5" ht="12.75">
      <c r="B1270" s="209"/>
      <c r="C1270" s="261"/>
      <c r="D1270" s="209"/>
      <c r="E1270" s="209"/>
    </row>
    <row r="1271" spans="2:5" ht="12.75">
      <c r="B1271" s="209"/>
      <c r="C1271" s="261"/>
      <c r="D1271" s="209"/>
      <c r="E1271" s="209"/>
    </row>
    <row r="1272" spans="2:5" ht="12.75">
      <c r="B1272" s="209"/>
      <c r="C1272" s="261"/>
      <c r="D1272" s="209"/>
      <c r="E1272" s="209"/>
    </row>
    <row r="1273" spans="2:5" ht="12.75">
      <c r="B1273" s="209"/>
      <c r="C1273" s="261"/>
      <c r="D1273" s="209"/>
      <c r="E1273" s="209"/>
    </row>
    <row r="1274" spans="2:5" ht="12.75">
      <c r="B1274" s="209"/>
      <c r="C1274" s="261"/>
      <c r="D1274" s="209"/>
      <c r="E1274" s="209"/>
    </row>
    <row r="1275" spans="2:5" ht="12.75">
      <c r="B1275" s="209"/>
      <c r="C1275" s="261"/>
      <c r="D1275" s="209"/>
      <c r="E1275" s="209"/>
    </row>
    <row r="1276" spans="2:5" ht="12.75">
      <c r="B1276" s="209"/>
      <c r="C1276" s="261"/>
      <c r="D1276" s="209"/>
      <c r="E1276" s="209"/>
    </row>
    <row r="1277" spans="2:5" ht="12.75">
      <c r="B1277" s="209"/>
      <c r="C1277" s="261"/>
      <c r="D1277" s="209"/>
      <c r="E1277" s="209"/>
    </row>
    <row r="1278" spans="2:5" ht="12.75">
      <c r="B1278" s="209"/>
      <c r="C1278" s="261"/>
      <c r="D1278" s="209"/>
      <c r="E1278" s="209"/>
    </row>
    <row r="1279" spans="2:5" ht="12.75">
      <c r="B1279" s="209"/>
      <c r="C1279" s="261"/>
      <c r="D1279" s="209"/>
      <c r="E1279" s="209"/>
    </row>
    <row r="1280" spans="2:5" ht="12.75">
      <c r="B1280" s="209"/>
      <c r="C1280" s="261"/>
      <c r="D1280" s="209"/>
      <c r="E1280" s="209"/>
    </row>
    <row r="1281" spans="2:5" ht="12.75">
      <c r="B1281" s="209"/>
      <c r="C1281" s="261"/>
      <c r="D1281" s="209"/>
      <c r="E1281" s="209"/>
    </row>
    <row r="1282" spans="2:5" ht="12.75">
      <c r="B1282" s="209"/>
      <c r="C1282" s="261"/>
      <c r="D1282" s="209"/>
      <c r="E1282" s="209"/>
    </row>
    <row r="1283" spans="2:5" ht="12.75">
      <c r="B1283" s="209"/>
      <c r="C1283" s="261"/>
      <c r="D1283" s="209"/>
      <c r="E1283" s="209"/>
    </row>
    <row r="1284" spans="2:5" ht="12.75">
      <c r="B1284" s="209"/>
      <c r="C1284" s="261"/>
      <c r="D1284" s="209"/>
      <c r="E1284" s="209"/>
    </row>
    <row r="1285" spans="2:5" ht="12.75">
      <c r="B1285" s="209"/>
      <c r="C1285" s="261"/>
      <c r="D1285" s="209"/>
      <c r="E1285" s="209"/>
    </row>
    <row r="1286" spans="2:5" ht="12.75">
      <c r="B1286" s="209"/>
      <c r="C1286" s="261"/>
      <c r="D1286" s="209"/>
      <c r="E1286" s="209"/>
    </row>
    <row r="1287" spans="2:5" ht="12.75">
      <c r="B1287" s="209"/>
      <c r="C1287" s="261"/>
      <c r="D1287" s="209"/>
      <c r="E1287" s="209"/>
    </row>
    <row r="1288" spans="2:5" ht="12.75">
      <c r="B1288" s="209"/>
      <c r="C1288" s="261"/>
      <c r="D1288" s="209"/>
      <c r="E1288" s="209"/>
    </row>
    <row r="1289" spans="2:5" ht="12.75">
      <c r="B1289" s="209"/>
      <c r="C1289" s="261"/>
      <c r="D1289" s="209"/>
      <c r="E1289" s="209"/>
    </row>
    <row r="1290" spans="2:5" ht="12.75">
      <c r="B1290" s="209"/>
      <c r="C1290" s="261"/>
      <c r="D1290" s="209"/>
      <c r="E1290" s="209"/>
    </row>
    <row r="1291" spans="2:5" ht="12.75">
      <c r="B1291" s="209"/>
      <c r="C1291" s="261"/>
      <c r="D1291" s="209"/>
      <c r="E1291" s="209"/>
    </row>
    <row r="1292" spans="2:5" ht="12.75">
      <c r="B1292" s="209"/>
      <c r="C1292" s="261"/>
      <c r="D1292" s="209"/>
      <c r="E1292" s="209"/>
    </row>
    <row r="1293" spans="2:5" ht="12.75">
      <c r="B1293" s="209"/>
      <c r="C1293" s="261"/>
      <c r="D1293" s="209"/>
      <c r="E1293" s="209"/>
    </row>
    <row r="1294" spans="2:5" ht="12.75">
      <c r="B1294" s="209"/>
      <c r="C1294" s="261"/>
      <c r="D1294" s="209"/>
      <c r="E1294" s="209"/>
    </row>
    <row r="1295" spans="2:5" ht="12.75">
      <c r="B1295" s="209"/>
      <c r="C1295" s="261"/>
      <c r="D1295" s="209"/>
      <c r="E1295" s="209"/>
    </row>
    <row r="1296" spans="2:5" ht="12.75">
      <c r="B1296" s="209"/>
      <c r="C1296" s="261"/>
      <c r="D1296" s="209"/>
      <c r="E1296" s="209"/>
    </row>
    <row r="1297" spans="2:5" ht="12.75">
      <c r="B1297" s="209"/>
      <c r="C1297" s="261"/>
      <c r="D1297" s="209"/>
      <c r="E1297" s="209"/>
    </row>
    <row r="1298" spans="2:5" ht="12.75">
      <c r="B1298" s="209"/>
      <c r="C1298" s="261"/>
      <c r="D1298" s="209"/>
      <c r="E1298" s="209"/>
    </row>
    <row r="1299" spans="2:5" ht="12.75">
      <c r="B1299" s="209"/>
      <c r="C1299" s="261"/>
      <c r="D1299" s="209"/>
      <c r="E1299" s="209"/>
    </row>
    <row r="1300" spans="2:5" ht="12.75">
      <c r="B1300" s="209"/>
      <c r="C1300" s="261"/>
      <c r="D1300" s="209"/>
      <c r="E1300" s="209"/>
    </row>
    <row r="1301" spans="2:5" ht="12.75">
      <c r="B1301" s="209"/>
      <c r="C1301" s="261"/>
      <c r="D1301" s="209"/>
      <c r="E1301" s="209"/>
    </row>
    <row r="1302" spans="2:5" ht="12.75">
      <c r="B1302" s="209"/>
      <c r="C1302" s="261"/>
      <c r="D1302" s="209"/>
      <c r="E1302" s="209"/>
    </row>
    <row r="1303" spans="2:5" ht="12.75">
      <c r="B1303" s="209"/>
      <c r="C1303" s="261"/>
      <c r="D1303" s="209"/>
      <c r="E1303" s="209"/>
    </row>
    <row r="1304" spans="2:5" ht="12.75">
      <c r="B1304" s="209"/>
      <c r="C1304" s="261"/>
      <c r="D1304" s="209"/>
      <c r="E1304" s="209"/>
    </row>
    <row r="1305" spans="2:5" ht="12.75">
      <c r="B1305" s="209"/>
      <c r="C1305" s="261"/>
      <c r="D1305" s="209"/>
      <c r="E1305" s="209"/>
    </row>
    <row r="1306" spans="2:5" ht="12.75">
      <c r="B1306" s="209"/>
      <c r="C1306" s="261"/>
      <c r="D1306" s="209"/>
      <c r="E1306" s="209"/>
    </row>
    <row r="1307" spans="2:5" ht="12.75">
      <c r="B1307" s="209"/>
      <c r="C1307" s="261"/>
      <c r="D1307" s="209"/>
      <c r="E1307" s="209"/>
    </row>
    <row r="1308" spans="2:5" ht="12.75">
      <c r="B1308" s="209"/>
      <c r="C1308" s="261"/>
      <c r="D1308" s="209"/>
      <c r="E1308" s="209"/>
    </row>
    <row r="1309" spans="2:5" ht="12.75">
      <c r="B1309" s="209"/>
      <c r="C1309" s="261"/>
      <c r="D1309" s="209"/>
      <c r="E1309" s="209"/>
    </row>
    <row r="1310" spans="2:5" ht="12.75">
      <c r="B1310" s="209"/>
      <c r="C1310" s="261"/>
      <c r="D1310" s="209"/>
      <c r="E1310" s="209"/>
    </row>
    <row r="1311" spans="2:5" ht="12.75">
      <c r="B1311" s="209"/>
      <c r="C1311" s="261"/>
      <c r="D1311" s="209"/>
      <c r="E1311" s="209"/>
    </row>
    <row r="1312" spans="2:5" ht="12.75">
      <c r="B1312" s="209"/>
      <c r="C1312" s="261"/>
      <c r="D1312" s="209"/>
      <c r="E1312" s="209"/>
    </row>
    <row r="1313" spans="2:5" ht="12.75">
      <c r="B1313" s="209"/>
      <c r="C1313" s="261"/>
      <c r="D1313" s="209"/>
      <c r="E1313" s="209"/>
    </row>
    <row r="1314" spans="2:5" ht="12.75">
      <c r="B1314" s="209"/>
      <c r="C1314" s="261"/>
      <c r="D1314" s="209"/>
      <c r="E1314" s="209"/>
    </row>
    <row r="1315" spans="2:5" ht="12.75">
      <c r="B1315" s="209"/>
      <c r="C1315" s="261"/>
      <c r="D1315" s="209"/>
      <c r="E1315" s="209"/>
    </row>
    <row r="1316" spans="2:5" ht="12.75">
      <c r="B1316" s="209"/>
      <c r="C1316" s="261"/>
      <c r="D1316" s="209"/>
      <c r="E1316" s="209"/>
    </row>
    <row r="1317" spans="2:5" ht="12.75">
      <c r="B1317" s="209"/>
      <c r="C1317" s="261"/>
      <c r="D1317" s="209"/>
      <c r="E1317" s="209"/>
    </row>
    <row r="1318" spans="2:5" ht="12.75">
      <c r="B1318" s="209"/>
      <c r="C1318" s="261"/>
      <c r="D1318" s="209"/>
      <c r="E1318" s="209"/>
    </row>
    <row r="1319" spans="2:5" ht="12.75">
      <c r="B1319" s="209"/>
      <c r="C1319" s="261"/>
      <c r="D1319" s="209"/>
      <c r="E1319" s="209"/>
    </row>
    <row r="1320" spans="2:5" ht="12.75">
      <c r="B1320" s="209"/>
      <c r="C1320" s="261"/>
      <c r="D1320" s="209"/>
      <c r="E1320" s="209"/>
    </row>
    <row r="1321" spans="2:5" ht="12.75">
      <c r="B1321" s="209"/>
      <c r="C1321" s="261"/>
      <c r="D1321" s="209"/>
      <c r="E1321" s="209"/>
    </row>
    <row r="1322" spans="2:5" ht="12.75">
      <c r="B1322" s="209"/>
      <c r="C1322" s="261"/>
      <c r="D1322" s="209"/>
      <c r="E1322" s="209"/>
    </row>
    <row r="1323" spans="2:5" ht="12.75">
      <c r="B1323" s="209"/>
      <c r="C1323" s="261"/>
      <c r="D1323" s="209"/>
      <c r="E1323" s="209"/>
    </row>
    <row r="1324" spans="2:5" ht="12.75">
      <c r="B1324" s="209"/>
      <c r="C1324" s="261"/>
      <c r="D1324" s="209"/>
      <c r="E1324" s="209"/>
    </row>
  </sheetData>
  <sheetProtection/>
  <mergeCells count="25">
    <mergeCell ref="B8:B10"/>
    <mergeCell ref="C8:C10"/>
    <mergeCell ref="D8:D10"/>
    <mergeCell ref="E8:E10"/>
    <mergeCell ref="H8:H10"/>
    <mergeCell ref="I8:I10"/>
    <mergeCell ref="A190:D190"/>
    <mergeCell ref="A191:D191"/>
    <mergeCell ref="A192:D192"/>
    <mergeCell ref="A193:D193"/>
    <mergeCell ref="A6:G6"/>
    <mergeCell ref="A7:G7"/>
    <mergeCell ref="A189:D189"/>
    <mergeCell ref="F8:F10"/>
    <mergeCell ref="G8:G10"/>
    <mergeCell ref="A8:A10"/>
    <mergeCell ref="A202:D202"/>
    <mergeCell ref="A198:D198"/>
    <mergeCell ref="A199:D199"/>
    <mergeCell ref="A200:D200"/>
    <mergeCell ref="A201:D201"/>
    <mergeCell ref="A194:D194"/>
    <mergeCell ref="A195:D195"/>
    <mergeCell ref="A196:D196"/>
    <mergeCell ref="A197:D197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zoomScalePageLayoutView="0" workbookViewId="0" topLeftCell="A1">
      <selection activeCell="J37" sqref="J37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50"/>
      <c r="C1" s="150"/>
      <c r="D1" s="150"/>
      <c r="E1" s="150"/>
      <c r="F1" s="151" t="s">
        <v>360</v>
      </c>
    </row>
    <row r="2" spans="2:6" ht="12.75">
      <c r="B2" s="150"/>
      <c r="C2" s="150"/>
      <c r="D2" s="150"/>
      <c r="E2" s="150"/>
      <c r="F2" s="151" t="s">
        <v>319</v>
      </c>
    </row>
    <row r="3" spans="2:6" ht="12.75">
      <c r="B3" s="150"/>
      <c r="C3" s="150"/>
      <c r="D3" s="150"/>
      <c r="E3" s="152"/>
      <c r="F3" s="151" t="s">
        <v>181</v>
      </c>
    </row>
    <row r="4" spans="2:6" ht="12.75">
      <c r="B4" s="150"/>
      <c r="C4" s="150"/>
      <c r="D4" s="150"/>
      <c r="E4" s="152"/>
      <c r="F4" s="151" t="s">
        <v>665</v>
      </c>
    </row>
    <row r="5" spans="2:6" ht="12.75">
      <c r="B5" s="150"/>
      <c r="C5" s="150"/>
      <c r="D5" s="150"/>
      <c r="E5" s="152"/>
      <c r="F5" s="151"/>
    </row>
    <row r="6" spans="2:6" ht="12.75">
      <c r="B6" s="150"/>
      <c r="C6" s="150"/>
      <c r="D6" s="150"/>
      <c r="E6" s="152"/>
      <c r="F6" s="151"/>
    </row>
    <row r="7" spans="2:6" ht="12.75">
      <c r="B7" s="150"/>
      <c r="C7" s="150"/>
      <c r="D7" s="150"/>
      <c r="E7" s="152"/>
      <c r="F7" s="151"/>
    </row>
    <row r="8" spans="2:6" ht="12.75">
      <c r="B8" s="877"/>
      <c r="C8" s="877"/>
      <c r="D8" s="877"/>
      <c r="E8" s="877"/>
      <c r="F8" s="877"/>
    </row>
    <row r="9" spans="2:6" ht="15.75">
      <c r="B9" s="878" t="s">
        <v>509</v>
      </c>
      <c r="C9" s="878"/>
      <c r="D9" s="878"/>
      <c r="E9" s="878"/>
      <c r="F9" s="878"/>
    </row>
    <row r="10" spans="2:6" ht="12.75">
      <c r="B10" s="501"/>
      <c r="C10" s="501"/>
      <c r="D10" s="501"/>
      <c r="E10" s="501"/>
      <c r="F10" s="501"/>
    </row>
    <row r="11" spans="2:6" ht="12.75">
      <c r="B11" s="501"/>
      <c r="C11" s="501"/>
      <c r="D11" s="501"/>
      <c r="E11" s="501"/>
      <c r="F11" s="501"/>
    </row>
    <row r="12" spans="2:6" ht="12.75">
      <c r="B12" s="877"/>
      <c r="C12" s="877"/>
      <c r="D12" s="877"/>
      <c r="E12" s="877"/>
      <c r="F12" s="877"/>
    </row>
    <row r="13" spans="2:6" ht="13.5" thickBot="1">
      <c r="B13" s="152"/>
      <c r="C13" s="152"/>
      <c r="D13" s="152"/>
      <c r="E13" s="152"/>
      <c r="F13" s="153" t="s">
        <v>322</v>
      </c>
    </row>
    <row r="14" spans="1:6" ht="12.75">
      <c r="A14" s="874" t="s">
        <v>419</v>
      </c>
      <c r="B14" s="879" t="s">
        <v>183</v>
      </c>
      <c r="C14" s="879"/>
      <c r="D14" s="880"/>
      <c r="E14" s="888" t="s">
        <v>510</v>
      </c>
      <c r="F14" s="881" t="s">
        <v>403</v>
      </c>
    </row>
    <row r="15" spans="1:6" ht="12.75">
      <c r="A15" s="875"/>
      <c r="B15" s="884" t="s">
        <v>55</v>
      </c>
      <c r="C15" s="886" t="s">
        <v>400</v>
      </c>
      <c r="D15" s="886" t="s">
        <v>365</v>
      </c>
      <c r="E15" s="889"/>
      <c r="F15" s="882"/>
    </row>
    <row r="16" spans="1:6" ht="13.5" thickBot="1">
      <c r="A16" s="876"/>
      <c r="B16" s="885"/>
      <c r="C16" s="887"/>
      <c r="D16" s="887"/>
      <c r="E16" s="890"/>
      <c r="F16" s="883"/>
    </row>
    <row r="17" spans="1:6" ht="13.5" thickBot="1">
      <c r="A17" s="332">
        <v>1</v>
      </c>
      <c r="B17" s="333">
        <v>2</v>
      </c>
      <c r="C17" s="333">
        <v>3</v>
      </c>
      <c r="D17" s="333">
        <v>4</v>
      </c>
      <c r="E17" s="333">
        <v>5</v>
      </c>
      <c r="F17" s="626">
        <v>6</v>
      </c>
    </row>
    <row r="18" spans="1:6" ht="13.5" thickBot="1">
      <c r="A18" s="627"/>
      <c r="B18" s="512"/>
      <c r="C18" s="513"/>
      <c r="D18" s="513"/>
      <c r="E18" s="514" t="s">
        <v>518</v>
      </c>
      <c r="F18" s="515">
        <f>F19+F25</f>
        <v>320266</v>
      </c>
    </row>
    <row r="19" spans="1:6" ht="12.75">
      <c r="A19" s="628"/>
      <c r="B19" s="516">
        <v>801</v>
      </c>
      <c r="C19" s="516">
        <v>80120</v>
      </c>
      <c r="D19" s="517">
        <v>2540</v>
      </c>
      <c r="E19" s="518" t="s">
        <v>128</v>
      </c>
      <c r="F19" s="519">
        <f>SUM(F20:F23)</f>
        <v>110160</v>
      </c>
    </row>
    <row r="20" spans="1:8" ht="12.75">
      <c r="A20" s="336" t="s">
        <v>372</v>
      </c>
      <c r="B20" s="340"/>
      <c r="C20" s="339"/>
      <c r="D20" s="340"/>
      <c r="E20" s="506" t="s">
        <v>511</v>
      </c>
      <c r="F20" s="342">
        <f>14400+21600</f>
        <v>36000</v>
      </c>
      <c r="H20" s="508"/>
    </row>
    <row r="21" spans="1:6" ht="12.75">
      <c r="A21" s="336" t="s">
        <v>373</v>
      </c>
      <c r="B21" s="340"/>
      <c r="C21" s="339"/>
      <c r="D21" s="340"/>
      <c r="E21" s="506" t="s">
        <v>522</v>
      </c>
      <c r="F21" s="342">
        <f>23760+23400</f>
        <v>47160</v>
      </c>
    </row>
    <row r="22" spans="1:6" ht="12.75">
      <c r="A22" s="336" t="s">
        <v>374</v>
      </c>
      <c r="B22" s="340"/>
      <c r="C22" s="339"/>
      <c r="D22" s="340"/>
      <c r="E22" s="506" t="s">
        <v>520</v>
      </c>
      <c r="F22" s="342">
        <v>12600</v>
      </c>
    </row>
    <row r="23" spans="1:6" ht="12.75">
      <c r="A23" s="336" t="s">
        <v>362</v>
      </c>
      <c r="B23" s="340"/>
      <c r="C23" s="339"/>
      <c r="D23" s="340"/>
      <c r="E23" s="506" t="s">
        <v>521</v>
      </c>
      <c r="F23" s="342">
        <v>14400</v>
      </c>
    </row>
    <row r="24" spans="1:6" ht="12.75">
      <c r="A24" s="336"/>
      <c r="B24" s="340"/>
      <c r="C24" s="339"/>
      <c r="D24" s="340"/>
      <c r="E24" s="506"/>
      <c r="F24" s="342"/>
    </row>
    <row r="25" spans="1:6" ht="12.75">
      <c r="A25" s="629"/>
      <c r="B25" s="520">
        <v>853</v>
      </c>
      <c r="C25" s="520">
        <v>85311</v>
      </c>
      <c r="D25" s="521">
        <v>2580</v>
      </c>
      <c r="E25" s="522" t="s">
        <v>519</v>
      </c>
      <c r="F25" s="523">
        <f>SUM(F26:F29)</f>
        <v>210106</v>
      </c>
    </row>
    <row r="26" spans="1:6" ht="12.75">
      <c r="A26" s="630" t="s">
        <v>372</v>
      </c>
      <c r="B26" s="455"/>
      <c r="C26" s="368"/>
      <c r="D26" s="455"/>
      <c r="E26" s="504" t="s">
        <v>514</v>
      </c>
      <c r="F26" s="503">
        <v>40242</v>
      </c>
    </row>
    <row r="27" spans="1:6" ht="12.75">
      <c r="A27" s="630" t="s">
        <v>373</v>
      </c>
      <c r="B27" s="455"/>
      <c r="C27" s="368"/>
      <c r="D27" s="502"/>
      <c r="E27" s="507" t="s">
        <v>515</v>
      </c>
      <c r="F27" s="503">
        <v>59869</v>
      </c>
    </row>
    <row r="28" spans="1:6" ht="12.75">
      <c r="A28" s="630" t="s">
        <v>374</v>
      </c>
      <c r="B28" s="505"/>
      <c r="C28" s="368"/>
      <c r="D28" s="502"/>
      <c r="E28" s="507" t="s">
        <v>516</v>
      </c>
      <c r="F28" s="503">
        <v>36218</v>
      </c>
    </row>
    <row r="29" spans="1:6" ht="13.5" thickBot="1">
      <c r="A29" s="631" t="s">
        <v>362</v>
      </c>
      <c r="B29" s="509"/>
      <c r="C29" s="361"/>
      <c r="D29" s="509"/>
      <c r="E29" s="510" t="s">
        <v>517</v>
      </c>
      <c r="F29" s="511">
        <v>73777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.00390625" style="150" customWidth="1"/>
    <col min="2" max="2" width="5.125" style="150" customWidth="1"/>
    <col min="3" max="3" width="8.75390625" style="150" customWidth="1"/>
    <col min="4" max="4" width="75.375" style="150" customWidth="1"/>
    <col min="5" max="5" width="13.00390625" style="150" customWidth="1"/>
    <col min="6" max="16384" width="9.125" style="150" customWidth="1"/>
  </cols>
  <sheetData>
    <row r="1" spans="4:5" ht="12">
      <c r="D1" s="152"/>
      <c r="E1" s="151" t="s">
        <v>622</v>
      </c>
    </row>
    <row r="2" spans="4:5" ht="12">
      <c r="D2" s="152"/>
      <c r="E2" s="151" t="s">
        <v>53</v>
      </c>
    </row>
    <row r="3" spans="4:5" ht="12">
      <c r="D3" s="152"/>
      <c r="E3" s="151" t="s">
        <v>181</v>
      </c>
    </row>
    <row r="4" spans="4:5" ht="12">
      <c r="D4" s="152"/>
      <c r="E4" s="151" t="s">
        <v>667</v>
      </c>
    </row>
    <row r="5" spans="4:5" ht="9.75">
      <c r="D5" s="152"/>
      <c r="E5" s="152"/>
    </row>
    <row r="6" spans="4:5" ht="9.75">
      <c r="D6" s="152"/>
      <c r="E6" s="152"/>
    </row>
    <row r="7" spans="4:5" ht="9.75">
      <c r="D7" s="152"/>
      <c r="E7" s="152"/>
    </row>
    <row r="8" spans="4:5" ht="18">
      <c r="D8" s="891" t="s">
        <v>330</v>
      </c>
      <c r="E8" s="891"/>
    </row>
    <row r="9" spans="4:5" ht="18">
      <c r="D9" s="892" t="s">
        <v>331</v>
      </c>
      <c r="E9" s="892"/>
    </row>
    <row r="10" spans="4:5" ht="18">
      <c r="D10" s="891" t="s">
        <v>472</v>
      </c>
      <c r="E10" s="891"/>
    </row>
    <row r="11" ht="9.75">
      <c r="D11" s="386"/>
    </row>
    <row r="12" spans="4:5" ht="12.75" thickBot="1">
      <c r="D12" s="387"/>
      <c r="E12" s="388" t="s">
        <v>182</v>
      </c>
    </row>
    <row r="13" spans="1:5" ht="14.25">
      <c r="A13" s="389"/>
      <c r="B13" s="390"/>
      <c r="C13" s="390"/>
      <c r="D13" s="391"/>
      <c r="E13" s="392"/>
    </row>
    <row r="14" spans="1:5" ht="14.25">
      <c r="A14" s="393" t="s">
        <v>332</v>
      </c>
      <c r="B14" s="394" t="s">
        <v>363</v>
      </c>
      <c r="C14" s="394" t="s">
        <v>364</v>
      </c>
      <c r="D14" s="395" t="s">
        <v>402</v>
      </c>
      <c r="E14" s="396" t="s">
        <v>403</v>
      </c>
    </row>
    <row r="15" spans="1:5" ht="15" thickBot="1">
      <c r="A15" s="397"/>
      <c r="B15" s="398"/>
      <c r="C15" s="398"/>
      <c r="D15" s="399"/>
      <c r="E15" s="400"/>
    </row>
    <row r="16" spans="1:5" ht="11.25">
      <c r="A16" s="632">
        <v>1</v>
      </c>
      <c r="B16" s="633">
        <v>2</v>
      </c>
      <c r="C16" s="633">
        <v>3</v>
      </c>
      <c r="D16" s="633">
        <v>4</v>
      </c>
      <c r="E16" s="634">
        <v>5</v>
      </c>
    </row>
    <row r="17" spans="1:5" ht="15.75" thickBot="1">
      <c r="A17" s="401">
        <v>1</v>
      </c>
      <c r="B17" s="402">
        <v>630</v>
      </c>
      <c r="C17" s="402">
        <v>63003</v>
      </c>
      <c r="D17" s="403" t="s">
        <v>333</v>
      </c>
      <c r="E17" s="404">
        <f>SUM(E18)</f>
        <v>1000</v>
      </c>
    </row>
    <row r="18" spans="1:8" ht="14.25">
      <c r="A18" s="405"/>
      <c r="B18" s="406"/>
      <c r="C18" s="407"/>
      <c r="D18" s="649" t="s">
        <v>334</v>
      </c>
      <c r="E18" s="650">
        <v>1000</v>
      </c>
      <c r="F18" s="78"/>
      <c r="G18" s="78"/>
      <c r="H18" s="78"/>
    </row>
    <row r="19" spans="1:8" ht="14.25">
      <c r="A19" s="405"/>
      <c r="B19" s="406"/>
      <c r="C19" s="407"/>
      <c r="D19" s="651"/>
      <c r="E19" s="652"/>
      <c r="F19" s="78"/>
      <c r="G19" s="78"/>
      <c r="H19" s="78"/>
    </row>
    <row r="20" spans="1:8" ht="15.75" thickBot="1">
      <c r="A20" s="408">
        <v>2</v>
      </c>
      <c r="B20" s="409">
        <v>801</v>
      </c>
      <c r="C20" s="410">
        <v>80195</v>
      </c>
      <c r="D20" s="653" t="s">
        <v>333</v>
      </c>
      <c r="E20" s="654">
        <f>SUM(E21:E22)</f>
        <v>18500</v>
      </c>
      <c r="F20" s="78"/>
      <c r="G20" s="78"/>
      <c r="H20" s="78"/>
    </row>
    <row r="21" spans="1:8" ht="28.5">
      <c r="A21" s="405"/>
      <c r="B21" s="406"/>
      <c r="C21" s="406"/>
      <c r="D21" s="655" t="s">
        <v>335</v>
      </c>
      <c r="E21" s="656">
        <v>13500</v>
      </c>
      <c r="F21" s="78"/>
      <c r="G21" s="78"/>
      <c r="H21" s="78"/>
    </row>
    <row r="22" spans="1:8" ht="14.25">
      <c r="A22" s="405"/>
      <c r="B22" s="406"/>
      <c r="C22" s="406"/>
      <c r="D22" s="657" t="s">
        <v>357</v>
      </c>
      <c r="E22" s="658">
        <v>5000</v>
      </c>
      <c r="F22" s="78"/>
      <c r="G22" s="78"/>
      <c r="H22" s="78"/>
    </row>
    <row r="23" spans="1:8" ht="14.25">
      <c r="A23" s="405"/>
      <c r="B23" s="406"/>
      <c r="C23" s="407"/>
      <c r="D23" s="651"/>
      <c r="E23" s="659"/>
      <c r="F23" s="78"/>
      <c r="G23" s="78"/>
      <c r="H23" s="78"/>
    </row>
    <row r="24" spans="1:8" ht="15.75" thickBot="1">
      <c r="A24" s="408">
        <v>3</v>
      </c>
      <c r="B24" s="409">
        <v>921</v>
      </c>
      <c r="C24" s="409">
        <v>92105</v>
      </c>
      <c r="D24" s="660" t="s">
        <v>333</v>
      </c>
      <c r="E24" s="661">
        <f>SUM(E25:E28)</f>
        <v>10000</v>
      </c>
      <c r="F24" s="78"/>
      <c r="G24" s="78"/>
      <c r="H24" s="78"/>
    </row>
    <row r="25" spans="1:8" ht="14.25">
      <c r="A25" s="405"/>
      <c r="B25" s="406"/>
      <c r="C25" s="406"/>
      <c r="D25" s="657" t="s">
        <v>336</v>
      </c>
      <c r="E25" s="662">
        <v>2000</v>
      </c>
      <c r="F25" s="78"/>
      <c r="G25" s="78"/>
      <c r="H25" s="78"/>
    </row>
    <row r="26" spans="1:8" ht="14.25">
      <c r="A26" s="405"/>
      <c r="B26" s="406"/>
      <c r="C26" s="406"/>
      <c r="D26" s="657" t="s">
        <v>337</v>
      </c>
      <c r="E26" s="658">
        <v>3000</v>
      </c>
      <c r="F26" s="78"/>
      <c r="G26" s="78"/>
      <c r="H26" s="78"/>
    </row>
    <row r="27" spans="1:8" ht="14.25">
      <c r="A27" s="405"/>
      <c r="B27" s="406"/>
      <c r="C27" s="406"/>
      <c r="D27" s="657" t="s">
        <v>620</v>
      </c>
      <c r="E27" s="658">
        <v>2000</v>
      </c>
      <c r="F27" s="78"/>
      <c r="G27" s="78"/>
      <c r="H27" s="78"/>
    </row>
    <row r="28" spans="1:8" ht="14.25">
      <c r="A28" s="405"/>
      <c r="B28" s="406"/>
      <c r="C28" s="406"/>
      <c r="D28" s="657" t="s">
        <v>338</v>
      </c>
      <c r="E28" s="663">
        <v>3000</v>
      </c>
      <c r="F28" s="78"/>
      <c r="G28" s="78"/>
      <c r="H28" s="78"/>
    </row>
    <row r="29" spans="1:8" ht="14.25">
      <c r="A29" s="405"/>
      <c r="B29" s="406"/>
      <c r="C29" s="407"/>
      <c r="D29" s="651"/>
      <c r="E29" s="664"/>
      <c r="F29" s="78"/>
      <c r="G29" s="78"/>
      <c r="H29" s="78"/>
    </row>
    <row r="30" spans="1:8" ht="15.75" thickBot="1">
      <c r="A30" s="408">
        <v>4</v>
      </c>
      <c r="B30" s="409">
        <v>926</v>
      </c>
      <c r="C30" s="409">
        <v>92605</v>
      </c>
      <c r="D30" s="665" t="s">
        <v>333</v>
      </c>
      <c r="E30" s="654">
        <f>SUM(E31:E47)</f>
        <v>70000</v>
      </c>
      <c r="F30" s="78"/>
      <c r="G30" s="78"/>
      <c r="H30" s="78"/>
    </row>
    <row r="31" spans="1:8" ht="14.25">
      <c r="A31" s="405"/>
      <c r="B31" s="406"/>
      <c r="C31" s="406"/>
      <c r="D31" s="666" t="s">
        <v>339</v>
      </c>
      <c r="E31" s="656">
        <v>12000</v>
      </c>
      <c r="F31" s="78"/>
      <c r="G31" s="78"/>
      <c r="H31" s="78"/>
    </row>
    <row r="32" spans="1:8" ht="14.25">
      <c r="A32" s="405"/>
      <c r="B32" s="406"/>
      <c r="C32" s="406"/>
      <c r="D32" s="667" t="s">
        <v>340</v>
      </c>
      <c r="E32" s="663">
        <v>10000</v>
      </c>
      <c r="F32" s="78"/>
      <c r="G32" s="78"/>
      <c r="H32" s="78"/>
    </row>
    <row r="33" spans="1:8" ht="14.25">
      <c r="A33" s="405"/>
      <c r="B33" s="406"/>
      <c r="C33" s="406"/>
      <c r="D33" s="667" t="s">
        <v>341</v>
      </c>
      <c r="E33" s="663">
        <v>5000</v>
      </c>
      <c r="F33" s="78"/>
      <c r="G33" s="78"/>
      <c r="H33" s="78"/>
    </row>
    <row r="34" spans="1:8" ht="14.25">
      <c r="A34" s="405"/>
      <c r="B34" s="406"/>
      <c r="C34" s="406"/>
      <c r="D34" s="667" t="s">
        <v>506</v>
      </c>
      <c r="E34" s="663">
        <v>3000</v>
      </c>
      <c r="F34" s="78"/>
      <c r="G34" s="78"/>
      <c r="H34" s="78"/>
    </row>
    <row r="35" spans="1:8" ht="28.5">
      <c r="A35" s="405"/>
      <c r="B35" s="406"/>
      <c r="C35" s="406"/>
      <c r="D35" s="668" t="s">
        <v>342</v>
      </c>
      <c r="E35" s="663">
        <v>10000</v>
      </c>
      <c r="F35" s="78"/>
      <c r="G35" s="78"/>
      <c r="H35" s="78"/>
    </row>
    <row r="36" spans="1:8" ht="42.75">
      <c r="A36" s="405"/>
      <c r="B36" s="406"/>
      <c r="C36" s="406"/>
      <c r="D36" s="668" t="s">
        <v>343</v>
      </c>
      <c r="E36" s="663">
        <v>5000</v>
      </c>
      <c r="F36" s="78"/>
      <c r="G36" s="78"/>
      <c r="H36" s="78"/>
    </row>
    <row r="37" spans="1:8" ht="12.75" customHeight="1">
      <c r="A37" s="405"/>
      <c r="B37" s="406"/>
      <c r="C37" s="406"/>
      <c r="D37" s="667" t="s">
        <v>344</v>
      </c>
      <c r="E37" s="663">
        <v>2000</v>
      </c>
      <c r="F37" s="78"/>
      <c r="G37" s="78"/>
      <c r="H37" s="78"/>
    </row>
    <row r="38" spans="1:8" ht="14.25">
      <c r="A38" s="405"/>
      <c r="B38" s="406"/>
      <c r="C38" s="406"/>
      <c r="D38" s="668" t="s">
        <v>507</v>
      </c>
      <c r="E38" s="663">
        <v>2000</v>
      </c>
      <c r="F38" s="78"/>
      <c r="G38" s="78"/>
      <c r="H38" s="78"/>
    </row>
    <row r="39" spans="1:8" ht="14.25">
      <c r="A39" s="405"/>
      <c r="B39" s="406"/>
      <c r="C39" s="406"/>
      <c r="D39" s="667" t="s">
        <v>345</v>
      </c>
      <c r="E39" s="663">
        <v>2000</v>
      </c>
      <c r="F39" s="78"/>
      <c r="G39" s="78"/>
      <c r="H39" s="78"/>
    </row>
    <row r="40" spans="1:8" ht="14.25">
      <c r="A40" s="405"/>
      <c r="B40" s="406"/>
      <c r="C40" s="411"/>
      <c r="D40" s="667" t="s">
        <v>346</v>
      </c>
      <c r="E40" s="663">
        <v>4000</v>
      </c>
      <c r="F40" s="78"/>
      <c r="G40" s="78"/>
      <c r="H40" s="78"/>
    </row>
    <row r="41" spans="1:8" ht="14.25">
      <c r="A41" s="405"/>
      <c r="B41" s="406"/>
      <c r="C41" s="406"/>
      <c r="D41" s="667" t="s">
        <v>347</v>
      </c>
      <c r="E41" s="663">
        <v>2000</v>
      </c>
      <c r="F41" s="78"/>
      <c r="G41" s="78"/>
      <c r="H41" s="78"/>
    </row>
    <row r="42" spans="1:8" ht="14.25">
      <c r="A42" s="405"/>
      <c r="B42" s="406"/>
      <c r="C42" s="406"/>
      <c r="D42" s="667" t="s">
        <v>508</v>
      </c>
      <c r="E42" s="663">
        <v>2000</v>
      </c>
      <c r="F42" s="78"/>
      <c r="G42" s="78"/>
      <c r="H42" s="78"/>
    </row>
    <row r="43" spans="1:8" ht="14.25">
      <c r="A43" s="405"/>
      <c r="B43" s="406"/>
      <c r="C43" s="406"/>
      <c r="D43" s="668" t="s">
        <v>348</v>
      </c>
      <c r="E43" s="663">
        <v>2000</v>
      </c>
      <c r="F43" s="78"/>
      <c r="G43" s="78"/>
      <c r="H43" s="78"/>
    </row>
    <row r="44" spans="1:8" ht="14.25">
      <c r="A44" s="405"/>
      <c r="B44" s="406"/>
      <c r="C44" s="406"/>
      <c r="D44" s="668" t="s">
        <v>349</v>
      </c>
      <c r="E44" s="663">
        <v>2000</v>
      </c>
      <c r="F44" s="78"/>
      <c r="G44" s="78"/>
      <c r="H44" s="78"/>
    </row>
    <row r="45" spans="1:8" ht="14.25">
      <c r="A45" s="405"/>
      <c r="B45" s="406"/>
      <c r="C45" s="406"/>
      <c r="D45" s="668" t="s">
        <v>350</v>
      </c>
      <c r="E45" s="663">
        <v>2000</v>
      </c>
      <c r="F45" s="78"/>
      <c r="G45" s="78"/>
      <c r="H45" s="78"/>
    </row>
    <row r="46" spans="1:8" ht="15" customHeight="1">
      <c r="A46" s="405"/>
      <c r="B46" s="406"/>
      <c r="C46" s="406"/>
      <c r="D46" s="667" t="s">
        <v>351</v>
      </c>
      <c r="E46" s="663">
        <v>2000</v>
      </c>
      <c r="F46" s="78"/>
      <c r="G46" s="78"/>
      <c r="H46" s="78"/>
    </row>
    <row r="47" spans="1:8" ht="42" customHeight="1">
      <c r="A47" s="405"/>
      <c r="B47" s="406"/>
      <c r="C47" s="406"/>
      <c r="D47" s="668" t="s">
        <v>352</v>
      </c>
      <c r="E47" s="663">
        <v>3000</v>
      </c>
      <c r="F47" s="78"/>
      <c r="G47" s="78"/>
      <c r="H47" s="78"/>
    </row>
    <row r="48" spans="1:8" ht="15">
      <c r="A48" s="405"/>
      <c r="B48" s="406"/>
      <c r="C48" s="407"/>
      <c r="D48" s="669"/>
      <c r="E48" s="670"/>
      <c r="F48" s="78"/>
      <c r="G48" s="78"/>
      <c r="H48" s="78"/>
    </row>
    <row r="49" spans="1:8" ht="15.75" thickBot="1">
      <c r="A49" s="408"/>
      <c r="B49" s="409"/>
      <c r="C49" s="409"/>
      <c r="D49" s="671" t="s">
        <v>353</v>
      </c>
      <c r="E49" s="672">
        <f>E30+E24+E20+E17</f>
        <v>99500</v>
      </c>
      <c r="F49" s="78"/>
      <c r="G49" s="78"/>
      <c r="H49" s="78"/>
    </row>
    <row r="50" spans="1:8" ht="12.75">
      <c r="A50" s="155"/>
      <c r="B50" s="155"/>
      <c r="C50" s="155"/>
      <c r="D50" s="78"/>
      <c r="E50" s="78"/>
      <c r="F50" s="78"/>
      <c r="G50" s="78"/>
      <c r="H50" s="78"/>
    </row>
    <row r="51" spans="4:8" ht="9.75">
      <c r="D51" s="78"/>
      <c r="E51" s="78"/>
      <c r="F51" s="78"/>
      <c r="G51" s="78"/>
      <c r="H51" s="78"/>
    </row>
    <row r="52" spans="4:8" ht="9.75">
      <c r="D52" s="78"/>
      <c r="E52" s="78"/>
      <c r="F52" s="78"/>
      <c r="G52" s="78"/>
      <c r="H52" s="78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4">
      <selection activeCell="D5" sqref="D5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623</v>
      </c>
    </row>
    <row r="2" ht="12.75">
      <c r="D2" s="6" t="s">
        <v>280</v>
      </c>
    </row>
    <row r="3" ht="12.75">
      <c r="D3" s="6" t="s">
        <v>181</v>
      </c>
    </row>
    <row r="4" ht="12.75">
      <c r="D4" s="6" t="s">
        <v>666</v>
      </c>
    </row>
    <row r="6" spans="1:11" ht="19.5" customHeight="1">
      <c r="A6" s="809" t="s">
        <v>38</v>
      </c>
      <c r="B6" s="809"/>
      <c r="C6" s="809"/>
      <c r="D6" s="809"/>
      <c r="E6" s="5"/>
      <c r="F6" s="5"/>
      <c r="G6" s="5"/>
      <c r="H6" s="5"/>
      <c r="I6" s="5"/>
      <c r="J6" s="5"/>
      <c r="K6" s="5"/>
    </row>
    <row r="7" spans="1:8" ht="19.5" customHeight="1">
      <c r="A7" s="809" t="s">
        <v>404</v>
      </c>
      <c r="B7" s="809"/>
      <c r="C7" s="809"/>
      <c r="D7" s="809"/>
      <c r="E7" s="5"/>
      <c r="F7" s="5"/>
      <c r="G7" s="5"/>
      <c r="H7" s="5"/>
    </row>
    <row r="9" ht="12.75">
      <c r="D9" s="9" t="s">
        <v>401</v>
      </c>
    </row>
    <row r="10" spans="1:11" ht="19.5" customHeight="1">
      <c r="A10" s="13" t="s">
        <v>419</v>
      </c>
      <c r="B10" s="13" t="s">
        <v>365</v>
      </c>
      <c r="C10" s="13" t="s">
        <v>361</v>
      </c>
      <c r="D10" s="13" t="s">
        <v>416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371</v>
      </c>
      <c r="B11" s="18"/>
      <c r="C11" s="27" t="s">
        <v>421</v>
      </c>
      <c r="D11" s="186">
        <v>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376</v>
      </c>
      <c r="B12" s="18"/>
      <c r="C12" s="27" t="s">
        <v>370</v>
      </c>
      <c r="D12" s="186">
        <f>D13</f>
        <v>160200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2" t="s">
        <v>373</v>
      </c>
      <c r="B13" s="22">
        <v>2960</v>
      </c>
      <c r="C13" s="29" t="s">
        <v>199</v>
      </c>
      <c r="D13" s="185">
        <v>160200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" t="s">
        <v>377</v>
      </c>
      <c r="B14" s="18"/>
      <c r="C14" s="27" t="s">
        <v>369</v>
      </c>
      <c r="D14" s="186">
        <f>D15+D21</f>
        <v>160200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372</v>
      </c>
      <c r="B15" s="20"/>
      <c r="C15" s="30" t="s">
        <v>397</v>
      </c>
      <c r="D15" s="187">
        <f>SUM(D16:D20)</f>
        <v>160200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/>
      <c r="B16" s="22">
        <v>2960</v>
      </c>
      <c r="C16" s="29" t="s">
        <v>199</v>
      </c>
      <c r="D16" s="185">
        <v>55000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2"/>
      <c r="B17" s="22">
        <v>4210</v>
      </c>
      <c r="C17" s="29" t="s">
        <v>69</v>
      </c>
      <c r="D17" s="185">
        <v>20000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22"/>
      <c r="B18" s="22">
        <v>4300</v>
      </c>
      <c r="C18" s="29" t="s">
        <v>58</v>
      </c>
      <c r="D18" s="185">
        <v>83000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2"/>
      <c r="B19" s="22">
        <v>4700</v>
      </c>
      <c r="C19" s="29" t="s">
        <v>201</v>
      </c>
      <c r="D19" s="185">
        <v>1700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2"/>
      <c r="B20" s="22">
        <v>4410</v>
      </c>
      <c r="C20" s="29" t="s">
        <v>484</v>
      </c>
      <c r="D20" s="185">
        <v>500</v>
      </c>
      <c r="E20" s="7"/>
      <c r="F20" s="7"/>
      <c r="G20" s="7"/>
      <c r="H20" s="7"/>
      <c r="I20" s="7"/>
      <c r="J20" s="8"/>
      <c r="K20" s="8"/>
    </row>
    <row r="21" spans="1:11" ht="19.5" customHeight="1">
      <c r="A21" s="22" t="s">
        <v>373</v>
      </c>
      <c r="B21" s="22"/>
      <c r="C21" s="29" t="s">
        <v>399</v>
      </c>
      <c r="D21" s="185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18" t="s">
        <v>398</v>
      </c>
      <c r="B22" s="18"/>
      <c r="C22" s="27" t="s">
        <v>423</v>
      </c>
      <c r="D22" s="186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D27" sqref="D27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279</v>
      </c>
    </row>
    <row r="2" ht="12.75">
      <c r="D2" s="6" t="s">
        <v>280</v>
      </c>
    </row>
    <row r="3" ht="12.75">
      <c r="D3" s="6" t="s">
        <v>181</v>
      </c>
    </row>
    <row r="4" ht="12.75">
      <c r="D4" s="6" t="s">
        <v>666</v>
      </c>
    </row>
    <row r="6" spans="1:11" ht="19.5" customHeight="1">
      <c r="A6" s="809" t="s">
        <v>38</v>
      </c>
      <c r="B6" s="809"/>
      <c r="C6" s="809"/>
      <c r="D6" s="809"/>
      <c r="E6" s="5"/>
      <c r="F6" s="5"/>
      <c r="G6" s="5"/>
      <c r="H6" s="5"/>
      <c r="I6" s="5"/>
      <c r="J6" s="5"/>
      <c r="K6" s="5"/>
    </row>
    <row r="7" spans="1:8" ht="19.5" customHeight="1">
      <c r="A7" s="809" t="s">
        <v>6</v>
      </c>
      <c r="B7" s="809"/>
      <c r="C7" s="809"/>
      <c r="D7" s="809"/>
      <c r="E7" s="5"/>
      <c r="F7" s="5"/>
      <c r="G7" s="5"/>
      <c r="H7" s="5"/>
    </row>
    <row r="8" ht="18">
      <c r="C8" s="5" t="s">
        <v>473</v>
      </c>
    </row>
    <row r="9" ht="12.75">
      <c r="D9" s="9" t="s">
        <v>401</v>
      </c>
    </row>
    <row r="10" spans="1:11" ht="19.5" customHeight="1">
      <c r="A10" s="13" t="s">
        <v>419</v>
      </c>
      <c r="B10" s="13" t="s">
        <v>365</v>
      </c>
      <c r="C10" s="13" t="s">
        <v>361</v>
      </c>
      <c r="D10" s="13" t="s">
        <v>460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371</v>
      </c>
      <c r="B11" s="18"/>
      <c r="C11" s="27" t="s">
        <v>421</v>
      </c>
      <c r="D11" s="186">
        <v>110130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376</v>
      </c>
      <c r="B12" s="18"/>
      <c r="C12" s="27" t="s">
        <v>284</v>
      </c>
      <c r="D12" s="186">
        <f>SUM(D13:D14)</f>
        <v>450000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88" t="s">
        <v>205</v>
      </c>
      <c r="B13" s="188" t="s">
        <v>203</v>
      </c>
      <c r="C13" s="28" t="s">
        <v>198</v>
      </c>
      <c r="D13" s="184">
        <v>440000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9" t="s">
        <v>206</v>
      </c>
      <c r="B14" s="189" t="s">
        <v>204</v>
      </c>
      <c r="C14" s="29" t="s">
        <v>200</v>
      </c>
      <c r="D14" s="185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8" t="s">
        <v>377</v>
      </c>
      <c r="B15" s="18"/>
      <c r="C15" s="27" t="s">
        <v>285</v>
      </c>
      <c r="D15" s="186">
        <f>D16+D26</f>
        <v>550000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0" t="s">
        <v>372</v>
      </c>
      <c r="B16" s="20"/>
      <c r="C16" s="30" t="s">
        <v>286</v>
      </c>
      <c r="D16" s="187">
        <f>SUM(D17:D25)</f>
        <v>520000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2"/>
      <c r="B17" s="22">
        <v>2960</v>
      </c>
      <c r="C17" s="29" t="s">
        <v>199</v>
      </c>
      <c r="D17" s="185">
        <v>90000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2"/>
      <c r="B18" s="22">
        <v>4210</v>
      </c>
      <c r="C18" s="29" t="s">
        <v>69</v>
      </c>
      <c r="D18" s="185">
        <v>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2"/>
      <c r="B19" s="22">
        <v>4270</v>
      </c>
      <c r="C19" s="29" t="s">
        <v>71</v>
      </c>
      <c r="D19" s="185">
        <v>3000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2"/>
      <c r="B20" s="22">
        <v>4300</v>
      </c>
      <c r="C20" s="29" t="s">
        <v>58</v>
      </c>
      <c r="D20" s="185">
        <v>395000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2"/>
      <c r="B21" s="22">
        <v>4350</v>
      </c>
      <c r="C21" s="29" t="s">
        <v>73</v>
      </c>
      <c r="D21" s="185">
        <v>2000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2"/>
      <c r="B22" s="22">
        <v>4530</v>
      </c>
      <c r="C22" s="29" t="s">
        <v>83</v>
      </c>
      <c r="D22" s="185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2"/>
      <c r="B23" s="22">
        <v>4700</v>
      </c>
      <c r="C23" s="29" t="s">
        <v>201</v>
      </c>
      <c r="D23" s="185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9" t="s">
        <v>202</v>
      </c>
      <c r="D24" s="185">
        <v>4000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9" t="s">
        <v>107</v>
      </c>
      <c r="D25" s="185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373</v>
      </c>
      <c r="B26" s="22"/>
      <c r="C26" s="29" t="s">
        <v>287</v>
      </c>
      <c r="D26" s="185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31" t="s">
        <v>103</v>
      </c>
      <c r="D27" s="185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398</v>
      </c>
      <c r="B28" s="18"/>
      <c r="C28" s="27" t="s">
        <v>423</v>
      </c>
      <c r="D28" s="186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P7">
      <selection activeCell="F23" sqref="F23"/>
    </sheetView>
  </sheetViews>
  <sheetFormatPr defaultColWidth="9.00390625" defaultRowHeight="12.75"/>
  <cols>
    <col min="1" max="1" width="3.375" style="150" customWidth="1"/>
    <col min="2" max="2" width="35.75390625" style="150" customWidth="1"/>
    <col min="3" max="3" width="10.875" style="150" hidden="1" customWidth="1"/>
    <col min="4" max="4" width="11.125" style="150" hidden="1" customWidth="1"/>
    <col min="5" max="16" width="9.625" style="150" customWidth="1"/>
    <col min="17" max="17" width="9.75390625" style="150" customWidth="1"/>
    <col min="18" max="30" width="9.625" style="150" customWidth="1"/>
    <col min="31" max="42" width="10.125" style="150" customWidth="1"/>
    <col min="43" max="16384" width="9.125" style="150" customWidth="1"/>
  </cols>
  <sheetData>
    <row r="1" spans="4:25" ht="12">
      <c r="D1" s="152"/>
      <c r="F1" s="331"/>
      <c r="K1" s="151" t="s">
        <v>281</v>
      </c>
      <c r="Y1" s="151" t="s">
        <v>281</v>
      </c>
    </row>
    <row r="2" spans="1:25" ht="12">
      <c r="A2" s="537"/>
      <c r="B2" s="538"/>
      <c r="C2" s="537"/>
      <c r="D2" s="152"/>
      <c r="F2" s="331"/>
      <c r="K2" s="151" t="s">
        <v>533</v>
      </c>
      <c r="Y2" s="151" t="s">
        <v>533</v>
      </c>
    </row>
    <row r="3" spans="1:25" ht="12">
      <c r="A3" s="537"/>
      <c r="B3" s="538"/>
      <c r="D3" s="152"/>
      <c r="F3" s="331"/>
      <c r="K3" s="151" t="s">
        <v>181</v>
      </c>
      <c r="Y3" s="151" t="s">
        <v>181</v>
      </c>
    </row>
    <row r="4" spans="1:25" ht="12">
      <c r="A4" s="537"/>
      <c r="B4" s="538"/>
      <c r="D4" s="152"/>
      <c r="F4" s="331"/>
      <c r="K4" s="151" t="s">
        <v>671</v>
      </c>
      <c r="Y4" s="151" t="s">
        <v>671</v>
      </c>
    </row>
    <row r="5" spans="1:6" ht="12">
      <c r="A5" s="537"/>
      <c r="B5" s="538"/>
      <c r="D5" s="152"/>
      <c r="E5" s="151"/>
      <c r="F5" s="331"/>
    </row>
    <row r="6" spans="1:5" ht="9.75">
      <c r="A6" s="537"/>
      <c r="B6" s="538"/>
      <c r="D6" s="152"/>
      <c r="E6" s="152"/>
    </row>
    <row r="7" spans="1:5" ht="9.75">
      <c r="A7" s="537"/>
      <c r="B7" s="538"/>
      <c r="D7" s="152"/>
      <c r="E7" s="152"/>
    </row>
    <row r="8" spans="1:5" ht="9.75">
      <c r="A8" s="537"/>
      <c r="B8" s="538"/>
      <c r="D8" s="152"/>
      <c r="E8" s="152"/>
    </row>
    <row r="9" spans="1:6" ht="9.75">
      <c r="A9" s="537"/>
      <c r="B9" s="538"/>
      <c r="D9" s="387"/>
      <c r="E9" s="537"/>
      <c r="F9" s="537"/>
    </row>
    <row r="10" spans="2:27" ht="12.75" customHeight="1">
      <c r="B10" s="893" t="s">
        <v>534</v>
      </c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 t="s">
        <v>534</v>
      </c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893"/>
    </row>
    <row r="11" spans="1:6" ht="9.75">
      <c r="A11" s="537"/>
      <c r="B11" s="386"/>
      <c r="C11" s="537"/>
      <c r="D11" s="537"/>
      <c r="E11" s="537"/>
      <c r="F11" s="537"/>
    </row>
    <row r="12" spans="1:6" ht="9.75">
      <c r="A12" s="537"/>
      <c r="B12" s="386"/>
      <c r="C12" s="537"/>
      <c r="D12" s="537"/>
      <c r="E12" s="537"/>
      <c r="F12" s="537"/>
    </row>
    <row r="13" spans="1:6" ht="9.75">
      <c r="A13" s="537"/>
      <c r="B13" s="538"/>
      <c r="C13" s="537"/>
      <c r="D13" s="537"/>
      <c r="E13" s="537"/>
      <c r="F13" s="537"/>
    </row>
    <row r="14" spans="13:27" ht="10.5" thickBot="1">
      <c r="M14" s="153" t="s">
        <v>182</v>
      </c>
      <c r="AA14" s="153" t="s">
        <v>182</v>
      </c>
    </row>
    <row r="15" spans="1:27" ht="12.75" customHeight="1">
      <c r="A15" s="539"/>
      <c r="B15" s="540"/>
      <c r="C15" s="540"/>
      <c r="D15" s="894" t="s">
        <v>535</v>
      </c>
      <c r="E15" s="854"/>
      <c r="F15" s="854"/>
      <c r="G15" s="854"/>
      <c r="H15" s="854"/>
      <c r="I15" s="854"/>
      <c r="J15" s="854"/>
      <c r="K15" s="854"/>
      <c r="L15" s="854"/>
      <c r="M15" s="855"/>
      <c r="N15" s="541"/>
      <c r="O15" s="500"/>
      <c r="P15" s="500"/>
      <c r="Q15" s="500"/>
      <c r="R15" s="500"/>
      <c r="S15" s="500"/>
      <c r="T15" s="500" t="s">
        <v>535</v>
      </c>
      <c r="U15" s="500"/>
      <c r="V15" s="500"/>
      <c r="W15" s="500"/>
      <c r="X15" s="500"/>
      <c r="Y15" s="500"/>
      <c r="Z15" s="500"/>
      <c r="AA15" s="542"/>
    </row>
    <row r="16" spans="1:27" ht="12">
      <c r="A16" s="543"/>
      <c r="B16" s="544" t="s">
        <v>536</v>
      </c>
      <c r="C16" s="544" t="s">
        <v>537</v>
      </c>
      <c r="D16" s="545"/>
      <c r="E16" s="895" t="s">
        <v>657</v>
      </c>
      <c r="F16" s="546"/>
      <c r="G16" s="547"/>
      <c r="H16" s="546"/>
      <c r="I16" s="547"/>
      <c r="J16" s="546"/>
      <c r="K16" s="547"/>
      <c r="L16" s="546"/>
      <c r="M16" s="546"/>
      <c r="N16" s="546"/>
      <c r="O16" s="547"/>
      <c r="P16" s="546"/>
      <c r="Q16" s="547"/>
      <c r="R16" s="546"/>
      <c r="S16" s="547"/>
      <c r="T16" s="546"/>
      <c r="U16" s="547"/>
      <c r="V16" s="546"/>
      <c r="W16" s="547"/>
      <c r="X16" s="546"/>
      <c r="Y16" s="547"/>
      <c r="Z16" s="546"/>
      <c r="AA16" s="548"/>
    </row>
    <row r="17" spans="1:27" ht="12">
      <c r="A17" s="549" t="s">
        <v>538</v>
      </c>
      <c r="B17" s="544" t="s">
        <v>539</v>
      </c>
      <c r="C17" s="544" t="s">
        <v>540</v>
      </c>
      <c r="D17" s="544" t="s">
        <v>537</v>
      </c>
      <c r="E17" s="896"/>
      <c r="F17" s="550">
        <v>2008</v>
      </c>
      <c r="G17" s="544">
        <v>2009</v>
      </c>
      <c r="H17" s="550">
        <v>2010</v>
      </c>
      <c r="I17" s="551">
        <v>2011</v>
      </c>
      <c r="J17" s="550">
        <v>2012</v>
      </c>
      <c r="K17" s="551">
        <v>2013</v>
      </c>
      <c r="L17" s="550">
        <v>2014</v>
      </c>
      <c r="M17" s="550">
        <v>2015</v>
      </c>
      <c r="N17" s="550">
        <v>2016</v>
      </c>
      <c r="O17" s="551">
        <v>2017</v>
      </c>
      <c r="P17" s="550">
        <v>2018</v>
      </c>
      <c r="Q17" s="551">
        <v>2019</v>
      </c>
      <c r="R17" s="550">
        <v>2020</v>
      </c>
      <c r="S17" s="551">
        <v>2021</v>
      </c>
      <c r="T17" s="550">
        <v>2022</v>
      </c>
      <c r="U17" s="551">
        <v>2023</v>
      </c>
      <c r="V17" s="550">
        <v>2024</v>
      </c>
      <c r="W17" s="551">
        <v>2025</v>
      </c>
      <c r="X17" s="550">
        <v>2026</v>
      </c>
      <c r="Y17" s="551">
        <v>2027</v>
      </c>
      <c r="Z17" s="550">
        <v>2028</v>
      </c>
      <c r="AA17" s="552">
        <v>2029</v>
      </c>
    </row>
    <row r="18" spans="1:27" ht="12">
      <c r="A18" s="543"/>
      <c r="B18" s="545"/>
      <c r="C18" s="544" t="s">
        <v>541</v>
      </c>
      <c r="D18" s="553" t="s">
        <v>542</v>
      </c>
      <c r="E18" s="896"/>
      <c r="F18" s="554"/>
      <c r="G18" s="555"/>
      <c r="H18" s="554"/>
      <c r="I18" s="555"/>
      <c r="J18" s="554"/>
      <c r="K18" s="555"/>
      <c r="L18" s="554"/>
      <c r="M18" s="554"/>
      <c r="N18" s="554"/>
      <c r="O18" s="555"/>
      <c r="P18" s="554"/>
      <c r="Q18" s="555"/>
      <c r="R18" s="554"/>
      <c r="S18" s="555"/>
      <c r="T18" s="554"/>
      <c r="U18" s="555"/>
      <c r="V18" s="554"/>
      <c r="W18" s="555"/>
      <c r="X18" s="554"/>
      <c r="Y18" s="555"/>
      <c r="Z18" s="554"/>
      <c r="AA18" s="556"/>
    </row>
    <row r="19" spans="1:27" ht="12.75" thickBot="1">
      <c r="A19" s="557"/>
      <c r="B19" s="558"/>
      <c r="C19" s="559"/>
      <c r="D19" s="560"/>
      <c r="E19" s="897"/>
      <c r="F19" s="561"/>
      <c r="G19" s="562"/>
      <c r="H19" s="561"/>
      <c r="I19" s="562"/>
      <c r="J19" s="561"/>
      <c r="K19" s="562"/>
      <c r="L19" s="561"/>
      <c r="M19" s="561"/>
      <c r="N19" s="561"/>
      <c r="O19" s="562"/>
      <c r="P19" s="561"/>
      <c r="Q19" s="562"/>
      <c r="R19" s="561"/>
      <c r="S19" s="562"/>
      <c r="T19" s="561"/>
      <c r="U19" s="562"/>
      <c r="V19" s="561"/>
      <c r="W19" s="562"/>
      <c r="X19" s="561"/>
      <c r="Y19" s="562"/>
      <c r="Z19" s="561"/>
      <c r="AA19" s="563"/>
    </row>
    <row r="20" spans="1:27" s="568" customFormat="1" ht="12" thickBot="1">
      <c r="A20" s="564">
        <v>1</v>
      </c>
      <c r="B20" s="565">
        <v>2</v>
      </c>
      <c r="C20" s="565">
        <v>3</v>
      </c>
      <c r="D20" s="565">
        <v>4</v>
      </c>
      <c r="E20" s="565">
        <v>5</v>
      </c>
      <c r="F20" s="566">
        <v>6</v>
      </c>
      <c r="G20" s="565">
        <v>7</v>
      </c>
      <c r="H20" s="566">
        <v>8</v>
      </c>
      <c r="I20" s="565">
        <v>9</v>
      </c>
      <c r="J20" s="566">
        <v>10</v>
      </c>
      <c r="K20" s="565">
        <v>11</v>
      </c>
      <c r="L20" s="566">
        <v>12</v>
      </c>
      <c r="M20" s="566">
        <v>13</v>
      </c>
      <c r="N20" s="566">
        <v>14</v>
      </c>
      <c r="O20" s="565">
        <v>15</v>
      </c>
      <c r="P20" s="566">
        <v>16</v>
      </c>
      <c r="Q20" s="565">
        <v>17</v>
      </c>
      <c r="R20" s="566">
        <v>18</v>
      </c>
      <c r="S20" s="565">
        <v>19</v>
      </c>
      <c r="T20" s="566">
        <v>20</v>
      </c>
      <c r="U20" s="565">
        <v>21</v>
      </c>
      <c r="V20" s="566">
        <v>22</v>
      </c>
      <c r="W20" s="565">
        <v>23</v>
      </c>
      <c r="X20" s="566">
        <v>24</v>
      </c>
      <c r="Y20" s="565">
        <v>25</v>
      </c>
      <c r="Z20" s="566">
        <v>26</v>
      </c>
      <c r="AA20" s="567">
        <v>27</v>
      </c>
    </row>
    <row r="21" spans="1:27" ht="12.75">
      <c r="A21" s="569" t="s">
        <v>372</v>
      </c>
      <c r="B21" s="570" t="s">
        <v>543</v>
      </c>
      <c r="C21" s="212">
        <v>0</v>
      </c>
      <c r="D21" s="571">
        <v>0</v>
      </c>
      <c r="E21" s="571">
        <v>4000000</v>
      </c>
      <c r="F21" s="350">
        <v>4000000</v>
      </c>
      <c r="G21" s="572">
        <v>4000000</v>
      </c>
      <c r="H21" s="350">
        <v>4000000</v>
      </c>
      <c r="I21" s="572">
        <v>4000000</v>
      </c>
      <c r="J21" s="350">
        <v>4000000</v>
      </c>
      <c r="K21" s="347">
        <f>J21-'[1]Sytuacja finans.'!J29</f>
        <v>3600000</v>
      </c>
      <c r="L21" s="347">
        <f>K21-'[1]Sytuacja finans.'!K29</f>
        <v>3200000</v>
      </c>
      <c r="M21" s="347">
        <f>L21-'[1]Sytuacja finans.'!L29</f>
        <v>2800000</v>
      </c>
      <c r="N21" s="347">
        <f>M21-'[1]Sytuacja finans.'!M29</f>
        <v>2400000</v>
      </c>
      <c r="O21" s="347">
        <f>N21-'[1]Sytuacja finans.'!N29</f>
        <v>2000000</v>
      </c>
      <c r="P21" s="347">
        <f>O21-'[1]Sytuacja finans.'!O29</f>
        <v>1600000</v>
      </c>
      <c r="Q21" s="347">
        <f>P21-'[1]Sytuacja finans.'!P29</f>
        <v>1200000</v>
      </c>
      <c r="R21" s="347">
        <f>Q21-'[1]Sytuacja finans.'!Q29</f>
        <v>800000</v>
      </c>
      <c r="S21" s="347">
        <f>R21-'[1]Sytuacja finans.'!R29</f>
        <v>400000</v>
      </c>
      <c r="T21" s="347">
        <f>S21-'[1]Sytuacja finans.'!S29</f>
        <v>0</v>
      </c>
      <c r="U21" s="350">
        <v>0</v>
      </c>
      <c r="V21" s="350">
        <v>0</v>
      </c>
      <c r="W21" s="350">
        <v>0</v>
      </c>
      <c r="X21" s="350">
        <v>0</v>
      </c>
      <c r="Y21" s="350">
        <v>0</v>
      </c>
      <c r="Z21" s="350">
        <v>0</v>
      </c>
      <c r="AA21" s="573">
        <v>0</v>
      </c>
    </row>
    <row r="22" spans="1:27" ht="12.75">
      <c r="A22" s="574" t="s">
        <v>373</v>
      </c>
      <c r="B22" s="575" t="s">
        <v>380</v>
      </c>
      <c r="C22" s="576">
        <v>11018970</v>
      </c>
      <c r="D22" s="577">
        <v>11468903</v>
      </c>
      <c r="E22" s="577">
        <v>7478903</v>
      </c>
      <c r="F22" s="578">
        <f>E22-'Żródła finans.'!E27</f>
        <v>7050136</v>
      </c>
      <c r="G22" s="578">
        <f>F22-'Sytuacja finans.'!F21</f>
        <v>6538798</v>
      </c>
      <c r="H22" s="578">
        <f>G22-'Sytuacja finans.'!G21</f>
        <v>6027460</v>
      </c>
      <c r="I22" s="578">
        <f>H22-'Sytuacja finans.'!H21</f>
        <v>5596474</v>
      </c>
      <c r="J22" s="578">
        <f>I22-'Sytuacja finans.'!I21</f>
        <v>5165488</v>
      </c>
      <c r="K22" s="578">
        <f>J22-'Sytuacja finans.'!J21</f>
        <v>4734502</v>
      </c>
      <c r="L22" s="578">
        <f>K22-'Sytuacja finans.'!K21</f>
        <v>4303516</v>
      </c>
      <c r="M22" s="578">
        <f>L22-'Sytuacja finans.'!L21</f>
        <v>3872530</v>
      </c>
      <c r="N22" s="578">
        <f>M22-'Sytuacja finans.'!M21</f>
        <v>3441544</v>
      </c>
      <c r="O22" s="578">
        <f>N22-'Sytuacja finans.'!N21</f>
        <v>3079367</v>
      </c>
      <c r="P22" s="578">
        <f>O22-'Sytuacja finans.'!O21</f>
        <v>2813519</v>
      </c>
      <c r="Q22" s="578">
        <f>P22-'Sytuacja finans.'!P21</f>
        <v>2547671</v>
      </c>
      <c r="R22" s="578">
        <f>Q22-'Sytuacja finans.'!Q21</f>
        <v>2281823</v>
      </c>
      <c r="S22" s="578">
        <f>R22-'Sytuacja finans.'!R21</f>
        <v>2015975</v>
      </c>
      <c r="T22" s="578">
        <f>S22-'Sytuacja finans.'!S21</f>
        <v>1750127</v>
      </c>
      <c r="U22" s="578">
        <f>T22-'Sytuacja finans.'!T21</f>
        <v>1484279</v>
      </c>
      <c r="V22" s="578">
        <f>U22-'Sytuacja finans.'!U21</f>
        <v>1218431</v>
      </c>
      <c r="W22" s="578">
        <f>V22-'Sytuacja finans.'!V21</f>
        <v>952583</v>
      </c>
      <c r="X22" s="578">
        <f>W22-'Sytuacja finans.'!W21</f>
        <v>686735</v>
      </c>
      <c r="Y22" s="578">
        <f>X22-'Sytuacja finans.'!X21</f>
        <v>420887</v>
      </c>
      <c r="Z22" s="578">
        <f>Y22-'Sytuacja finans.'!Y21</f>
        <v>155039</v>
      </c>
      <c r="AA22" s="578">
        <f>Z22-'Sytuacja finans.'!Z21</f>
        <v>0</v>
      </c>
    </row>
    <row r="23" spans="1:27" ht="12.75">
      <c r="A23" s="579" t="s">
        <v>374</v>
      </c>
      <c r="B23" s="570" t="s">
        <v>381</v>
      </c>
      <c r="C23" s="212">
        <v>171248</v>
      </c>
      <c r="D23" s="571">
        <v>20000</v>
      </c>
      <c r="E23" s="571">
        <v>10000</v>
      </c>
      <c r="F23" s="350">
        <v>0</v>
      </c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213">
        <v>0</v>
      </c>
      <c r="M23" s="213">
        <v>0</v>
      </c>
      <c r="N23" s="213">
        <v>0</v>
      </c>
      <c r="O23" s="220">
        <v>0</v>
      </c>
      <c r="P23" s="213">
        <v>0</v>
      </c>
      <c r="Q23" s="220">
        <v>0</v>
      </c>
      <c r="R23" s="213">
        <v>0</v>
      </c>
      <c r="S23" s="220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  <c r="Y23" s="213">
        <v>0</v>
      </c>
      <c r="Z23" s="213">
        <v>0</v>
      </c>
      <c r="AA23" s="580">
        <v>0</v>
      </c>
    </row>
    <row r="24" spans="1:27" ht="12.75">
      <c r="A24" s="574" t="s">
        <v>362</v>
      </c>
      <c r="B24" s="575" t="s">
        <v>544</v>
      </c>
      <c r="C24" s="576"/>
      <c r="D24" s="577"/>
      <c r="E24" s="577"/>
      <c r="F24" s="578"/>
      <c r="G24" s="581"/>
      <c r="H24" s="582"/>
      <c r="I24" s="581"/>
      <c r="J24" s="582"/>
      <c r="K24" s="581"/>
      <c r="L24" s="582"/>
      <c r="M24" s="582"/>
      <c r="N24" s="582"/>
      <c r="O24" s="581"/>
      <c r="P24" s="582"/>
      <c r="Q24" s="581"/>
      <c r="R24" s="582"/>
      <c r="S24" s="581"/>
      <c r="T24" s="582"/>
      <c r="U24" s="582"/>
      <c r="V24" s="582"/>
      <c r="W24" s="582"/>
      <c r="X24" s="582"/>
      <c r="Y24" s="582"/>
      <c r="Z24" s="582"/>
      <c r="AA24" s="583"/>
    </row>
    <row r="25" spans="1:27" ht="12.75">
      <c r="A25" s="579" t="s">
        <v>379</v>
      </c>
      <c r="B25" s="570" t="s">
        <v>545</v>
      </c>
      <c r="C25" s="212">
        <v>0</v>
      </c>
      <c r="D25" s="571">
        <f aca="true" t="shared" si="0" ref="D25:AA25">D30</f>
        <v>0</v>
      </c>
      <c r="E25" s="571">
        <f t="shared" si="0"/>
        <v>0</v>
      </c>
      <c r="F25" s="350">
        <f t="shared" si="0"/>
        <v>0</v>
      </c>
      <c r="G25" s="220">
        <f t="shared" si="0"/>
        <v>0</v>
      </c>
      <c r="H25" s="213">
        <f t="shared" si="0"/>
        <v>0</v>
      </c>
      <c r="I25" s="220">
        <f t="shared" si="0"/>
        <v>0</v>
      </c>
      <c r="J25" s="213">
        <f t="shared" si="0"/>
        <v>0</v>
      </c>
      <c r="K25" s="220">
        <f t="shared" si="0"/>
        <v>0</v>
      </c>
      <c r="L25" s="213">
        <f t="shared" si="0"/>
        <v>0</v>
      </c>
      <c r="M25" s="213">
        <f t="shared" si="0"/>
        <v>0</v>
      </c>
      <c r="N25" s="213">
        <f t="shared" si="0"/>
        <v>0</v>
      </c>
      <c r="O25" s="220">
        <f t="shared" si="0"/>
        <v>0</v>
      </c>
      <c r="P25" s="213">
        <f t="shared" si="0"/>
        <v>0</v>
      </c>
      <c r="Q25" s="220">
        <f t="shared" si="0"/>
        <v>0</v>
      </c>
      <c r="R25" s="213">
        <f t="shared" si="0"/>
        <v>0</v>
      </c>
      <c r="S25" s="220">
        <f t="shared" si="0"/>
        <v>0</v>
      </c>
      <c r="T25" s="213">
        <f t="shared" si="0"/>
        <v>0</v>
      </c>
      <c r="U25" s="213">
        <f t="shared" si="0"/>
        <v>0</v>
      </c>
      <c r="V25" s="213">
        <f t="shared" si="0"/>
        <v>0</v>
      </c>
      <c r="W25" s="213">
        <f t="shared" si="0"/>
        <v>0</v>
      </c>
      <c r="X25" s="213">
        <f t="shared" si="0"/>
        <v>0</v>
      </c>
      <c r="Y25" s="213">
        <f t="shared" si="0"/>
        <v>0</v>
      </c>
      <c r="Z25" s="213">
        <f t="shared" si="0"/>
        <v>0</v>
      </c>
      <c r="AA25" s="580">
        <f t="shared" si="0"/>
        <v>0</v>
      </c>
    </row>
    <row r="26" spans="1:27" ht="12.75">
      <c r="A26" s="579"/>
      <c r="B26" s="570" t="s">
        <v>546</v>
      </c>
      <c r="C26" s="212"/>
      <c r="D26" s="571"/>
      <c r="E26" s="571"/>
      <c r="F26" s="350"/>
      <c r="G26" s="220"/>
      <c r="H26" s="213"/>
      <c r="I26" s="220"/>
      <c r="J26" s="213"/>
      <c r="K26" s="220"/>
      <c r="L26" s="213"/>
      <c r="M26" s="213"/>
      <c r="N26" s="213"/>
      <c r="O26" s="220"/>
      <c r="P26" s="213"/>
      <c r="Q26" s="220"/>
      <c r="R26" s="213"/>
      <c r="S26" s="220"/>
      <c r="T26" s="213"/>
      <c r="U26" s="213"/>
      <c r="V26" s="213"/>
      <c r="W26" s="213"/>
      <c r="X26" s="213"/>
      <c r="Y26" s="213"/>
      <c r="Z26" s="213"/>
      <c r="AA26" s="580"/>
    </row>
    <row r="27" spans="1:27" ht="12.75">
      <c r="A27" s="579"/>
      <c r="B27" s="570" t="s">
        <v>547</v>
      </c>
      <c r="C27" s="212"/>
      <c r="D27" s="571"/>
      <c r="E27" s="571"/>
      <c r="F27" s="350"/>
      <c r="G27" s="220"/>
      <c r="H27" s="213"/>
      <c r="I27" s="220"/>
      <c r="J27" s="213"/>
      <c r="K27" s="220"/>
      <c r="L27" s="213"/>
      <c r="M27" s="213"/>
      <c r="N27" s="213"/>
      <c r="O27" s="220"/>
      <c r="P27" s="213"/>
      <c r="Q27" s="220"/>
      <c r="R27" s="213"/>
      <c r="S27" s="220"/>
      <c r="T27" s="213"/>
      <c r="U27" s="213"/>
      <c r="V27" s="213"/>
      <c r="W27" s="213"/>
      <c r="X27" s="213"/>
      <c r="Y27" s="213"/>
      <c r="Z27" s="213"/>
      <c r="AA27" s="580"/>
    </row>
    <row r="28" spans="1:27" ht="12.75">
      <c r="A28" s="579"/>
      <c r="B28" s="575" t="s">
        <v>548</v>
      </c>
      <c r="C28" s="576"/>
      <c r="D28" s="577"/>
      <c r="E28" s="577"/>
      <c r="F28" s="578"/>
      <c r="G28" s="581"/>
      <c r="H28" s="582"/>
      <c r="I28" s="581"/>
      <c r="J28" s="582"/>
      <c r="K28" s="581"/>
      <c r="L28" s="582"/>
      <c r="M28" s="582"/>
      <c r="N28" s="582"/>
      <c r="O28" s="581"/>
      <c r="P28" s="582"/>
      <c r="Q28" s="581"/>
      <c r="R28" s="582"/>
      <c r="S28" s="581"/>
      <c r="T28" s="582"/>
      <c r="U28" s="582"/>
      <c r="V28" s="582"/>
      <c r="W28" s="582"/>
      <c r="X28" s="582"/>
      <c r="Y28" s="582"/>
      <c r="Z28" s="582"/>
      <c r="AA28" s="583"/>
    </row>
    <row r="29" spans="1:27" ht="12.75">
      <c r="A29" s="579"/>
      <c r="B29" s="570" t="s">
        <v>549</v>
      </c>
      <c r="C29" s="212"/>
      <c r="D29" s="571"/>
      <c r="E29" s="571"/>
      <c r="F29" s="350"/>
      <c r="G29" s="220"/>
      <c r="H29" s="213"/>
      <c r="I29" s="220"/>
      <c r="J29" s="213"/>
      <c r="K29" s="220"/>
      <c r="L29" s="213"/>
      <c r="M29" s="213"/>
      <c r="N29" s="213"/>
      <c r="O29" s="220"/>
      <c r="P29" s="213"/>
      <c r="Q29" s="220"/>
      <c r="R29" s="213"/>
      <c r="S29" s="220"/>
      <c r="T29" s="213"/>
      <c r="U29" s="213"/>
      <c r="V29" s="213"/>
      <c r="W29" s="213"/>
      <c r="X29" s="213"/>
      <c r="Y29" s="213"/>
      <c r="Z29" s="213"/>
      <c r="AA29" s="580"/>
    </row>
    <row r="30" spans="1:27" ht="12.75">
      <c r="A30" s="579"/>
      <c r="B30" s="575" t="s">
        <v>550</v>
      </c>
      <c r="C30" s="584"/>
      <c r="D30" s="577"/>
      <c r="E30" s="577"/>
      <c r="F30" s="578"/>
      <c r="G30" s="581"/>
      <c r="H30" s="582"/>
      <c r="I30" s="581"/>
      <c r="J30" s="582"/>
      <c r="K30" s="581"/>
      <c r="L30" s="582"/>
      <c r="M30" s="582"/>
      <c r="N30" s="582"/>
      <c r="O30" s="581"/>
      <c r="P30" s="582"/>
      <c r="Q30" s="581"/>
      <c r="R30" s="582"/>
      <c r="S30" s="581"/>
      <c r="T30" s="582"/>
      <c r="U30" s="582"/>
      <c r="V30" s="582"/>
      <c r="W30" s="582"/>
      <c r="X30" s="582"/>
      <c r="Y30" s="582"/>
      <c r="Z30" s="582"/>
      <c r="AA30" s="583"/>
    </row>
    <row r="31" spans="1:27" ht="12.75">
      <c r="A31" s="579"/>
      <c r="B31" s="585" t="s">
        <v>551</v>
      </c>
      <c r="C31" s="424"/>
      <c r="D31" s="586"/>
      <c r="E31" s="586"/>
      <c r="F31" s="357"/>
      <c r="G31" s="587"/>
      <c r="H31" s="425"/>
      <c r="I31" s="587"/>
      <c r="J31" s="425"/>
      <c r="K31" s="587"/>
      <c r="L31" s="425"/>
      <c r="M31" s="425"/>
      <c r="N31" s="425"/>
      <c r="O31" s="587"/>
      <c r="P31" s="425"/>
      <c r="Q31" s="587"/>
      <c r="R31" s="425"/>
      <c r="S31" s="587"/>
      <c r="T31" s="425"/>
      <c r="U31" s="425"/>
      <c r="V31" s="425"/>
      <c r="W31" s="425"/>
      <c r="X31" s="425"/>
      <c r="Y31" s="425"/>
      <c r="Z31" s="425"/>
      <c r="AA31" s="588"/>
    </row>
    <row r="32" spans="1:27" ht="12.75">
      <c r="A32" s="574" t="s">
        <v>382</v>
      </c>
      <c r="B32" s="585" t="s">
        <v>552</v>
      </c>
      <c r="C32" s="589">
        <f aca="true" t="shared" si="1" ref="C32:AA32">SUM(C21:C25)</f>
        <v>11190218</v>
      </c>
      <c r="D32" s="590">
        <f t="shared" si="1"/>
        <v>11488903</v>
      </c>
      <c r="E32" s="590">
        <f t="shared" si="1"/>
        <v>11488903</v>
      </c>
      <c r="F32" s="338">
        <f>SUM(F21:F25)</f>
        <v>11050136</v>
      </c>
      <c r="G32" s="591">
        <f>SUM(G21:G25)</f>
        <v>10538798</v>
      </c>
      <c r="H32" s="592">
        <f t="shared" si="1"/>
        <v>10027460</v>
      </c>
      <c r="I32" s="591">
        <f t="shared" si="1"/>
        <v>9596474</v>
      </c>
      <c r="J32" s="592">
        <f t="shared" si="1"/>
        <v>9165488</v>
      </c>
      <c r="K32" s="591">
        <f t="shared" si="1"/>
        <v>8334502</v>
      </c>
      <c r="L32" s="592">
        <f t="shared" si="1"/>
        <v>7503516</v>
      </c>
      <c r="M32" s="592">
        <f t="shared" si="1"/>
        <v>6672530</v>
      </c>
      <c r="N32" s="592">
        <f t="shared" si="1"/>
        <v>5841544</v>
      </c>
      <c r="O32" s="591">
        <f t="shared" si="1"/>
        <v>5079367</v>
      </c>
      <c r="P32" s="592">
        <f t="shared" si="1"/>
        <v>4413519</v>
      </c>
      <c r="Q32" s="591">
        <f t="shared" si="1"/>
        <v>3747671</v>
      </c>
      <c r="R32" s="592">
        <f t="shared" si="1"/>
        <v>3081823</v>
      </c>
      <c r="S32" s="591">
        <f t="shared" si="1"/>
        <v>2415975</v>
      </c>
      <c r="T32" s="592">
        <f t="shared" si="1"/>
        <v>1750127</v>
      </c>
      <c r="U32" s="592">
        <f t="shared" si="1"/>
        <v>1484279</v>
      </c>
      <c r="V32" s="592">
        <f t="shared" si="1"/>
        <v>1218431</v>
      </c>
      <c r="W32" s="592">
        <f t="shared" si="1"/>
        <v>952583</v>
      </c>
      <c r="X32" s="592">
        <f t="shared" si="1"/>
        <v>686735</v>
      </c>
      <c r="Y32" s="592">
        <f t="shared" si="1"/>
        <v>420887</v>
      </c>
      <c r="Z32" s="592">
        <f t="shared" si="1"/>
        <v>155039</v>
      </c>
      <c r="AA32" s="593">
        <f t="shared" si="1"/>
        <v>0</v>
      </c>
    </row>
    <row r="33" spans="1:27" ht="13.5" thickBot="1">
      <c r="A33" s="594" t="s">
        <v>384</v>
      </c>
      <c r="B33" s="595" t="s">
        <v>553</v>
      </c>
      <c r="C33" s="596">
        <v>32826290</v>
      </c>
      <c r="D33" s="597">
        <v>37952654</v>
      </c>
      <c r="E33" s="598">
        <f>'Sytuacja finans.'!C11</f>
        <v>36867168</v>
      </c>
      <c r="F33" s="598">
        <f>'Sytuacja finans.'!D11</f>
        <v>33416103</v>
      </c>
      <c r="G33" s="598">
        <f>'Sytuacja finans.'!F11</f>
        <v>34349283</v>
      </c>
      <c r="H33" s="598">
        <f>'Sytuacja finans.'!G11</f>
        <v>34449513.275</v>
      </c>
      <c r="I33" s="598">
        <f>'Sytuacja finans.'!H11</f>
        <v>34917910.181875</v>
      </c>
      <c r="J33" s="598">
        <f>'Sytuacja finans.'!I11</f>
        <v>35395849.011421874</v>
      </c>
      <c r="K33" s="598">
        <f>'Sytuacja finans.'!J11</f>
        <v>35883739.00808242</v>
      </c>
      <c r="L33" s="598">
        <f>'Sytuacja finans.'!K11</f>
        <v>36382013.26206698</v>
      </c>
      <c r="M33" s="598">
        <f>'Sytuacja finans.'!L11</f>
        <v>36891144.00493899</v>
      </c>
      <c r="N33" s="598">
        <f>'Sytuacja finans.'!M11</f>
        <v>37411639.005115986</v>
      </c>
      <c r="O33" s="598">
        <f>'Sytuacja finans.'!N11</f>
        <v>37944045.23999463</v>
      </c>
      <c r="P33" s="598">
        <f>'Sytuacja finans.'!O11</f>
        <v>38488955.965</v>
      </c>
      <c r="Q33" s="598">
        <f>'Sytuacja finans.'!P11</f>
        <v>39047013.057575</v>
      </c>
      <c r="R33" s="598">
        <f>'Sytuacja finans.'!Q11</f>
        <v>39618910.41388937</v>
      </c>
      <c r="S33" s="598">
        <f>'Sytuacja finans.'!R11</f>
        <v>40205400.48825206</v>
      </c>
      <c r="T33" s="598">
        <f>'Sytuacja finans.'!S11</f>
        <v>40807301.6513471</v>
      </c>
      <c r="U33" s="598">
        <f>'Sytuacja finans.'!T11</f>
        <v>41255939.36253926</v>
      </c>
      <c r="V33" s="598">
        <f>'Sytuacja finans.'!U11</f>
        <v>41658419.360456824</v>
      </c>
      <c r="W33" s="598">
        <f>'Sytuacja finans.'!V11</f>
        <v>42176712.27601053</v>
      </c>
      <c r="X33" s="598">
        <f>'Sytuacja finans.'!W11</f>
        <v>42816601.41883018</v>
      </c>
      <c r="Y33" s="598">
        <f>'Sytuacja finans.'!X11</f>
        <v>43357061.91232224</v>
      </c>
      <c r="Z33" s="598">
        <f>'Sytuacja finans.'!Y11</f>
        <v>43908753.94178384</v>
      </c>
      <c r="AA33" s="640">
        <f>'Sytuacja finans.'!Z11</f>
        <v>44471966.36139775</v>
      </c>
    </row>
    <row r="34" spans="1:27" ht="13.5" thickBot="1">
      <c r="A34" s="599" t="s">
        <v>390</v>
      </c>
      <c r="B34" s="600" t="s">
        <v>554</v>
      </c>
      <c r="C34" s="601">
        <f aca="true" t="shared" si="2" ref="C34:AA34">C32/C33*100</f>
        <v>34.08919497146952</v>
      </c>
      <c r="D34" s="602">
        <f t="shared" si="2"/>
        <v>30.271672173440095</v>
      </c>
      <c r="E34" s="602">
        <f t="shared" si="2"/>
        <v>31.162965921331416</v>
      </c>
      <c r="F34" s="602">
        <f t="shared" si="2"/>
        <v>33.06829644378341</v>
      </c>
      <c r="G34" s="603">
        <f t="shared" si="2"/>
        <v>30.681275064751716</v>
      </c>
      <c r="H34" s="602">
        <f t="shared" si="2"/>
        <v>29.107697168182995</v>
      </c>
      <c r="I34" s="603">
        <f t="shared" si="2"/>
        <v>27.482956311003075</v>
      </c>
      <c r="J34" s="602">
        <f t="shared" si="2"/>
        <v>25.89424538748143</v>
      </c>
      <c r="K34" s="603">
        <f t="shared" si="2"/>
        <v>23.226403464039088</v>
      </c>
      <c r="L34" s="602">
        <f t="shared" si="2"/>
        <v>20.624246233848194</v>
      </c>
      <c r="M34" s="602">
        <f t="shared" si="2"/>
        <v>18.087078023676035</v>
      </c>
      <c r="N34" s="602">
        <f t="shared" si="2"/>
        <v>15.614242399808193</v>
      </c>
      <c r="O34" s="603">
        <f t="shared" si="2"/>
        <v>13.386466750904388</v>
      </c>
      <c r="P34" s="602">
        <f t="shared" si="2"/>
        <v>11.466975108427054</v>
      </c>
      <c r="Q34" s="603">
        <f t="shared" si="2"/>
        <v>9.597842975784197</v>
      </c>
      <c r="R34" s="602">
        <f t="shared" si="2"/>
        <v>7.778666722039867</v>
      </c>
      <c r="S34" s="604">
        <f t="shared" si="2"/>
        <v>6.009080796759986</v>
      </c>
      <c r="T34" s="602">
        <f t="shared" si="2"/>
        <v>4.288759435634544</v>
      </c>
      <c r="U34" s="602">
        <f t="shared" si="2"/>
        <v>3.5977341030991963</v>
      </c>
      <c r="V34" s="602">
        <f t="shared" si="2"/>
        <v>2.9248133239461414</v>
      </c>
      <c r="W34" s="602">
        <f t="shared" si="2"/>
        <v>2.2585520506343846</v>
      </c>
      <c r="X34" s="602">
        <f t="shared" si="2"/>
        <v>1.6038989019291545</v>
      </c>
      <c r="Y34" s="602">
        <f t="shared" si="2"/>
        <v>0.970746128626355</v>
      </c>
      <c r="Z34" s="602">
        <f t="shared" si="2"/>
        <v>0.35309359998135575</v>
      </c>
      <c r="AA34" s="605">
        <f t="shared" si="2"/>
        <v>0</v>
      </c>
    </row>
    <row r="35" ht="9.75">
      <c r="C35" s="78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F1">
      <pane ySplit="9" topLeftCell="A19" activePane="bottomLeft" state="frozen"/>
      <selection pane="topLeft" activeCell="A1" sqref="A1"/>
      <selection pane="bottomLeft" activeCell="Q23" sqref="Q23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532</v>
      </c>
      <c r="Y1" s="1" t="s">
        <v>532</v>
      </c>
    </row>
    <row r="2" spans="11:25" ht="12.75">
      <c r="K2" s="1" t="s">
        <v>555</v>
      </c>
      <c r="Y2" s="1" t="s">
        <v>555</v>
      </c>
    </row>
    <row r="3" spans="11:25" ht="12.75">
      <c r="K3" s="1" t="s">
        <v>181</v>
      </c>
      <c r="Y3" s="1" t="s">
        <v>181</v>
      </c>
    </row>
    <row r="4" spans="11:25" ht="12.75">
      <c r="K4" s="1" t="s">
        <v>670</v>
      </c>
      <c r="Y4" s="1" t="s">
        <v>670</v>
      </c>
    </row>
    <row r="6" spans="1:12" ht="18">
      <c r="A6" s="839" t="s">
        <v>556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</row>
    <row r="7" spans="7:26" ht="13.5" thickBot="1">
      <c r="G7" s="9"/>
      <c r="L7" s="9" t="s">
        <v>401</v>
      </c>
      <c r="Z7" s="606" t="s">
        <v>401</v>
      </c>
    </row>
    <row r="8" spans="1:26" ht="24.75" customHeight="1" thickBot="1">
      <c r="A8" s="903" t="s">
        <v>538</v>
      </c>
      <c r="B8" s="903" t="s">
        <v>361</v>
      </c>
      <c r="C8" s="901" t="s">
        <v>658</v>
      </c>
      <c r="D8" s="901" t="s">
        <v>460</v>
      </c>
      <c r="E8" s="898" t="s">
        <v>557</v>
      </c>
      <c r="F8" s="899"/>
      <c r="G8" s="899"/>
      <c r="H8" s="899"/>
      <c r="I8" s="899"/>
      <c r="J8" s="899"/>
      <c r="K8" s="899"/>
      <c r="L8" s="900"/>
      <c r="M8" s="898" t="s">
        <v>557</v>
      </c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900"/>
    </row>
    <row r="9" spans="1:26" ht="30" customHeight="1" thickBot="1">
      <c r="A9" s="904"/>
      <c r="B9" s="904"/>
      <c r="C9" s="902"/>
      <c r="D9" s="902"/>
      <c r="E9" s="607" t="s">
        <v>558</v>
      </c>
      <c r="F9" s="607" t="s">
        <v>417</v>
      </c>
      <c r="G9" s="607" t="s">
        <v>358</v>
      </c>
      <c r="H9" s="607" t="s">
        <v>559</v>
      </c>
      <c r="I9" s="607" t="s">
        <v>560</v>
      </c>
      <c r="J9" s="607" t="s">
        <v>561</v>
      </c>
      <c r="K9" s="607" t="s">
        <v>562</v>
      </c>
      <c r="L9" s="607" t="s">
        <v>563</v>
      </c>
      <c r="M9" s="607" t="s">
        <v>564</v>
      </c>
      <c r="N9" s="607" t="s">
        <v>565</v>
      </c>
      <c r="O9" s="607" t="s">
        <v>566</v>
      </c>
      <c r="P9" s="607" t="s">
        <v>567</v>
      </c>
      <c r="Q9" s="607" t="s">
        <v>568</v>
      </c>
      <c r="R9" s="607" t="s">
        <v>569</v>
      </c>
      <c r="S9" s="607" t="s">
        <v>570</v>
      </c>
      <c r="T9" s="607" t="s">
        <v>571</v>
      </c>
      <c r="U9" s="607" t="s">
        <v>572</v>
      </c>
      <c r="V9" s="607" t="s">
        <v>573</v>
      </c>
      <c r="W9" s="607" t="s">
        <v>574</v>
      </c>
      <c r="X9" s="607" t="s">
        <v>575</v>
      </c>
      <c r="Y9" s="607" t="s">
        <v>576</v>
      </c>
      <c r="Z9" s="607" t="s">
        <v>577</v>
      </c>
    </row>
    <row r="10" spans="1:26" ht="7.5" customHeight="1" thickBot="1">
      <c r="A10" s="608">
        <v>1</v>
      </c>
      <c r="B10" s="608">
        <v>2</v>
      </c>
      <c r="C10" s="608">
        <v>3</v>
      </c>
      <c r="D10" s="608">
        <v>4</v>
      </c>
      <c r="E10" s="608">
        <v>5</v>
      </c>
      <c r="F10" s="608">
        <v>6</v>
      </c>
      <c r="G10" s="608">
        <v>7</v>
      </c>
      <c r="H10" s="608">
        <v>8</v>
      </c>
      <c r="I10" s="608">
        <v>9</v>
      </c>
      <c r="J10" s="608">
        <v>10</v>
      </c>
      <c r="K10" s="608">
        <v>11</v>
      </c>
      <c r="L10" s="608">
        <v>12</v>
      </c>
      <c r="M10" s="608">
        <v>13</v>
      </c>
      <c r="N10" s="608">
        <v>14</v>
      </c>
      <c r="O10" s="608">
        <v>15</v>
      </c>
      <c r="P10" s="608">
        <v>16</v>
      </c>
      <c r="Q10" s="608">
        <v>17</v>
      </c>
      <c r="R10" s="608">
        <v>18</v>
      </c>
      <c r="S10" s="608">
        <v>19</v>
      </c>
      <c r="T10" s="608">
        <v>20</v>
      </c>
      <c r="U10" s="608">
        <v>21</v>
      </c>
      <c r="V10" s="608">
        <v>22</v>
      </c>
      <c r="W10" s="608">
        <v>23</v>
      </c>
      <c r="X10" s="608">
        <v>24</v>
      </c>
      <c r="Y10" s="608">
        <v>25</v>
      </c>
      <c r="Z10" s="608">
        <v>26</v>
      </c>
    </row>
    <row r="11" spans="1:26" ht="13.5" customHeight="1">
      <c r="A11" s="609" t="s">
        <v>371</v>
      </c>
      <c r="B11" s="610" t="s">
        <v>578</v>
      </c>
      <c r="C11" s="611">
        <f aca="true" t="shared" si="0" ref="C11:Z11">C12+C16+C17</f>
        <v>36867168</v>
      </c>
      <c r="D11" s="611">
        <f t="shared" si="0"/>
        <v>33416103</v>
      </c>
      <c r="E11" s="611">
        <f t="shared" si="0"/>
        <v>34348535</v>
      </c>
      <c r="F11" s="611">
        <f t="shared" si="0"/>
        <v>34349283</v>
      </c>
      <c r="G11" s="611">
        <f t="shared" si="0"/>
        <v>34449513.275</v>
      </c>
      <c r="H11" s="611">
        <f t="shared" si="0"/>
        <v>34917910.181875</v>
      </c>
      <c r="I11" s="611">
        <f t="shared" si="0"/>
        <v>35395849.011421874</v>
      </c>
      <c r="J11" s="611">
        <f t="shared" si="0"/>
        <v>35883739.00808242</v>
      </c>
      <c r="K11" s="611">
        <f t="shared" si="0"/>
        <v>36382013.26206698</v>
      </c>
      <c r="L11" s="611">
        <f t="shared" si="0"/>
        <v>36891144.00493899</v>
      </c>
      <c r="M11" s="611">
        <f t="shared" si="0"/>
        <v>37411639.005115986</v>
      </c>
      <c r="N11" s="611">
        <f t="shared" si="0"/>
        <v>37944045.23999463</v>
      </c>
      <c r="O11" s="611">
        <f t="shared" si="0"/>
        <v>38488955.965</v>
      </c>
      <c r="P11" s="611">
        <f t="shared" si="0"/>
        <v>39047013.057575</v>
      </c>
      <c r="Q11" s="611">
        <f t="shared" si="0"/>
        <v>39618910.41388937</v>
      </c>
      <c r="R11" s="611">
        <f t="shared" si="0"/>
        <v>40205400.48825206</v>
      </c>
      <c r="S11" s="611">
        <f t="shared" si="0"/>
        <v>40807301.6513471</v>
      </c>
      <c r="T11" s="611">
        <f t="shared" si="0"/>
        <v>41255939.36253926</v>
      </c>
      <c r="U11" s="611">
        <f t="shared" si="0"/>
        <v>41658419.360456824</v>
      </c>
      <c r="V11" s="611">
        <f t="shared" si="0"/>
        <v>42176712.27601053</v>
      </c>
      <c r="W11" s="611">
        <f t="shared" si="0"/>
        <v>42816601.41883018</v>
      </c>
      <c r="X11" s="611">
        <f t="shared" si="0"/>
        <v>43357061.91232224</v>
      </c>
      <c r="Y11" s="611">
        <f t="shared" si="0"/>
        <v>43908753.94178384</v>
      </c>
      <c r="Z11" s="611">
        <f t="shared" si="0"/>
        <v>44471966.36139775</v>
      </c>
    </row>
    <row r="12" spans="1:26" ht="13.5" customHeight="1">
      <c r="A12" s="612" t="s">
        <v>579</v>
      </c>
      <c r="B12" s="613" t="s">
        <v>580</v>
      </c>
      <c r="C12" s="614">
        <f>SUM(C13:C15)</f>
        <v>10099876</v>
      </c>
      <c r="D12" s="615">
        <f>SUM(D13:D15)</f>
        <v>9507714</v>
      </c>
      <c r="E12" s="614">
        <f>SUM(E13:E15)</f>
        <v>9462991</v>
      </c>
      <c r="F12" s="614">
        <f>SUM(F13:F15)</f>
        <v>9214884</v>
      </c>
      <c r="G12" s="614">
        <f>SUM(G13:G15)</f>
        <v>9063770.274999999</v>
      </c>
      <c r="H12" s="614">
        <f>H13+H14+H15</f>
        <v>9278309.181875</v>
      </c>
      <c r="I12" s="614">
        <f aca="true" t="shared" si="1" ref="I12:Z12">SUM(I13:I15)</f>
        <v>9499852.561421875</v>
      </c>
      <c r="J12" s="614">
        <f t="shared" si="1"/>
        <v>9728782.593582422</v>
      </c>
      <c r="K12" s="614">
        <f t="shared" si="1"/>
        <v>9965507.283421982</v>
      </c>
      <c r="L12" s="614">
        <f t="shared" si="1"/>
        <v>10210472.96650753</v>
      </c>
      <c r="M12" s="614">
        <f t="shared" si="1"/>
        <v>10464161.256300218</v>
      </c>
      <c r="N12" s="614">
        <f t="shared" si="1"/>
        <v>10727093</v>
      </c>
      <c r="O12" s="614">
        <f t="shared" si="1"/>
        <v>10999833.735</v>
      </c>
      <c r="P12" s="614">
        <f t="shared" si="1"/>
        <v>11282999.605275</v>
      </c>
      <c r="Q12" s="614">
        <f t="shared" si="1"/>
        <v>11577256.827066373</v>
      </c>
      <c r="R12" s="614">
        <f t="shared" si="1"/>
        <v>11883330.36556083</v>
      </c>
      <c r="S12" s="614">
        <f t="shared" si="1"/>
        <v>12202010.827428954</v>
      </c>
      <c r="T12" s="614">
        <f t="shared" si="1"/>
        <v>12364595.256566096</v>
      </c>
      <c r="U12" s="614">
        <f t="shared" si="1"/>
        <v>12694453.899223927</v>
      </c>
      <c r="V12" s="614">
        <f t="shared" si="1"/>
        <v>13033482.335786298</v>
      </c>
      <c r="W12" s="614">
        <f t="shared" si="1"/>
        <v>13381939.016010966</v>
      </c>
      <c r="X12" s="614">
        <f t="shared" si="1"/>
        <v>13740089.207488924</v>
      </c>
      <c r="Y12" s="614">
        <f t="shared" si="1"/>
        <v>14108208.013526369</v>
      </c>
      <c r="Z12" s="614">
        <f t="shared" si="1"/>
        <v>14486574.459999999</v>
      </c>
    </row>
    <row r="13" spans="1:27" ht="13.5" customHeight="1">
      <c r="A13" s="612" t="s">
        <v>372</v>
      </c>
      <c r="B13" s="613" t="s">
        <v>581</v>
      </c>
      <c r="C13" s="614">
        <v>5049604</v>
      </c>
      <c r="D13" s="614">
        <f>'Dochody-ukł.wykon.'!I197</f>
        <v>4305916</v>
      </c>
      <c r="E13" s="614">
        <v>4501339</v>
      </c>
      <c r="F13" s="614">
        <v>4610246</v>
      </c>
      <c r="G13" s="614">
        <v>4723220</v>
      </c>
      <c r="H13" s="614">
        <v>4840530</v>
      </c>
      <c r="I13" s="614">
        <v>4962470</v>
      </c>
      <c r="J13" s="614">
        <v>5089363</v>
      </c>
      <c r="K13" s="614">
        <v>5221557</v>
      </c>
      <c r="L13" s="614">
        <v>5359436</v>
      </c>
      <c r="M13" s="614">
        <v>5503418</v>
      </c>
      <c r="N13" s="614">
        <v>5653959</v>
      </c>
      <c r="O13" s="614">
        <v>5811557</v>
      </c>
      <c r="P13" s="614">
        <v>5976760</v>
      </c>
      <c r="Q13" s="614">
        <v>6150164</v>
      </c>
      <c r="R13" s="614">
        <v>6332422</v>
      </c>
      <c r="S13" s="614">
        <v>6524251</v>
      </c>
      <c r="T13" s="614">
        <f>S13*1.005</f>
        <v>6556872.254999999</v>
      </c>
      <c r="U13" s="614">
        <f aca="true" t="shared" si="2" ref="U13:Z13">T13*1.03</f>
        <v>6753578.422649999</v>
      </c>
      <c r="V13" s="614">
        <f t="shared" si="2"/>
        <v>6956185.7753294995</v>
      </c>
      <c r="W13" s="614">
        <f t="shared" si="2"/>
        <v>7164871.348589385</v>
      </c>
      <c r="X13" s="614">
        <f>ROUND(W13*1.03,0)</f>
        <v>7379817</v>
      </c>
      <c r="Y13" s="614">
        <f>ROUND(X13*1.03,0)</f>
        <v>7601212</v>
      </c>
      <c r="Z13" s="614">
        <f t="shared" si="2"/>
        <v>7829248.36</v>
      </c>
      <c r="AA13"/>
    </row>
    <row r="14" spans="1:26" ht="13.5" customHeight="1">
      <c r="A14" s="612" t="s">
        <v>373</v>
      </c>
      <c r="B14" s="613" t="s">
        <v>582</v>
      </c>
      <c r="C14" s="614">
        <v>1181586</v>
      </c>
      <c r="D14" s="614">
        <f>'Dochody-ukł.wykon.'!I198</f>
        <v>1267300</v>
      </c>
      <c r="E14" s="614">
        <v>1367300</v>
      </c>
      <c r="F14" s="614">
        <v>920427</v>
      </c>
      <c r="G14" s="614">
        <v>564234</v>
      </c>
      <c r="H14" s="614">
        <v>567055</v>
      </c>
      <c r="I14" s="614">
        <f aca="true" t="shared" si="3" ref="I14:S14">H14*1.005</f>
        <v>569890.2749999999</v>
      </c>
      <c r="J14" s="614">
        <v>572740</v>
      </c>
      <c r="K14" s="614">
        <f t="shared" si="3"/>
        <v>575603.7</v>
      </c>
      <c r="L14" s="614">
        <f t="shared" si="3"/>
        <v>578481.7184999998</v>
      </c>
      <c r="M14" s="614">
        <f t="shared" si="3"/>
        <v>581374.1270924998</v>
      </c>
      <c r="N14" s="614">
        <f>ROUND(M14*1.005,0)</f>
        <v>584281</v>
      </c>
      <c r="O14" s="614">
        <f>(N14*1.005)</f>
        <v>587202.4049999999</v>
      </c>
      <c r="P14" s="614">
        <f t="shared" si="3"/>
        <v>590138.4170249999</v>
      </c>
      <c r="Q14" s="614">
        <f t="shared" si="3"/>
        <v>593089.1091101248</v>
      </c>
      <c r="R14" s="614">
        <f t="shared" si="3"/>
        <v>596054.5546556753</v>
      </c>
      <c r="S14" s="614">
        <f t="shared" si="3"/>
        <v>599034.8274289536</v>
      </c>
      <c r="T14" s="614">
        <f>S14*1.005</f>
        <v>602030.0015660983</v>
      </c>
      <c r="U14" s="614">
        <f>T14*1.005</f>
        <v>605040.1515739288</v>
      </c>
      <c r="V14" s="614">
        <f>U14*1.005</f>
        <v>608065.3523317984</v>
      </c>
      <c r="W14" s="614">
        <f>V14*1.005</f>
        <v>611105.6790934573</v>
      </c>
      <c r="X14" s="614">
        <f>W14*1.005</f>
        <v>614161.2074889245</v>
      </c>
      <c r="Y14" s="614">
        <f>X14*1.005</f>
        <v>617232.013526369</v>
      </c>
      <c r="Z14" s="614">
        <f>ROUND(Y14*1.005,0)</f>
        <v>620318</v>
      </c>
    </row>
    <row r="15" spans="1:29" ht="13.5" customHeight="1">
      <c r="A15" s="612" t="s">
        <v>374</v>
      </c>
      <c r="B15" s="616" t="s">
        <v>583</v>
      </c>
      <c r="C15" s="617">
        <v>3868686</v>
      </c>
      <c r="D15" s="617">
        <f>'Dochody-ukł.wykon.'!I191</f>
        <v>3934498</v>
      </c>
      <c r="E15" s="617">
        <v>3594352</v>
      </c>
      <c r="F15" s="617">
        <v>3684211</v>
      </c>
      <c r="G15" s="617">
        <f aca="true" t="shared" si="4" ref="G15:Z15">F15*1.025</f>
        <v>3776316.2749999994</v>
      </c>
      <c r="H15" s="617">
        <f t="shared" si="4"/>
        <v>3870724.1818749993</v>
      </c>
      <c r="I15" s="617">
        <f t="shared" si="4"/>
        <v>3967492.286421874</v>
      </c>
      <c r="J15" s="617">
        <f t="shared" si="4"/>
        <v>4066679.5935824206</v>
      </c>
      <c r="K15" s="617">
        <f t="shared" si="4"/>
        <v>4168346.583421981</v>
      </c>
      <c r="L15" s="617">
        <f t="shared" si="4"/>
        <v>4272555.24800753</v>
      </c>
      <c r="M15" s="617">
        <f t="shared" si="4"/>
        <v>4379369.129207718</v>
      </c>
      <c r="N15" s="617">
        <f>ROUND(M15*1.025,0)</f>
        <v>4488853</v>
      </c>
      <c r="O15" s="617">
        <f>ROUND(N15*1.025,2)</f>
        <v>4601074.33</v>
      </c>
      <c r="P15" s="617">
        <f t="shared" si="4"/>
        <v>4716101.18825</v>
      </c>
      <c r="Q15" s="617">
        <f t="shared" si="4"/>
        <v>4834003.71795625</v>
      </c>
      <c r="R15" s="617">
        <f t="shared" si="4"/>
        <v>4954853.810905156</v>
      </c>
      <c r="S15" s="617">
        <f>ROUND(R15*1.025,0)</f>
        <v>5078725</v>
      </c>
      <c r="T15" s="617">
        <f>ROUND(S15*1.025,0)</f>
        <v>5205693</v>
      </c>
      <c r="U15" s="617">
        <f t="shared" si="4"/>
        <v>5335835.324999999</v>
      </c>
      <c r="V15" s="617">
        <f t="shared" si="4"/>
        <v>5469231.208124999</v>
      </c>
      <c r="W15" s="617">
        <f t="shared" si="4"/>
        <v>5605961.988328123</v>
      </c>
      <c r="X15" s="617">
        <f>ROUND(W15*1.025,0)</f>
        <v>5746111</v>
      </c>
      <c r="Y15" s="617">
        <f>ROUND(X15*1.025,0)</f>
        <v>5889764</v>
      </c>
      <c r="Z15" s="617">
        <f t="shared" si="4"/>
        <v>6037008.1</v>
      </c>
      <c r="AA15"/>
      <c r="AB15"/>
      <c r="AC15"/>
    </row>
    <row r="16" spans="1:26" ht="13.5" customHeight="1">
      <c r="A16" s="612" t="s">
        <v>584</v>
      </c>
      <c r="B16" s="618" t="s">
        <v>585</v>
      </c>
      <c r="C16" s="614">
        <v>19893594</v>
      </c>
      <c r="D16" s="614">
        <f>'Dochody-ukł.wykon.'!I192</f>
        <v>19781062</v>
      </c>
      <c r="E16" s="614">
        <v>19010518</v>
      </c>
      <c r="F16" s="614">
        <v>19200623</v>
      </c>
      <c r="G16" s="614">
        <v>19392629</v>
      </c>
      <c r="H16" s="614">
        <v>19586556</v>
      </c>
      <c r="I16" s="614">
        <v>19782421</v>
      </c>
      <c r="J16" s="614">
        <f aca="true" t="shared" si="5" ref="J16:S16">I16*1.01</f>
        <v>19980245.21</v>
      </c>
      <c r="K16" s="614">
        <f t="shared" si="5"/>
        <v>20180047.662100002</v>
      </c>
      <c r="L16" s="614">
        <f t="shared" si="5"/>
        <v>20381848.138721004</v>
      </c>
      <c r="M16" s="614">
        <f t="shared" si="5"/>
        <v>20585666.620108213</v>
      </c>
      <c r="N16" s="614">
        <f>ROUND(M16*1.01,0)</f>
        <v>20791523</v>
      </c>
      <c r="O16" s="614">
        <f>ROUND(N16*1.01,2)</f>
        <v>20999438.23</v>
      </c>
      <c r="P16" s="614">
        <f t="shared" si="5"/>
        <v>21209432.6123</v>
      </c>
      <c r="Q16" s="614">
        <f t="shared" si="5"/>
        <v>21421526.938423</v>
      </c>
      <c r="R16" s="614">
        <f t="shared" si="5"/>
        <v>21635742.20780723</v>
      </c>
      <c r="S16" s="614">
        <f t="shared" si="5"/>
        <v>21852099.629885305</v>
      </c>
      <c r="T16" s="614">
        <f>ROUND(S16*1.01,0)</f>
        <v>22070621</v>
      </c>
      <c r="U16" s="614">
        <f>T16*1.0002</f>
        <v>22075035.1242</v>
      </c>
      <c r="V16" s="614">
        <f>U16*1.005</f>
        <v>22185410.299821</v>
      </c>
      <c r="W16" s="614">
        <f>(V16*1.01)</f>
        <v>22407264.402819213</v>
      </c>
      <c r="X16" s="614">
        <f>W16*1.005</f>
        <v>22519300.724833306</v>
      </c>
      <c r="Y16" s="614">
        <f>X16*1.005</f>
        <v>22631897.22845747</v>
      </c>
      <c r="Z16" s="614">
        <f>Y16*1.005</f>
        <v>22745056.714599755</v>
      </c>
    </row>
    <row r="17" spans="1:26" ht="13.5" customHeight="1">
      <c r="A17" s="612" t="s">
        <v>586</v>
      </c>
      <c r="B17" s="613" t="s">
        <v>587</v>
      </c>
      <c r="C17" s="614">
        <v>6873698</v>
      </c>
      <c r="D17" s="614">
        <f>'Dochody-ukł.wykon.'!I193+'Dochody-ukł.wykon.'!I194+'Dochody-ukł.wykon.'!I195+'Dochody-ukł.wykon.'!F196</f>
        <v>4127327</v>
      </c>
      <c r="E17" s="614">
        <v>5875026</v>
      </c>
      <c r="F17" s="614">
        <v>5933776</v>
      </c>
      <c r="G17" s="614">
        <v>5993114</v>
      </c>
      <c r="H17" s="614">
        <v>6053045</v>
      </c>
      <c r="I17" s="614">
        <f>H17*1.01</f>
        <v>6113575.45</v>
      </c>
      <c r="J17" s="614">
        <f aca="true" t="shared" si="6" ref="J17:T17">I17*1.01</f>
        <v>6174711.2045</v>
      </c>
      <c r="K17" s="614">
        <f t="shared" si="6"/>
        <v>6236458.316545</v>
      </c>
      <c r="L17" s="614">
        <f t="shared" si="6"/>
        <v>6298822.89971045</v>
      </c>
      <c r="M17" s="614">
        <f t="shared" si="6"/>
        <v>6361811.128707555</v>
      </c>
      <c r="N17" s="614">
        <f t="shared" si="6"/>
        <v>6425429.239994631</v>
      </c>
      <c r="O17" s="614">
        <f>ROUND(N17*1.01,0)</f>
        <v>6489684</v>
      </c>
      <c r="P17" s="614">
        <f t="shared" si="6"/>
        <v>6554580.84</v>
      </c>
      <c r="Q17" s="614">
        <f t="shared" si="6"/>
        <v>6620126.6484</v>
      </c>
      <c r="R17" s="614">
        <f t="shared" si="6"/>
        <v>6686327.914884</v>
      </c>
      <c r="S17" s="614">
        <f t="shared" si="6"/>
        <v>6753191.19403284</v>
      </c>
      <c r="T17" s="614">
        <f t="shared" si="6"/>
        <v>6820723.105973169</v>
      </c>
      <c r="U17" s="614">
        <f>T17*1.01</f>
        <v>6888930.337032901</v>
      </c>
      <c r="V17" s="614">
        <f>U17*1.01</f>
        <v>6957819.64040323</v>
      </c>
      <c r="W17" s="614">
        <f>ROUND(V17*1.01,0)</f>
        <v>7027398</v>
      </c>
      <c r="X17" s="614">
        <f aca="true" t="shared" si="7" ref="X17:Z18">W17*1.01</f>
        <v>7097671.98</v>
      </c>
      <c r="Y17" s="614">
        <f t="shared" si="7"/>
        <v>7168648.6998000005</v>
      </c>
      <c r="Z17" s="614">
        <f t="shared" si="7"/>
        <v>7240335.186798001</v>
      </c>
    </row>
    <row r="18" spans="1:26" ht="13.5" customHeight="1">
      <c r="A18" s="612" t="s">
        <v>376</v>
      </c>
      <c r="B18" s="619" t="s">
        <v>588</v>
      </c>
      <c r="C18" s="620">
        <v>33653721</v>
      </c>
      <c r="D18" s="620">
        <f>'WYDATKI ukł.wyk.'!G579</f>
        <v>32712172</v>
      </c>
      <c r="E18" s="620">
        <v>33384525</v>
      </c>
      <c r="F18" s="620">
        <v>33649589</v>
      </c>
      <c r="G18" s="620">
        <v>33916959</v>
      </c>
      <c r="H18" s="620">
        <v>34186658</v>
      </c>
      <c r="I18" s="620">
        <v>34458707</v>
      </c>
      <c r="J18" s="620">
        <v>34733127</v>
      </c>
      <c r="K18" s="620">
        <v>35009940</v>
      </c>
      <c r="L18" s="620">
        <v>35289169</v>
      </c>
      <c r="M18" s="620">
        <v>35570836</v>
      </c>
      <c r="N18" s="620">
        <v>35854963</v>
      </c>
      <c r="O18" s="620">
        <v>36141574</v>
      </c>
      <c r="P18" s="620">
        <v>36430691</v>
      </c>
      <c r="Q18" s="620">
        <v>36722338</v>
      </c>
      <c r="R18" s="620">
        <v>37016538</v>
      </c>
      <c r="S18" s="620">
        <v>37313315</v>
      </c>
      <c r="T18" s="620">
        <f>S18*1.01</f>
        <v>37686448.15</v>
      </c>
      <c r="U18" s="620">
        <f>T18*1.01</f>
        <v>38063312.6315</v>
      </c>
      <c r="V18" s="620">
        <f>U18*1.01</f>
        <v>38443945.757814996</v>
      </c>
      <c r="W18" s="620">
        <f>V18*1.01</f>
        <v>38828385.21539315</v>
      </c>
      <c r="X18" s="620">
        <f t="shared" si="7"/>
        <v>39216669.06754708</v>
      </c>
      <c r="Y18" s="620">
        <f t="shared" si="7"/>
        <v>39608835.75822256</v>
      </c>
      <c r="Z18" s="620">
        <f t="shared" si="7"/>
        <v>40004924.115804784</v>
      </c>
    </row>
    <row r="19" spans="1:26" ht="13.5" customHeight="1">
      <c r="A19" s="612" t="s">
        <v>377</v>
      </c>
      <c r="B19" s="619" t="s">
        <v>589</v>
      </c>
      <c r="C19" s="620">
        <f aca="true" t="shared" si="8" ref="C19:Z19">C20+C24+C28+C29+C30</f>
        <v>4950364</v>
      </c>
      <c r="D19" s="620">
        <f t="shared" si="8"/>
        <v>1799986</v>
      </c>
      <c r="E19" s="620">
        <f t="shared" si="8"/>
        <v>910677.082</v>
      </c>
      <c r="F19" s="620">
        <f t="shared" si="8"/>
        <v>1398460.0240000002</v>
      </c>
      <c r="G19" s="620">
        <f t="shared" si="8"/>
        <v>1368291.082</v>
      </c>
      <c r="H19" s="620">
        <f t="shared" si="8"/>
        <v>1287939.082</v>
      </c>
      <c r="I19" s="620">
        <f t="shared" si="8"/>
        <v>1257770.1400000001</v>
      </c>
      <c r="J19" s="620">
        <f t="shared" si="8"/>
        <v>1632341.966</v>
      </c>
      <c r="K19" s="620">
        <f t="shared" si="8"/>
        <v>1606913.792</v>
      </c>
      <c r="L19" s="620">
        <f t="shared" si="8"/>
        <v>1420714.618</v>
      </c>
      <c r="M19" s="620">
        <f t="shared" si="8"/>
        <v>1273693.4440000001</v>
      </c>
      <c r="N19" s="620">
        <f t="shared" si="8"/>
        <v>1155856.27</v>
      </c>
      <c r="O19" s="620">
        <f t="shared" si="8"/>
        <v>1010499.096</v>
      </c>
      <c r="P19" s="620">
        <f t="shared" si="8"/>
        <v>965530.6529999999</v>
      </c>
      <c r="Q19" s="620">
        <f t="shared" si="8"/>
        <v>926245.621</v>
      </c>
      <c r="R19" s="620">
        <f t="shared" si="8"/>
        <v>886960.589</v>
      </c>
      <c r="S19" s="620">
        <f t="shared" si="8"/>
        <v>847675.557</v>
      </c>
      <c r="T19" s="620">
        <f t="shared" si="8"/>
        <v>408390.525</v>
      </c>
      <c r="U19" s="620">
        <f t="shared" si="8"/>
        <v>369105.493</v>
      </c>
      <c r="V19" s="620">
        <f t="shared" si="8"/>
        <v>353420.461</v>
      </c>
      <c r="W19" s="620">
        <f t="shared" si="8"/>
        <v>337735.429</v>
      </c>
      <c r="X19" s="620">
        <f t="shared" si="8"/>
        <v>322050.397</v>
      </c>
      <c r="Y19" s="620">
        <f t="shared" si="8"/>
        <v>306365.365</v>
      </c>
      <c r="Z19" s="620">
        <f t="shared" si="8"/>
        <v>179871.333</v>
      </c>
    </row>
    <row r="20" spans="1:26" ht="26.25" customHeight="1">
      <c r="A20" s="612" t="s">
        <v>579</v>
      </c>
      <c r="B20" s="621" t="s">
        <v>590</v>
      </c>
      <c r="C20" s="614">
        <f aca="true" t="shared" si="9" ref="C20:Z20">SUM(C21:C23)</f>
        <v>4646476</v>
      </c>
      <c r="D20" s="614">
        <f t="shared" si="9"/>
        <v>1299658</v>
      </c>
      <c r="E20" s="614">
        <f t="shared" si="9"/>
        <v>621789.082</v>
      </c>
      <c r="F20" s="614">
        <f t="shared" si="9"/>
        <v>1163296.0240000002</v>
      </c>
      <c r="G20" s="614">
        <f t="shared" si="9"/>
        <v>1133127.082</v>
      </c>
      <c r="H20" s="614">
        <f t="shared" si="9"/>
        <v>1052775.082</v>
      </c>
      <c r="I20" s="614">
        <f t="shared" si="9"/>
        <v>1022606.14</v>
      </c>
      <c r="J20" s="614">
        <f t="shared" si="9"/>
        <v>997177.966</v>
      </c>
      <c r="K20" s="614">
        <f t="shared" si="9"/>
        <v>971749.792</v>
      </c>
      <c r="L20" s="614">
        <f t="shared" si="9"/>
        <v>922721.618</v>
      </c>
      <c r="M20" s="614">
        <f t="shared" si="9"/>
        <v>873693.444</v>
      </c>
      <c r="N20" s="614">
        <f t="shared" si="9"/>
        <v>755856.27</v>
      </c>
      <c r="O20" s="614">
        <f t="shared" si="9"/>
        <v>610499.096</v>
      </c>
      <c r="P20" s="614">
        <f t="shared" si="9"/>
        <v>565530.6529999999</v>
      </c>
      <c r="Q20" s="614">
        <f t="shared" si="9"/>
        <v>526245.621</v>
      </c>
      <c r="R20" s="614">
        <f t="shared" si="9"/>
        <v>486960.58900000004</v>
      </c>
      <c r="S20" s="614">
        <f t="shared" si="9"/>
        <v>447675.55700000003</v>
      </c>
      <c r="T20" s="614">
        <f t="shared" si="9"/>
        <v>408390.525</v>
      </c>
      <c r="U20" s="614">
        <f t="shared" si="9"/>
        <v>369105.493</v>
      </c>
      <c r="V20" s="614">
        <f t="shared" si="9"/>
        <v>353420.461</v>
      </c>
      <c r="W20" s="614">
        <f t="shared" si="9"/>
        <v>337735.429</v>
      </c>
      <c r="X20" s="614">
        <f t="shared" si="9"/>
        <v>322050.397</v>
      </c>
      <c r="Y20" s="614">
        <f t="shared" si="9"/>
        <v>306365.365</v>
      </c>
      <c r="Z20" s="614">
        <f t="shared" si="9"/>
        <v>179871.333</v>
      </c>
    </row>
    <row r="21" spans="1:26" ht="13.5" customHeight="1">
      <c r="A21" s="612" t="s">
        <v>372</v>
      </c>
      <c r="B21" s="613" t="s">
        <v>591</v>
      </c>
      <c r="C21" s="614">
        <f>'Żródła finans.'!D27+'Żródła finans.'!D28</f>
        <v>4000000</v>
      </c>
      <c r="D21" s="614">
        <f>'Żródła finans.'!E27+'Żródła finans.'!E28</f>
        <v>438767</v>
      </c>
      <c r="E21" s="614">
        <v>0</v>
      </c>
      <c r="F21" s="614">
        <v>511338</v>
      </c>
      <c r="G21" s="614">
        <v>511338</v>
      </c>
      <c r="H21" s="614">
        <v>430986</v>
      </c>
      <c r="I21" s="614">
        <v>430986</v>
      </c>
      <c r="J21" s="614">
        <v>430986</v>
      </c>
      <c r="K21" s="614">
        <v>430986</v>
      </c>
      <c r="L21" s="614">
        <v>430986</v>
      </c>
      <c r="M21" s="614">
        <v>430986</v>
      </c>
      <c r="N21" s="614">
        <v>362177</v>
      </c>
      <c r="O21" s="614">
        <v>265848</v>
      </c>
      <c r="P21" s="614">
        <v>265848</v>
      </c>
      <c r="Q21" s="614">
        <v>265848</v>
      </c>
      <c r="R21" s="614">
        <v>265848</v>
      </c>
      <c r="S21" s="614">
        <v>265848</v>
      </c>
      <c r="T21" s="614">
        <v>265848</v>
      </c>
      <c r="U21" s="614">
        <v>265848</v>
      </c>
      <c r="V21" s="614">
        <v>265848</v>
      </c>
      <c r="W21" s="614">
        <v>265848</v>
      </c>
      <c r="X21" s="614">
        <v>265848</v>
      </c>
      <c r="Y21" s="614">
        <v>265848</v>
      </c>
      <c r="Z21" s="614">
        <v>155039</v>
      </c>
    </row>
    <row r="22" spans="1:26" ht="24" customHeight="1">
      <c r="A22" s="612" t="s">
        <v>373</v>
      </c>
      <c r="B22" s="621" t="s">
        <v>592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</row>
    <row r="23" spans="1:26" ht="13.5" customHeight="1">
      <c r="A23" s="612" t="s">
        <v>374</v>
      </c>
      <c r="B23" s="613" t="s">
        <v>593</v>
      </c>
      <c r="C23" s="614">
        <v>646476</v>
      </c>
      <c r="D23" s="614">
        <f>'WYDATKI ukł.wyk.'!G199</f>
        <v>860891</v>
      </c>
      <c r="E23" s="614">
        <f aca="true" t="shared" si="10" ref="E23:Q23">E32*5.9%</f>
        <v>621789.082</v>
      </c>
      <c r="F23" s="614">
        <f>D32*5.9%</f>
        <v>651958.0240000001</v>
      </c>
      <c r="G23" s="614">
        <f>E32*5.9%</f>
        <v>621789.082</v>
      </c>
      <c r="H23" s="614">
        <f>F32*5.9%</f>
        <v>621789.082</v>
      </c>
      <c r="I23" s="614">
        <f>G32*5.9%</f>
        <v>591620.14</v>
      </c>
      <c r="J23" s="614">
        <f>H32*5.9%</f>
        <v>566191.966</v>
      </c>
      <c r="K23" s="614">
        <f aca="true" t="shared" si="11" ref="K23:V23">I32*5.9%</f>
        <v>540763.792</v>
      </c>
      <c r="L23" s="614">
        <f t="shared" si="11"/>
        <v>491735.618</v>
      </c>
      <c r="M23" s="614">
        <f t="shared" si="11"/>
        <v>442707.444</v>
      </c>
      <c r="N23" s="614">
        <f t="shared" si="11"/>
        <v>393679.27</v>
      </c>
      <c r="O23" s="614">
        <f t="shared" si="11"/>
        <v>344651.096</v>
      </c>
      <c r="P23" s="614">
        <f t="shared" si="11"/>
        <v>299682.653</v>
      </c>
      <c r="Q23" s="614">
        <f t="shared" si="11"/>
        <v>260397.621</v>
      </c>
      <c r="R23" s="614">
        <f t="shared" si="11"/>
        <v>221112.589</v>
      </c>
      <c r="S23" s="614">
        <f t="shared" si="11"/>
        <v>181827.557</v>
      </c>
      <c r="T23" s="614">
        <f t="shared" si="11"/>
        <v>142542.52500000002</v>
      </c>
      <c r="U23" s="614">
        <f t="shared" si="11"/>
        <v>103257.493</v>
      </c>
      <c r="V23" s="614">
        <f t="shared" si="11"/>
        <v>87572.46100000001</v>
      </c>
      <c r="W23" s="614">
        <f>U32*5.9%</f>
        <v>71887.429</v>
      </c>
      <c r="X23" s="614">
        <f>V32*5.9%</f>
        <v>56202.397000000004</v>
      </c>
      <c r="Y23" s="614">
        <f>W32*5.9%</f>
        <v>40517.365000000005</v>
      </c>
      <c r="Z23" s="614">
        <f>X32*5.9%</f>
        <v>24832.333000000002</v>
      </c>
    </row>
    <row r="24" spans="1:26" ht="22.5" customHeight="1">
      <c r="A24" s="612" t="s">
        <v>584</v>
      </c>
      <c r="B24" s="621" t="s">
        <v>594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</row>
    <row r="25" spans="1:26" ht="13.5" customHeight="1">
      <c r="A25" s="612" t="s">
        <v>372</v>
      </c>
      <c r="B25" s="613" t="s">
        <v>591</v>
      </c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</row>
    <row r="26" spans="1:26" ht="49.5" customHeight="1">
      <c r="A26" s="612" t="s">
        <v>373</v>
      </c>
      <c r="B26" s="621" t="s">
        <v>592</v>
      </c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</row>
    <row r="27" spans="1:26" ht="13.5" customHeight="1">
      <c r="A27" s="612" t="s">
        <v>374</v>
      </c>
      <c r="B27" s="613" t="s">
        <v>593</v>
      </c>
      <c r="C27" s="614"/>
      <c r="D27" s="613"/>
      <c r="E27" s="613"/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</row>
    <row r="28" spans="1:26" ht="13.5" customHeight="1">
      <c r="A28" s="612" t="s">
        <v>586</v>
      </c>
      <c r="B28" s="613" t="s">
        <v>595</v>
      </c>
      <c r="C28" s="614"/>
      <c r="D28" s="614">
        <f>'WYDATKI ukł.wyk.'!G203</f>
        <v>235164</v>
      </c>
      <c r="E28" s="614">
        <v>288888</v>
      </c>
      <c r="F28" s="614">
        <v>235164</v>
      </c>
      <c r="G28" s="614">
        <v>235164</v>
      </c>
      <c r="H28" s="614">
        <v>235164</v>
      </c>
      <c r="I28" s="614">
        <v>235164</v>
      </c>
      <c r="J28" s="614">
        <v>235164</v>
      </c>
      <c r="K28" s="614">
        <v>235164</v>
      </c>
      <c r="L28" s="614">
        <v>97993</v>
      </c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</row>
    <row r="29" spans="1:26" ht="13.5" customHeight="1">
      <c r="A29" s="612" t="s">
        <v>596</v>
      </c>
      <c r="B29" s="613" t="s">
        <v>597</v>
      </c>
      <c r="C29" s="613"/>
      <c r="D29" s="613"/>
      <c r="E29" s="613"/>
      <c r="F29" s="613"/>
      <c r="G29" s="613"/>
      <c r="H29" s="613"/>
      <c r="I29" s="613"/>
      <c r="J29" s="614">
        <v>400000</v>
      </c>
      <c r="K29" s="614">
        <v>400000</v>
      </c>
      <c r="L29" s="614">
        <v>400000</v>
      </c>
      <c r="M29" s="614">
        <v>400000</v>
      </c>
      <c r="N29" s="614">
        <v>400000</v>
      </c>
      <c r="O29" s="614">
        <v>400000</v>
      </c>
      <c r="P29" s="614">
        <v>400000</v>
      </c>
      <c r="Q29" s="614">
        <v>400000</v>
      </c>
      <c r="R29" s="614">
        <v>400000</v>
      </c>
      <c r="S29" s="614">
        <v>400000</v>
      </c>
      <c r="T29" s="613"/>
      <c r="U29" s="613"/>
      <c r="V29" s="613"/>
      <c r="W29" s="613"/>
      <c r="X29" s="613"/>
      <c r="Y29" s="613"/>
      <c r="Z29" s="613"/>
    </row>
    <row r="30" spans="1:26" ht="13.5" customHeight="1">
      <c r="A30" s="612" t="s">
        <v>598</v>
      </c>
      <c r="B30" s="613" t="s">
        <v>599</v>
      </c>
      <c r="C30" s="614">
        <v>303888</v>
      </c>
      <c r="D30" s="614">
        <f>'Żródła finans.'!E30</f>
        <v>265164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</row>
    <row r="31" spans="1:26" ht="13.5" customHeight="1">
      <c r="A31" s="612" t="s">
        <v>398</v>
      </c>
      <c r="B31" s="619" t="s">
        <v>600</v>
      </c>
      <c r="C31" s="620">
        <f aca="true" t="shared" si="12" ref="C31:Z31">C11-C18</f>
        <v>3213447</v>
      </c>
      <c r="D31" s="620">
        <f t="shared" si="12"/>
        <v>703931</v>
      </c>
      <c r="E31" s="620">
        <f t="shared" si="12"/>
        <v>964010</v>
      </c>
      <c r="F31" s="620">
        <f t="shared" si="12"/>
        <v>699694</v>
      </c>
      <c r="G31" s="620">
        <f t="shared" si="12"/>
        <v>532554.2749999985</v>
      </c>
      <c r="H31" s="620">
        <f t="shared" si="12"/>
        <v>731252.1818749979</v>
      </c>
      <c r="I31" s="620">
        <f t="shared" si="12"/>
        <v>937142.0114218742</v>
      </c>
      <c r="J31" s="620">
        <f t="shared" si="12"/>
        <v>1150612.0080824196</v>
      </c>
      <c r="K31" s="620">
        <f t="shared" si="12"/>
        <v>1372073.2620669827</v>
      </c>
      <c r="L31" s="620">
        <f t="shared" si="12"/>
        <v>1601975.0049389899</v>
      </c>
      <c r="M31" s="620">
        <f t="shared" si="12"/>
        <v>1840803.0051159859</v>
      </c>
      <c r="N31" s="620">
        <f t="shared" si="12"/>
        <v>2089082.2399946302</v>
      </c>
      <c r="O31" s="620">
        <f t="shared" si="12"/>
        <v>2347381.9650000036</v>
      </c>
      <c r="P31" s="620">
        <f t="shared" si="12"/>
        <v>2616322.0575750023</v>
      </c>
      <c r="Q31" s="620">
        <f t="shared" si="12"/>
        <v>2896572.413889371</v>
      </c>
      <c r="R31" s="620">
        <f t="shared" si="12"/>
        <v>3188862.4882520586</v>
      </c>
      <c r="S31" s="620">
        <f t="shared" si="12"/>
        <v>3493986.6513471007</v>
      </c>
      <c r="T31" s="620">
        <f t="shared" si="12"/>
        <v>3569491.212539263</v>
      </c>
      <c r="U31" s="620">
        <f t="shared" si="12"/>
        <v>3595106.728956826</v>
      </c>
      <c r="V31" s="620">
        <f t="shared" si="12"/>
        <v>3732766.5181955323</v>
      </c>
      <c r="W31" s="620">
        <f t="shared" si="12"/>
        <v>3988216.2034370303</v>
      </c>
      <c r="X31" s="620">
        <f t="shared" si="12"/>
        <v>4140392.844775155</v>
      </c>
      <c r="Y31" s="620">
        <f t="shared" si="12"/>
        <v>4299918.18356128</v>
      </c>
      <c r="Z31" s="620">
        <f t="shared" si="12"/>
        <v>4467042.245592967</v>
      </c>
    </row>
    <row r="32" spans="1:26" ht="13.5" customHeight="1">
      <c r="A32" s="612" t="s">
        <v>601</v>
      </c>
      <c r="B32" s="619" t="s">
        <v>602</v>
      </c>
      <c r="C32" s="620">
        <f>'Prognoza dł. 8'!E32</f>
        <v>11488903</v>
      </c>
      <c r="D32" s="620">
        <f>'Prognoza dł. 8'!F32</f>
        <v>11050136</v>
      </c>
      <c r="E32" s="620">
        <f>'Prognoza dł. 8'!G32</f>
        <v>10538798</v>
      </c>
      <c r="F32" s="620">
        <f>'Prognoza dł. 8'!G32</f>
        <v>10538798</v>
      </c>
      <c r="G32" s="620">
        <f>'Prognoza dł. 8'!H32</f>
        <v>10027460</v>
      </c>
      <c r="H32" s="620">
        <f>'Prognoza dł. 8'!I32</f>
        <v>9596474</v>
      </c>
      <c r="I32" s="620">
        <f>'Prognoza dł. 8'!J32</f>
        <v>9165488</v>
      </c>
      <c r="J32" s="620">
        <f>'Prognoza dł. 8'!K32</f>
        <v>8334502</v>
      </c>
      <c r="K32" s="620">
        <f>'Prognoza dł. 8'!L32</f>
        <v>7503516</v>
      </c>
      <c r="L32" s="620">
        <f>'Prognoza dł. 8'!M32</f>
        <v>6672530</v>
      </c>
      <c r="M32" s="620">
        <f>'Prognoza dł. 8'!N32</f>
        <v>5841544</v>
      </c>
      <c r="N32" s="620">
        <f>'Prognoza dł. 8'!O32</f>
        <v>5079367</v>
      </c>
      <c r="O32" s="620">
        <f>'Prognoza dł. 8'!P32</f>
        <v>4413519</v>
      </c>
      <c r="P32" s="620">
        <f>'Prognoza dł. 8'!Q32</f>
        <v>3747671</v>
      </c>
      <c r="Q32" s="620">
        <f>'Prognoza dł. 8'!R32</f>
        <v>3081823</v>
      </c>
      <c r="R32" s="620">
        <f>'Prognoza dł. 8'!S32</f>
        <v>2415975</v>
      </c>
      <c r="S32" s="620">
        <f>'Prognoza dł. 8'!T32</f>
        <v>1750127</v>
      </c>
      <c r="T32" s="620">
        <f>'Prognoza dł. 8'!U32</f>
        <v>1484279</v>
      </c>
      <c r="U32" s="620">
        <f>'Prognoza dł. 8'!V32</f>
        <v>1218431</v>
      </c>
      <c r="V32" s="620">
        <f>'Prognoza dł. 8'!W32</f>
        <v>952583</v>
      </c>
      <c r="W32" s="620">
        <f>'Prognoza dł. 8'!X32</f>
        <v>686735</v>
      </c>
      <c r="X32" s="620">
        <f>'Prognoza dł. 8'!Y32</f>
        <v>420887</v>
      </c>
      <c r="Y32" s="620">
        <f>'Prognoza dł. 8'!Z32</f>
        <v>155039</v>
      </c>
      <c r="Z32" s="620">
        <f>'Prognoza dł. 8'!AA32</f>
        <v>0</v>
      </c>
    </row>
    <row r="33" spans="1:26" ht="50.25" customHeight="1">
      <c r="A33" s="612" t="s">
        <v>372</v>
      </c>
      <c r="B33" s="621" t="s">
        <v>603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</row>
    <row r="34" spans="1:26" ht="20.25" customHeight="1">
      <c r="A34" s="612" t="s">
        <v>604</v>
      </c>
      <c r="B34" s="619" t="s">
        <v>608</v>
      </c>
      <c r="C34" s="622">
        <f aca="true" t="shared" si="13" ref="C34:Z34">C32/C11*100</f>
        <v>31.162965921331416</v>
      </c>
      <c r="D34" s="622">
        <f t="shared" si="13"/>
        <v>33.06829644378341</v>
      </c>
      <c r="E34" s="622">
        <f t="shared" si="13"/>
        <v>30.68194320369122</v>
      </c>
      <c r="F34" s="622">
        <f t="shared" si="13"/>
        <v>30.681275064751716</v>
      </c>
      <c r="G34" s="622">
        <f t="shared" si="13"/>
        <v>29.107697168182995</v>
      </c>
      <c r="H34" s="622">
        <f t="shared" si="13"/>
        <v>27.482956311003075</v>
      </c>
      <c r="I34" s="622">
        <f t="shared" si="13"/>
        <v>25.89424538748143</v>
      </c>
      <c r="J34" s="622">
        <f t="shared" si="13"/>
        <v>23.226403464039088</v>
      </c>
      <c r="K34" s="622">
        <f t="shared" si="13"/>
        <v>20.624246233848194</v>
      </c>
      <c r="L34" s="622">
        <f t="shared" si="13"/>
        <v>18.087078023676035</v>
      </c>
      <c r="M34" s="622">
        <f t="shared" si="13"/>
        <v>15.614242399808193</v>
      </c>
      <c r="N34" s="622">
        <f t="shared" si="13"/>
        <v>13.386466750904388</v>
      </c>
      <c r="O34" s="622">
        <f t="shared" si="13"/>
        <v>11.466975108427054</v>
      </c>
      <c r="P34" s="622">
        <f t="shared" si="13"/>
        <v>9.597842975784197</v>
      </c>
      <c r="Q34" s="622">
        <f t="shared" si="13"/>
        <v>7.778666722039867</v>
      </c>
      <c r="R34" s="622">
        <f t="shared" si="13"/>
        <v>6.009080796759986</v>
      </c>
      <c r="S34" s="622">
        <f t="shared" si="13"/>
        <v>4.288759435634544</v>
      </c>
      <c r="T34" s="622">
        <f t="shared" si="13"/>
        <v>3.5977341030991963</v>
      </c>
      <c r="U34" s="622">
        <f t="shared" si="13"/>
        <v>2.9248133239461414</v>
      </c>
      <c r="V34" s="622">
        <f t="shared" si="13"/>
        <v>2.2585520506343846</v>
      </c>
      <c r="W34" s="622">
        <f t="shared" si="13"/>
        <v>1.6038989019291545</v>
      </c>
      <c r="X34" s="622">
        <f t="shared" si="13"/>
        <v>0.970746128626355</v>
      </c>
      <c r="Y34" s="622">
        <f t="shared" si="13"/>
        <v>0.35309359998135575</v>
      </c>
      <c r="Z34" s="622">
        <f t="shared" si="13"/>
        <v>0</v>
      </c>
    </row>
    <row r="35" spans="1:26" ht="26.25" customHeight="1">
      <c r="A35" s="612" t="s">
        <v>605</v>
      </c>
      <c r="B35" s="623" t="s">
        <v>609</v>
      </c>
      <c r="C35" s="622">
        <f aca="true" t="shared" si="14" ref="C35:Z35">(C21+C23+C28+C29)/C11*100</f>
        <v>12.60328973464954</v>
      </c>
      <c r="D35" s="622">
        <f t="shared" si="14"/>
        <v>4.593061016121479</v>
      </c>
      <c r="E35" s="622">
        <f t="shared" si="14"/>
        <v>2.6512836195197265</v>
      </c>
      <c r="F35" s="622">
        <f t="shared" si="14"/>
        <v>4.071293202830464</v>
      </c>
      <c r="G35" s="622">
        <f t="shared" si="14"/>
        <v>3.9718734807001423</v>
      </c>
      <c r="H35" s="622">
        <f t="shared" si="14"/>
        <v>3.6884769887189197</v>
      </c>
      <c r="I35" s="622">
        <f t="shared" si="14"/>
        <v>3.553439669137844</v>
      </c>
      <c r="J35" s="622">
        <f t="shared" si="14"/>
        <v>4.548974023114851</v>
      </c>
      <c r="K35" s="622">
        <f t="shared" si="14"/>
        <v>4.416780842844171</v>
      </c>
      <c r="L35" s="622">
        <f t="shared" si="14"/>
        <v>3.8510993798668713</v>
      </c>
      <c r="M35" s="622">
        <f t="shared" si="14"/>
        <v>3.404537940253899</v>
      </c>
      <c r="N35" s="622">
        <f t="shared" si="14"/>
        <v>3.046212555064315</v>
      </c>
      <c r="O35" s="622">
        <f t="shared" si="14"/>
        <v>2.6254261012403117</v>
      </c>
      <c r="P35" s="622">
        <f t="shared" si="14"/>
        <v>2.4727388278747995</v>
      </c>
      <c r="Q35" s="622">
        <f t="shared" si="14"/>
        <v>2.337887668599998</v>
      </c>
      <c r="R35" s="622">
        <f t="shared" si="14"/>
        <v>2.2060732593850623</v>
      </c>
      <c r="S35" s="622">
        <f t="shared" si="14"/>
        <v>2.077264417633988</v>
      </c>
      <c r="T35" s="622">
        <f t="shared" si="14"/>
        <v>0.9898951067656989</v>
      </c>
      <c r="U35" s="622">
        <f t="shared" si="14"/>
        <v>0.886028559572195</v>
      </c>
      <c r="V35" s="622">
        <f t="shared" si="14"/>
        <v>0.8379516608292396</v>
      </c>
      <c r="W35" s="622">
        <f t="shared" si="14"/>
        <v>0.7887955087707368</v>
      </c>
      <c r="X35" s="622">
        <f t="shared" si="14"/>
        <v>0.7427864868963182</v>
      </c>
      <c r="Y35" s="622">
        <f t="shared" si="14"/>
        <v>0.6977318586771847</v>
      </c>
      <c r="Z35" s="622">
        <f t="shared" si="14"/>
        <v>0.40446004014819253</v>
      </c>
    </row>
    <row r="36" spans="1:26" ht="25.5" customHeight="1">
      <c r="A36" s="612" t="s">
        <v>606</v>
      </c>
      <c r="B36" s="623" t="s">
        <v>610</v>
      </c>
      <c r="C36" s="622">
        <f aca="true" t="shared" si="15" ref="C36:Z36">C32/C11*100</f>
        <v>31.162965921331416</v>
      </c>
      <c r="D36" s="622">
        <f t="shared" si="15"/>
        <v>33.06829644378341</v>
      </c>
      <c r="E36" s="622">
        <f t="shared" si="15"/>
        <v>30.68194320369122</v>
      </c>
      <c r="F36" s="622">
        <f t="shared" si="15"/>
        <v>30.681275064751716</v>
      </c>
      <c r="G36" s="622">
        <f t="shared" si="15"/>
        <v>29.107697168182995</v>
      </c>
      <c r="H36" s="622">
        <f t="shared" si="15"/>
        <v>27.482956311003075</v>
      </c>
      <c r="I36" s="622">
        <f t="shared" si="15"/>
        <v>25.89424538748143</v>
      </c>
      <c r="J36" s="622">
        <f t="shared" si="15"/>
        <v>23.226403464039088</v>
      </c>
      <c r="K36" s="622">
        <f t="shared" si="15"/>
        <v>20.624246233848194</v>
      </c>
      <c r="L36" s="622">
        <f t="shared" si="15"/>
        <v>18.087078023676035</v>
      </c>
      <c r="M36" s="622">
        <f t="shared" si="15"/>
        <v>15.614242399808193</v>
      </c>
      <c r="N36" s="622">
        <f t="shared" si="15"/>
        <v>13.386466750904388</v>
      </c>
      <c r="O36" s="622">
        <f t="shared" si="15"/>
        <v>11.466975108427054</v>
      </c>
      <c r="P36" s="622">
        <f t="shared" si="15"/>
        <v>9.597842975784197</v>
      </c>
      <c r="Q36" s="622">
        <f t="shared" si="15"/>
        <v>7.778666722039867</v>
      </c>
      <c r="R36" s="622">
        <f t="shared" si="15"/>
        <v>6.009080796759986</v>
      </c>
      <c r="S36" s="622">
        <f t="shared" si="15"/>
        <v>4.288759435634544</v>
      </c>
      <c r="T36" s="622">
        <f t="shared" si="15"/>
        <v>3.5977341030991963</v>
      </c>
      <c r="U36" s="622">
        <f t="shared" si="15"/>
        <v>2.9248133239461414</v>
      </c>
      <c r="V36" s="622">
        <f t="shared" si="15"/>
        <v>2.2585520506343846</v>
      </c>
      <c r="W36" s="622">
        <f t="shared" si="15"/>
        <v>1.6038989019291545</v>
      </c>
      <c r="X36" s="622">
        <f t="shared" si="15"/>
        <v>0.970746128626355</v>
      </c>
      <c r="Y36" s="622">
        <f t="shared" si="15"/>
        <v>0.35309359998135575</v>
      </c>
      <c r="Z36" s="622">
        <f t="shared" si="15"/>
        <v>0</v>
      </c>
    </row>
    <row r="37" spans="1:26" ht="25.5" customHeight="1" thickBot="1">
      <c r="A37" s="624" t="s">
        <v>607</v>
      </c>
      <c r="B37" s="625" t="s">
        <v>611</v>
      </c>
      <c r="C37" s="622">
        <f aca="true" t="shared" si="16" ref="C37:Z37">(C23+C21+C28+C29)/C11*100</f>
        <v>12.60328973464954</v>
      </c>
      <c r="D37" s="622">
        <f t="shared" si="16"/>
        <v>4.593061016121479</v>
      </c>
      <c r="E37" s="622">
        <f t="shared" si="16"/>
        <v>2.6512836195197265</v>
      </c>
      <c r="F37" s="622">
        <f t="shared" si="16"/>
        <v>4.071293202830464</v>
      </c>
      <c r="G37" s="622">
        <f t="shared" si="16"/>
        <v>3.9718734807001423</v>
      </c>
      <c r="H37" s="622">
        <f t="shared" si="16"/>
        <v>3.6884769887189197</v>
      </c>
      <c r="I37" s="622">
        <f t="shared" si="16"/>
        <v>3.553439669137844</v>
      </c>
      <c r="J37" s="622">
        <f t="shared" si="16"/>
        <v>4.548974023114851</v>
      </c>
      <c r="K37" s="622">
        <f t="shared" si="16"/>
        <v>4.416780842844171</v>
      </c>
      <c r="L37" s="622">
        <f t="shared" si="16"/>
        <v>3.8510993798668713</v>
      </c>
      <c r="M37" s="622">
        <f t="shared" si="16"/>
        <v>3.404537940253899</v>
      </c>
      <c r="N37" s="622">
        <f t="shared" si="16"/>
        <v>3.046212555064315</v>
      </c>
      <c r="O37" s="622">
        <f t="shared" si="16"/>
        <v>2.6254261012403117</v>
      </c>
      <c r="P37" s="622">
        <f t="shared" si="16"/>
        <v>2.4727388278747995</v>
      </c>
      <c r="Q37" s="622">
        <f t="shared" si="16"/>
        <v>2.337887668599998</v>
      </c>
      <c r="R37" s="622">
        <f t="shared" si="16"/>
        <v>2.2060732593850623</v>
      </c>
      <c r="S37" s="622">
        <f t="shared" si="16"/>
        <v>2.077264417633988</v>
      </c>
      <c r="T37" s="622">
        <f t="shared" si="16"/>
        <v>0.9898951067656989</v>
      </c>
      <c r="U37" s="622">
        <f t="shared" si="16"/>
        <v>0.886028559572195</v>
      </c>
      <c r="V37" s="622">
        <f t="shared" si="16"/>
        <v>0.8379516608292396</v>
      </c>
      <c r="W37" s="622">
        <f t="shared" si="16"/>
        <v>0.7887955087707368</v>
      </c>
      <c r="X37" s="622">
        <f t="shared" si="16"/>
        <v>0.7427864868963182</v>
      </c>
      <c r="Y37" s="622">
        <f t="shared" si="16"/>
        <v>0.6977318586771847</v>
      </c>
      <c r="Z37" s="622">
        <f t="shared" si="16"/>
        <v>0.40446004014819253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SheetLayoutView="100" zoomScalePageLayoutView="0" workbookViewId="0" topLeftCell="D1">
      <pane ySplit="11" topLeftCell="A93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38.25390625" style="1" customWidth="1"/>
    <col min="4" max="5" width="11.125" style="1" customWidth="1"/>
    <col min="6" max="6" width="11.625" style="1" customWidth="1"/>
    <col min="7" max="7" width="10.00390625" style="183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282</v>
      </c>
    </row>
    <row r="2" ht="12.75">
      <c r="K2" s="6" t="s">
        <v>283</v>
      </c>
    </row>
    <row r="3" ht="12.75">
      <c r="K3" s="6" t="s">
        <v>181</v>
      </c>
    </row>
    <row r="4" ht="12.75">
      <c r="K4" s="6" t="s">
        <v>659</v>
      </c>
    </row>
    <row r="5" spans="1:13" ht="18">
      <c r="A5" s="809" t="s">
        <v>463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</row>
    <row r="6" spans="1:9" ht="18">
      <c r="A6" s="2"/>
      <c r="B6" s="2"/>
      <c r="C6" s="2"/>
      <c r="D6" s="2"/>
      <c r="E6" s="2"/>
      <c r="F6" s="2"/>
      <c r="G6" s="181"/>
      <c r="H6" s="2"/>
      <c r="I6" s="2"/>
    </row>
    <row r="7" spans="1:13" ht="13.5" thickBot="1">
      <c r="A7" s="36"/>
      <c r="B7" s="36"/>
      <c r="C7" s="36"/>
      <c r="D7" s="36"/>
      <c r="E7" s="36"/>
      <c r="F7" s="36"/>
      <c r="G7" s="182"/>
      <c r="H7" s="36"/>
      <c r="J7" s="12"/>
      <c r="K7" s="12"/>
      <c r="L7" s="12"/>
      <c r="M7" s="37" t="s">
        <v>415</v>
      </c>
    </row>
    <row r="8" spans="1:13" s="38" customFormat="1" ht="18.75" customHeight="1">
      <c r="A8" s="812" t="s">
        <v>363</v>
      </c>
      <c r="B8" s="810" t="s">
        <v>364</v>
      </c>
      <c r="C8" s="810" t="s">
        <v>378</v>
      </c>
      <c r="D8" s="800" t="s">
        <v>460</v>
      </c>
      <c r="E8" s="684"/>
      <c r="F8" s="810" t="s">
        <v>448</v>
      </c>
      <c r="G8" s="803" t="s">
        <v>462</v>
      </c>
      <c r="H8" s="810" t="s">
        <v>431</v>
      </c>
      <c r="I8" s="810"/>
      <c r="J8" s="810"/>
      <c r="K8" s="810"/>
      <c r="L8" s="810"/>
      <c r="M8" s="814"/>
    </row>
    <row r="9" spans="1:13" s="38" customFormat="1" ht="20.25" customHeight="1">
      <c r="A9" s="813"/>
      <c r="B9" s="811"/>
      <c r="C9" s="811"/>
      <c r="D9" s="801"/>
      <c r="E9" s="685"/>
      <c r="F9" s="811"/>
      <c r="G9" s="804"/>
      <c r="H9" s="811" t="s">
        <v>397</v>
      </c>
      <c r="I9" s="811" t="s">
        <v>367</v>
      </c>
      <c r="J9" s="811"/>
      <c r="K9" s="811"/>
      <c r="L9" s="811"/>
      <c r="M9" s="815" t="s">
        <v>399</v>
      </c>
    </row>
    <row r="10" spans="1:13" s="38" customFormat="1" ht="63.75" customHeight="1">
      <c r="A10" s="813"/>
      <c r="B10" s="811"/>
      <c r="C10" s="811"/>
      <c r="D10" s="802"/>
      <c r="E10" s="706" t="s">
        <v>439</v>
      </c>
      <c r="F10" s="811"/>
      <c r="G10" s="805"/>
      <c r="H10" s="811"/>
      <c r="I10" s="497" t="s">
        <v>503</v>
      </c>
      <c r="J10" s="41" t="s">
        <v>432</v>
      </c>
      <c r="K10" s="41" t="s">
        <v>16</v>
      </c>
      <c r="L10" s="41" t="s">
        <v>434</v>
      </c>
      <c r="M10" s="815"/>
    </row>
    <row r="11" spans="1:13" s="38" customFormat="1" ht="8.25" customHeight="1">
      <c r="A11" s="170">
        <v>1</v>
      </c>
      <c r="B11" s="471">
        <v>2</v>
      </c>
      <c r="C11" s="472">
        <v>3</v>
      </c>
      <c r="D11" s="470">
        <v>4</v>
      </c>
      <c r="E11" s="470"/>
      <c r="F11" s="471">
        <v>5</v>
      </c>
      <c r="G11" s="470">
        <v>6</v>
      </c>
      <c r="H11" s="471">
        <v>7</v>
      </c>
      <c r="I11" s="471">
        <v>8</v>
      </c>
      <c r="J11" s="471">
        <v>9</v>
      </c>
      <c r="K11" s="470">
        <v>10</v>
      </c>
      <c r="L11" s="471">
        <v>11</v>
      </c>
      <c r="M11" s="469">
        <v>12</v>
      </c>
    </row>
    <row r="12" spans="1:13" s="38" customFormat="1" ht="13.5" thickBot="1">
      <c r="A12" s="51" t="s">
        <v>39</v>
      </c>
      <c r="B12" s="52"/>
      <c r="C12" s="72" t="s">
        <v>40</v>
      </c>
      <c r="D12" s="67">
        <f>SUM(D13:D14)</f>
        <v>62387</v>
      </c>
      <c r="E12" s="67">
        <f>SUM(E13:E14)</f>
        <v>0</v>
      </c>
      <c r="F12" s="67">
        <f>SUM(F13:F14)</f>
        <v>62387</v>
      </c>
      <c r="G12" s="473">
        <f>F12/D12</f>
        <v>1</v>
      </c>
      <c r="H12" s="67">
        <f aca="true" t="shared" si="0" ref="H12:M12">SUM(H13:H14)</f>
        <v>62387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171">
        <f t="shared" si="0"/>
        <v>0</v>
      </c>
    </row>
    <row r="13" spans="1:13" s="38" customFormat="1" ht="25.5">
      <c r="A13" s="265"/>
      <c r="B13" s="54" t="s">
        <v>42</v>
      </c>
      <c r="C13" s="73" t="s">
        <v>41</v>
      </c>
      <c r="D13" s="486">
        <f>SUM('WYDATKI ukł.wyk.'!E17)</f>
        <v>13000</v>
      </c>
      <c r="E13" s="486">
        <f>SUM('WYDATKI ukł.wyk.'!F17)</f>
        <v>0</v>
      </c>
      <c r="F13" s="486">
        <f>SUM('WYDATKI ukł.wyk.'!G17)</f>
        <v>13000</v>
      </c>
      <c r="G13" s="476">
        <f>F13/D13</f>
        <v>1</v>
      </c>
      <c r="H13" s="56">
        <f>SUM('WYDATKI ukł.wyk.'!G17)</f>
        <v>13000</v>
      </c>
      <c r="I13" s="55">
        <v>0</v>
      </c>
      <c r="J13" s="55">
        <v>0</v>
      </c>
      <c r="K13" s="55">
        <v>0</v>
      </c>
      <c r="L13" s="55">
        <v>0</v>
      </c>
      <c r="M13" s="172">
        <v>0</v>
      </c>
    </row>
    <row r="14" spans="1:13" s="38" customFormat="1" ht="12.75">
      <c r="A14" s="135"/>
      <c r="B14" s="57" t="s">
        <v>43</v>
      </c>
      <c r="C14" s="74" t="s">
        <v>44</v>
      </c>
      <c r="D14" s="487">
        <f>SUM('WYDATKI ukł.wyk.'!E20:E21)</f>
        <v>49387</v>
      </c>
      <c r="E14" s="487">
        <f>SUM('WYDATKI ukł.wyk.'!F20:F21)</f>
        <v>0</v>
      </c>
      <c r="F14" s="487">
        <f>SUM('WYDATKI ukł.wyk.'!G20:G21)</f>
        <v>49387</v>
      </c>
      <c r="G14" s="485">
        <f>F14/D14</f>
        <v>1</v>
      </c>
      <c r="H14" s="60">
        <f>SUM('WYDATKI ukł.wyk.'!G20:G21)</f>
        <v>49387</v>
      </c>
      <c r="I14" s="58">
        <v>0</v>
      </c>
      <c r="J14" s="58">
        <v>0</v>
      </c>
      <c r="K14" s="58">
        <v>0</v>
      </c>
      <c r="L14" s="58">
        <v>0</v>
      </c>
      <c r="M14" s="173">
        <v>0</v>
      </c>
    </row>
    <row r="15" spans="1:13" s="38" customFormat="1" ht="12.75">
      <c r="A15" s="135"/>
      <c r="B15" s="127"/>
      <c r="C15" s="115"/>
      <c r="D15" s="129"/>
      <c r="E15" s="98"/>
      <c r="F15" s="128"/>
      <c r="G15" s="483"/>
      <c r="H15" s="128"/>
      <c r="I15" s="70"/>
      <c r="J15" s="70"/>
      <c r="K15" s="70"/>
      <c r="L15" s="70"/>
      <c r="M15" s="174"/>
    </row>
    <row r="16" spans="1:13" s="38" customFormat="1" ht="13.5" thickBot="1">
      <c r="A16" s="48" t="s">
        <v>45</v>
      </c>
      <c r="B16" s="62"/>
      <c r="C16" s="75" t="s">
        <v>46</v>
      </c>
      <c r="D16" s="66">
        <f>SUM(D17:D18)</f>
        <v>193335</v>
      </c>
      <c r="E16" s="66">
        <f>SUM(E17:E18)</f>
        <v>0</v>
      </c>
      <c r="F16" s="66">
        <f>SUM(F17:F18)</f>
        <v>193335</v>
      </c>
      <c r="G16" s="477">
        <f>F16/D16</f>
        <v>1</v>
      </c>
      <c r="H16" s="66">
        <f aca="true" t="shared" si="1" ref="H16:M16">SUM(H17:H18)</f>
        <v>193335</v>
      </c>
      <c r="I16" s="66">
        <f t="shared" si="1"/>
        <v>0</v>
      </c>
      <c r="J16" s="66">
        <f t="shared" si="1"/>
        <v>0</v>
      </c>
      <c r="K16" s="66">
        <f t="shared" si="1"/>
        <v>0</v>
      </c>
      <c r="L16" s="66">
        <f t="shared" si="1"/>
        <v>0</v>
      </c>
      <c r="M16" s="175">
        <f t="shared" si="1"/>
        <v>0</v>
      </c>
    </row>
    <row r="17" spans="1:13" s="38" customFormat="1" ht="12.75">
      <c r="A17" s="265"/>
      <c r="B17" s="63" t="s">
        <v>47</v>
      </c>
      <c r="C17" s="76" t="s">
        <v>215</v>
      </c>
      <c r="D17" s="446">
        <f>SUM('WYDATKI ukł.wyk.'!E25)</f>
        <v>188635</v>
      </c>
      <c r="E17" s="446">
        <f>SUM('WYDATKI ukł.wyk.'!F25)</f>
        <v>0</v>
      </c>
      <c r="F17" s="446">
        <f>SUM('WYDATKI ukł.wyk.'!G25)</f>
        <v>188635</v>
      </c>
      <c r="G17" s="474">
        <f>F17/D17</f>
        <v>1</v>
      </c>
      <c r="H17" s="56">
        <f>SUM('WYDATKI ukł.wyk.'!G25)</f>
        <v>188635</v>
      </c>
      <c r="I17" s="55">
        <v>0</v>
      </c>
      <c r="J17" s="55">
        <v>0</v>
      </c>
      <c r="K17" s="55">
        <v>0</v>
      </c>
      <c r="L17" s="55">
        <v>0</v>
      </c>
      <c r="M17" s="172">
        <v>0</v>
      </c>
    </row>
    <row r="18" spans="1:13" s="38" customFormat="1" ht="12.75">
      <c r="A18" s="135"/>
      <c r="B18" s="57" t="s">
        <v>49</v>
      </c>
      <c r="C18" s="74" t="s">
        <v>48</v>
      </c>
      <c r="D18" s="487">
        <f>SUM('WYDATKI ukł.wyk.'!E28)</f>
        <v>4700</v>
      </c>
      <c r="E18" s="487">
        <f>SUM('WYDATKI ukł.wyk.'!F28)</f>
        <v>0</v>
      </c>
      <c r="F18" s="487">
        <f>SUM('WYDATKI ukł.wyk.'!G28)</f>
        <v>4700</v>
      </c>
      <c r="G18" s="475">
        <f>F18/D18</f>
        <v>1</v>
      </c>
      <c r="H18" s="65">
        <f>SUM('WYDATKI ukł.wyk.'!G28)</f>
        <v>4700</v>
      </c>
      <c r="I18" s="58">
        <v>0</v>
      </c>
      <c r="J18" s="58">
        <v>0</v>
      </c>
      <c r="K18" s="58">
        <v>0</v>
      </c>
      <c r="L18" s="58">
        <v>0</v>
      </c>
      <c r="M18" s="173">
        <v>0</v>
      </c>
    </row>
    <row r="19" spans="1:13" s="38" customFormat="1" ht="12.75">
      <c r="A19" s="135"/>
      <c r="B19" s="124"/>
      <c r="C19" s="129"/>
      <c r="D19" s="129"/>
      <c r="E19" s="129"/>
      <c r="F19" s="125"/>
      <c r="G19" s="476"/>
      <c r="H19" s="126"/>
      <c r="I19" s="130"/>
      <c r="J19" s="130"/>
      <c r="K19" s="130"/>
      <c r="L19" s="130"/>
      <c r="M19" s="131"/>
    </row>
    <row r="20" spans="1:13" s="38" customFormat="1" ht="13.5" thickBot="1">
      <c r="A20" s="68">
        <v>600</v>
      </c>
      <c r="B20" s="62"/>
      <c r="C20" s="75" t="s">
        <v>50</v>
      </c>
      <c r="D20" s="93">
        <f>SUM(D21:D21)</f>
        <v>3818870</v>
      </c>
      <c r="E20" s="93">
        <f>SUM(E21:E21)</f>
        <v>0</v>
      </c>
      <c r="F20" s="93">
        <f>SUM(F21:F21)</f>
        <v>3818870</v>
      </c>
      <c r="G20" s="478">
        <f>F20/D20</f>
        <v>1</v>
      </c>
      <c r="H20" s="93">
        <f aca="true" t="shared" si="2" ref="H20:M20">SUM(H21:H21)</f>
        <v>2894870</v>
      </c>
      <c r="I20" s="93">
        <f t="shared" si="2"/>
        <v>1302800</v>
      </c>
      <c r="J20" s="93">
        <f t="shared" si="2"/>
        <v>8423</v>
      </c>
      <c r="K20" s="93">
        <f t="shared" si="2"/>
        <v>0</v>
      </c>
      <c r="L20" s="93">
        <f t="shared" si="2"/>
        <v>0</v>
      </c>
      <c r="M20" s="132">
        <f t="shared" si="2"/>
        <v>924000</v>
      </c>
    </row>
    <row r="21" spans="1:13" s="38" customFormat="1" ht="12.75">
      <c r="A21" s="265"/>
      <c r="B21" s="69">
        <v>60014</v>
      </c>
      <c r="C21" s="77" t="s">
        <v>51</v>
      </c>
      <c r="D21" s="56">
        <f>SUM('WYDATKI ukł.wyk.'!E32:E56)</f>
        <v>3818870</v>
      </c>
      <c r="E21" s="56">
        <f>SUM('WYDATKI ukł.wyk.'!F32:F56)</f>
        <v>0</v>
      </c>
      <c r="F21" s="56">
        <f>SUM('WYDATKI ukł.wyk.'!G32:G56)</f>
        <v>3818870</v>
      </c>
      <c r="G21" s="474">
        <f>F21/D21</f>
        <v>1</v>
      </c>
      <c r="H21" s="56">
        <f>SUM('WYDATKI ukł.wyk.'!G32:G54)</f>
        <v>2894870</v>
      </c>
      <c r="I21" s="56">
        <f>'WYDATKI ukł.wyk.'!G34+'WYDATKI ukł.wyk.'!G35+'WYDATKI ukł.wyk.'!G36+'WYDATKI ukł.wyk.'!G37+'WYDATKI ukł.wyk.'!G38</f>
        <v>1302800</v>
      </c>
      <c r="J21" s="56">
        <f>'WYDATKI ukł.wyk.'!G32</f>
        <v>8423</v>
      </c>
      <c r="K21" s="55">
        <v>0</v>
      </c>
      <c r="L21" s="55">
        <v>0</v>
      </c>
      <c r="M21" s="176">
        <f>'WYDATKI ukł.wyk.'!G55+'WYDATKI ukł.wyk.'!G56</f>
        <v>924000</v>
      </c>
    </row>
    <row r="22" spans="1:13" s="38" customFormat="1" ht="12.75">
      <c r="A22" s="135"/>
      <c r="B22" s="264"/>
      <c r="C22" s="130"/>
      <c r="D22" s="130"/>
      <c r="E22" s="130"/>
      <c r="F22" s="130"/>
      <c r="G22" s="476"/>
      <c r="H22" s="130"/>
      <c r="I22" s="130"/>
      <c r="J22" s="130"/>
      <c r="K22" s="130"/>
      <c r="L22" s="130"/>
      <c r="M22" s="131"/>
    </row>
    <row r="23" spans="1:13" s="38" customFormat="1" ht="13.5" thickBot="1">
      <c r="A23" s="68">
        <v>630</v>
      </c>
      <c r="B23" s="62"/>
      <c r="C23" s="61" t="s">
        <v>87</v>
      </c>
      <c r="D23" s="66">
        <f>D24</f>
        <v>2000</v>
      </c>
      <c r="E23" s="66">
        <f>E24</f>
        <v>0</v>
      </c>
      <c r="F23" s="66">
        <f>F24</f>
        <v>2000</v>
      </c>
      <c r="G23" s="477">
        <f>F23/D23</f>
        <v>1</v>
      </c>
      <c r="H23" s="66">
        <f aca="true" t="shared" si="3" ref="H23:M23">H24</f>
        <v>2000</v>
      </c>
      <c r="I23" s="66">
        <f t="shared" si="3"/>
        <v>0</v>
      </c>
      <c r="J23" s="66">
        <f t="shared" si="3"/>
        <v>1000</v>
      </c>
      <c r="K23" s="66">
        <f t="shared" si="3"/>
        <v>0</v>
      </c>
      <c r="L23" s="66">
        <f t="shared" si="3"/>
        <v>0</v>
      </c>
      <c r="M23" s="175">
        <f t="shared" si="3"/>
        <v>0</v>
      </c>
    </row>
    <row r="24" spans="1:13" s="38" customFormat="1" ht="25.5">
      <c r="A24" s="135"/>
      <c r="B24" s="69">
        <v>63003</v>
      </c>
      <c r="C24" s="133" t="s">
        <v>88</v>
      </c>
      <c r="D24" s="56">
        <f>SUM('WYDATKI ukł.wyk.'!E60:E63)</f>
        <v>2000</v>
      </c>
      <c r="E24" s="56">
        <f>SUM('WYDATKI ukł.wyk.'!F60:F63)</f>
        <v>0</v>
      </c>
      <c r="F24" s="56">
        <f>SUM('WYDATKI ukł.wyk.'!G60:G63)</f>
        <v>2000</v>
      </c>
      <c r="G24" s="474">
        <f>F24/D24</f>
        <v>1</v>
      </c>
      <c r="H24" s="56">
        <f>SUM('WYDATKI ukł.wyk.'!G60:G63)</f>
        <v>2000</v>
      </c>
      <c r="I24" s="55">
        <v>0</v>
      </c>
      <c r="J24" s="56">
        <f>'WYDATKI ukł.wyk.'!G60</f>
        <v>1000</v>
      </c>
      <c r="K24" s="55">
        <v>0</v>
      </c>
      <c r="L24" s="55">
        <v>0</v>
      </c>
      <c r="M24" s="172">
        <v>0</v>
      </c>
    </row>
    <row r="25" spans="1:13" s="38" customFormat="1" ht="12.75">
      <c r="A25" s="135"/>
      <c r="B25" s="264"/>
      <c r="C25" s="130"/>
      <c r="D25" s="130"/>
      <c r="E25" s="130"/>
      <c r="F25" s="130"/>
      <c r="G25" s="476"/>
      <c r="H25" s="130"/>
      <c r="I25" s="130"/>
      <c r="J25" s="130"/>
      <c r="K25" s="130"/>
      <c r="L25" s="130"/>
      <c r="M25" s="131"/>
    </row>
    <row r="26" spans="1:13" s="38" customFormat="1" ht="13.5" thickBot="1">
      <c r="A26" s="68">
        <v>700</v>
      </c>
      <c r="B26" s="62"/>
      <c r="C26" s="61" t="s">
        <v>93</v>
      </c>
      <c r="D26" s="66">
        <f>D27</f>
        <v>70054</v>
      </c>
      <c r="E26" s="66">
        <f>E27</f>
        <v>4522</v>
      </c>
      <c r="F26" s="66">
        <f>F27</f>
        <v>74576</v>
      </c>
      <c r="G26" s="477">
        <f>F26/D26</f>
        <v>1.064550204128244</v>
      </c>
      <c r="H26" s="66">
        <f aca="true" t="shared" si="4" ref="H26:M26">H27</f>
        <v>74576</v>
      </c>
      <c r="I26" s="66">
        <f t="shared" si="4"/>
        <v>35000</v>
      </c>
      <c r="J26" s="66">
        <f t="shared" si="4"/>
        <v>0</v>
      </c>
      <c r="K26" s="66">
        <f t="shared" si="4"/>
        <v>0</v>
      </c>
      <c r="L26" s="66">
        <f t="shared" si="4"/>
        <v>0</v>
      </c>
      <c r="M26" s="175">
        <f t="shared" si="4"/>
        <v>0</v>
      </c>
    </row>
    <row r="27" spans="1:13" s="38" customFormat="1" ht="12.75">
      <c r="A27" s="135"/>
      <c r="B27" s="110">
        <v>70005</v>
      </c>
      <c r="C27" s="136" t="s">
        <v>94</v>
      </c>
      <c r="D27" s="56">
        <f>SUM('WYDATKI ukł.wyk.'!E67:E76)</f>
        <v>70054</v>
      </c>
      <c r="E27" s="56">
        <f>SUM('WYDATKI ukł.wyk.'!F67:F76)</f>
        <v>4522</v>
      </c>
      <c r="F27" s="56">
        <f>SUM('WYDATKI ukł.wyk.'!G67:G76)</f>
        <v>74576</v>
      </c>
      <c r="G27" s="474">
        <f>F27/D27</f>
        <v>1.064550204128244</v>
      </c>
      <c r="H27" s="56">
        <f>SUM('WYDATKI ukł.wyk.'!G67:G75)</f>
        <v>74576</v>
      </c>
      <c r="I27" s="56">
        <f>'WYDATKI ukł.wyk.'!G69+'WYDATKI ukł.wyk.'!G67+'WYDATKI ukł.wyk.'!G68</f>
        <v>35000</v>
      </c>
      <c r="J27" s="55">
        <v>0</v>
      </c>
      <c r="K27" s="55">
        <v>0</v>
      </c>
      <c r="L27" s="55">
        <v>0</v>
      </c>
      <c r="M27" s="176">
        <f>'WYDATKI ukł.wyk.'!G76</f>
        <v>0</v>
      </c>
    </row>
    <row r="28" spans="1:13" s="38" customFormat="1" ht="12.75">
      <c r="A28" s="135"/>
      <c r="B28" s="264"/>
      <c r="C28" s="130"/>
      <c r="D28" s="130"/>
      <c r="E28" s="130"/>
      <c r="F28" s="130"/>
      <c r="G28" s="476"/>
      <c r="H28" s="130"/>
      <c r="I28" s="130"/>
      <c r="J28" s="130"/>
      <c r="K28" s="130"/>
      <c r="L28" s="130"/>
      <c r="M28" s="131"/>
    </row>
    <row r="29" spans="1:13" s="38" customFormat="1" ht="13.5" thickBot="1">
      <c r="A29" s="68">
        <v>710</v>
      </c>
      <c r="B29" s="62"/>
      <c r="C29" s="61" t="s">
        <v>98</v>
      </c>
      <c r="D29" s="66">
        <f>SUM(D30:D32)</f>
        <v>341042</v>
      </c>
      <c r="E29" s="66">
        <f>SUM(E30:E32)</f>
        <v>0</v>
      </c>
      <c r="F29" s="66">
        <f>SUM(F30:F32)</f>
        <v>341042</v>
      </c>
      <c r="G29" s="477">
        <f>F29/D29</f>
        <v>1</v>
      </c>
      <c r="H29" s="66">
        <f aca="true" t="shared" si="5" ref="H29:M29">SUM(H30:H32)</f>
        <v>341042</v>
      </c>
      <c r="I29" s="66">
        <f t="shared" si="5"/>
        <v>231374</v>
      </c>
      <c r="J29" s="66">
        <f t="shared" si="5"/>
        <v>0</v>
      </c>
      <c r="K29" s="66">
        <f t="shared" si="5"/>
        <v>0</v>
      </c>
      <c r="L29" s="66">
        <f t="shared" si="5"/>
        <v>0</v>
      </c>
      <c r="M29" s="175">
        <f t="shared" si="5"/>
        <v>0</v>
      </c>
    </row>
    <row r="30" spans="1:13" s="38" customFormat="1" ht="25.5">
      <c r="A30" s="265"/>
      <c r="B30" s="110">
        <v>71013</v>
      </c>
      <c r="C30" s="136" t="s">
        <v>99</v>
      </c>
      <c r="D30" s="56">
        <f>SUM('WYDATKI ukł.wyk.'!E80:E81)</f>
        <v>40000</v>
      </c>
      <c r="E30" s="56">
        <f>SUM('WYDATKI ukł.wyk.'!F80:F81)</f>
        <v>0</v>
      </c>
      <c r="F30" s="56">
        <f>SUM('WYDATKI ukł.wyk.'!G80:G81)</f>
        <v>40000</v>
      </c>
      <c r="G30" s="474">
        <f>F30/D30</f>
        <v>1</v>
      </c>
      <c r="H30" s="56">
        <f>SUM('WYDATKI ukł.wyk.'!G80:G81)</f>
        <v>40000</v>
      </c>
      <c r="I30" s="55">
        <v>0</v>
      </c>
      <c r="J30" s="55">
        <v>0</v>
      </c>
      <c r="K30" s="55">
        <v>0</v>
      </c>
      <c r="L30" s="55">
        <v>0</v>
      </c>
      <c r="M30" s="172">
        <v>0</v>
      </c>
    </row>
    <row r="31" spans="1:13" s="38" customFormat="1" ht="12.75">
      <c r="A31" s="135"/>
      <c r="B31" s="69">
        <v>71014</v>
      </c>
      <c r="C31" s="133" t="s">
        <v>100</v>
      </c>
      <c r="D31" s="128">
        <f>SUM('WYDATKI ukł.wyk.'!E84)</f>
        <v>14000</v>
      </c>
      <c r="E31" s="128">
        <f>SUM('WYDATKI ukł.wyk.'!F84)</f>
        <v>0</v>
      </c>
      <c r="F31" s="128">
        <f>SUM('WYDATKI ukł.wyk.'!G84)</f>
        <v>14000</v>
      </c>
      <c r="G31" s="479">
        <f>F31/D31</f>
        <v>1</v>
      </c>
      <c r="H31" s="128">
        <f>SUM('WYDATKI ukł.wyk.'!G84)</f>
        <v>14000</v>
      </c>
      <c r="I31" s="70">
        <v>0</v>
      </c>
      <c r="J31" s="70">
        <v>0</v>
      </c>
      <c r="K31" s="70">
        <v>0</v>
      </c>
      <c r="L31" s="70">
        <v>0</v>
      </c>
      <c r="M31" s="174">
        <v>0</v>
      </c>
    </row>
    <row r="32" spans="1:13" s="38" customFormat="1" ht="12.75">
      <c r="A32" s="135"/>
      <c r="B32" s="69">
        <v>71015</v>
      </c>
      <c r="C32" s="53" t="s">
        <v>101</v>
      </c>
      <c r="D32" s="60">
        <f>SUM('WYDATKI ukł.wyk.'!E87:E107)</f>
        <v>287042</v>
      </c>
      <c r="E32" s="60">
        <f>SUM('WYDATKI ukł.wyk.'!F87:F107)</f>
        <v>0</v>
      </c>
      <c r="F32" s="60">
        <f>SUM('WYDATKI ukł.wyk.'!G87:G107)</f>
        <v>287042</v>
      </c>
      <c r="G32" s="475">
        <f>F32/D32</f>
        <v>1</v>
      </c>
      <c r="H32" s="60">
        <f>SUM('WYDATKI ukł.wyk.'!G87:G107)</f>
        <v>287042</v>
      </c>
      <c r="I32" s="60">
        <f>'WYDATKI ukł.wyk.'!G87+'WYDATKI ukł.wyk.'!G89+'WYDATKI ukł.wyk.'!G90+'WYDATKI ukł.wyk.'!G91+'WYDATKI ukł.wyk.'!G92+'WYDATKI ukł.wyk.'!G88</f>
        <v>231374</v>
      </c>
      <c r="J32" s="58">
        <v>0</v>
      </c>
      <c r="K32" s="58">
        <v>0</v>
      </c>
      <c r="L32" s="58">
        <v>0</v>
      </c>
      <c r="M32" s="177">
        <v>0</v>
      </c>
    </row>
    <row r="33" spans="1:13" s="38" customFormat="1" ht="12.75">
      <c r="A33" s="135"/>
      <c r="B33" s="266"/>
      <c r="C33" s="70"/>
      <c r="D33" s="70"/>
      <c r="E33" s="70"/>
      <c r="F33" s="70"/>
      <c r="G33" s="476"/>
      <c r="H33" s="70"/>
      <c r="I33" s="70"/>
      <c r="J33" s="70"/>
      <c r="K33" s="70"/>
      <c r="L33" s="70"/>
      <c r="M33" s="174"/>
    </row>
    <row r="34" spans="1:20" s="38" customFormat="1" ht="13.5" thickBot="1">
      <c r="A34" s="68">
        <v>750</v>
      </c>
      <c r="B34" s="267"/>
      <c r="C34" s="61" t="s">
        <v>104</v>
      </c>
      <c r="D34" s="268">
        <f>SUM(D35:D39)</f>
        <v>4568504</v>
      </c>
      <c r="E34" s="268">
        <f>SUM(E35:E39)</f>
        <v>0</v>
      </c>
      <c r="F34" s="268">
        <f>SUM(F35:F39)</f>
        <v>4568504</v>
      </c>
      <c r="G34" s="480">
        <f aca="true" t="shared" si="6" ref="G34:G39">F34/D34</f>
        <v>1</v>
      </c>
      <c r="H34" s="268">
        <f aca="true" t="shared" si="7" ref="H34:M34">SUM(H35:H39)</f>
        <v>4413404</v>
      </c>
      <c r="I34" s="268">
        <f t="shared" si="7"/>
        <v>2973343</v>
      </c>
      <c r="J34" s="268">
        <f t="shared" si="7"/>
        <v>0</v>
      </c>
      <c r="K34" s="268">
        <f t="shared" si="7"/>
        <v>0</v>
      </c>
      <c r="L34" s="268">
        <f t="shared" si="7"/>
        <v>0</v>
      </c>
      <c r="M34" s="269">
        <f t="shared" si="7"/>
        <v>155100</v>
      </c>
      <c r="N34"/>
      <c r="O34"/>
      <c r="P34"/>
      <c r="Q34"/>
      <c r="R34"/>
      <c r="S34"/>
      <c r="T34"/>
    </row>
    <row r="35" spans="1:13" s="38" customFormat="1" ht="12.75">
      <c r="A35" s="265"/>
      <c r="B35" s="110">
        <v>75011</v>
      </c>
      <c r="C35" s="64" t="s">
        <v>105</v>
      </c>
      <c r="D35" s="56">
        <f>SUM('WYDATKI ukł.wyk.'!E111:E128)</f>
        <v>261731</v>
      </c>
      <c r="E35" s="56">
        <f>SUM('WYDATKI ukł.wyk.'!F111:F128)</f>
        <v>0</v>
      </c>
      <c r="F35" s="56">
        <f>SUM('WYDATKI ukł.wyk.'!G111:G128)</f>
        <v>261731</v>
      </c>
      <c r="G35" s="481">
        <f t="shared" si="6"/>
        <v>1</v>
      </c>
      <c r="H35" s="56">
        <f>SUM('WYDATKI ukł.wyk.'!G111:G128)</f>
        <v>261731</v>
      </c>
      <c r="I35" s="56">
        <f>'WYDATKI ukł.wyk.'!G112+'WYDATKI ukł.wyk.'!G113+'WYDATKI ukł.wyk.'!G114+'WYDATKI ukł.wyk.'!G115+'WYDATKI ukł.wyk.'!G116</f>
        <v>229059</v>
      </c>
      <c r="J35" s="55">
        <v>0</v>
      </c>
      <c r="K35" s="55">
        <v>0</v>
      </c>
      <c r="L35" s="55">
        <v>0</v>
      </c>
      <c r="M35" s="172">
        <v>0</v>
      </c>
    </row>
    <row r="36" spans="1:13" s="38" customFormat="1" ht="12.75">
      <c r="A36" s="135"/>
      <c r="B36" s="69">
        <v>75019</v>
      </c>
      <c r="C36" s="53" t="s">
        <v>108</v>
      </c>
      <c r="D36" s="65">
        <f>SUM('WYDATKI ukł.wyk.'!E131:E137)</f>
        <v>263000</v>
      </c>
      <c r="E36" s="65">
        <f>SUM('WYDATKI ukł.wyk.'!F131:F137)</f>
        <v>0</v>
      </c>
      <c r="F36" s="65">
        <f>SUM('WYDATKI ukł.wyk.'!G131:G137)</f>
        <v>263000</v>
      </c>
      <c r="G36" s="65">
        <f>SUM('WYDATKI ukł.wyk.'!G131:G137)</f>
        <v>263000</v>
      </c>
      <c r="H36" s="65">
        <f>SUM('WYDATKI ukł.wyk.'!G131:G137)</f>
        <v>263000</v>
      </c>
      <c r="I36" s="71">
        <v>0</v>
      </c>
      <c r="J36" s="71">
        <v>0</v>
      </c>
      <c r="K36" s="71">
        <v>0</v>
      </c>
      <c r="L36" s="71">
        <v>0</v>
      </c>
      <c r="M36" s="178"/>
    </row>
    <row r="37" spans="1:13" s="38" customFormat="1" ht="12.75">
      <c r="A37" s="135"/>
      <c r="B37" s="69">
        <v>75020</v>
      </c>
      <c r="C37" s="53" t="s">
        <v>111</v>
      </c>
      <c r="D37" s="65">
        <f>SUM('WYDATKI ukł.wyk.'!E140:E163)</f>
        <v>3993273</v>
      </c>
      <c r="E37" s="65">
        <f>SUM('WYDATKI ukł.wyk.'!F140:F163)</f>
        <v>0</v>
      </c>
      <c r="F37" s="65">
        <f>SUM('WYDATKI ukł.wyk.'!G140:G163)</f>
        <v>3993273</v>
      </c>
      <c r="G37" s="482">
        <f t="shared" si="6"/>
        <v>1</v>
      </c>
      <c r="H37" s="65">
        <f>SUM('WYDATKI ukł.wyk.'!G140:G161)</f>
        <v>3838173</v>
      </c>
      <c r="I37" s="65">
        <f>'WYDATKI ukł.wyk.'!G141+'WYDATKI ukł.wyk.'!G142+'WYDATKI ukł.wyk.'!G143+'WYDATKI ukł.wyk.'!G144+'WYDATKI ukł.wyk.'!G145</f>
        <v>2717664</v>
      </c>
      <c r="J37" s="71">
        <v>0</v>
      </c>
      <c r="K37" s="71">
        <v>0</v>
      </c>
      <c r="L37" s="71">
        <v>0</v>
      </c>
      <c r="M37" s="179">
        <f>'WYDATKI ukł.wyk.'!G162+'WYDATKI ukł.wyk.'!G163</f>
        <v>155100</v>
      </c>
    </row>
    <row r="38" spans="1:13" s="38" customFormat="1" ht="12.75">
      <c r="A38" s="135"/>
      <c r="B38" s="137">
        <v>75045</v>
      </c>
      <c r="C38" s="59" t="s">
        <v>115</v>
      </c>
      <c r="D38" s="60">
        <f>SUM('WYDATKI ukł.wyk.'!E166:E176)</f>
        <v>17000</v>
      </c>
      <c r="E38" s="60">
        <f>SUM('WYDATKI ukł.wyk.'!F166:F176)</f>
        <v>0</v>
      </c>
      <c r="F38" s="60">
        <f>SUM('WYDATKI ukł.wyk.'!G166:G176)</f>
        <v>17000</v>
      </c>
      <c r="G38" s="475">
        <f t="shared" si="6"/>
        <v>1</v>
      </c>
      <c r="H38" s="60">
        <f>SUM('WYDATKI ukł.wyk.'!G166:G176)</f>
        <v>17000</v>
      </c>
      <c r="I38" s="60">
        <f>'WYDATKI ukł.wyk.'!G167+'WYDATKI ukł.wyk.'!G168+'WYDATKI ukł.wyk.'!G169</f>
        <v>8620</v>
      </c>
      <c r="J38" s="58">
        <v>0</v>
      </c>
      <c r="K38" s="58">
        <v>0</v>
      </c>
      <c r="L38" s="58">
        <v>0</v>
      </c>
      <c r="M38" s="173">
        <v>0</v>
      </c>
    </row>
    <row r="39" spans="1:13" s="38" customFormat="1" ht="12.75">
      <c r="A39" s="135"/>
      <c r="B39" s="137">
        <v>75095</v>
      </c>
      <c r="C39" s="59" t="s">
        <v>44</v>
      </c>
      <c r="D39" s="60">
        <f>SUM('WYDATKI ukł.wyk.'!E179:E181)</f>
        <v>33500</v>
      </c>
      <c r="E39" s="60">
        <f>SUM('WYDATKI ukł.wyk.'!F179:F181)</f>
        <v>0</v>
      </c>
      <c r="F39" s="60">
        <f>SUM('WYDATKI ukł.wyk.'!G179:G181)</f>
        <v>33500</v>
      </c>
      <c r="G39" s="475">
        <f t="shared" si="6"/>
        <v>1</v>
      </c>
      <c r="H39" s="60">
        <f>SUM('WYDATKI ukł.wyk.'!G179:G181)</f>
        <v>33500</v>
      </c>
      <c r="I39" s="60">
        <f>'WYDATKI ukł.wyk.'!G179</f>
        <v>18000</v>
      </c>
      <c r="J39" s="58">
        <v>0</v>
      </c>
      <c r="K39" s="58">
        <v>0</v>
      </c>
      <c r="L39" s="58">
        <v>0</v>
      </c>
      <c r="M39" s="177">
        <v>0</v>
      </c>
    </row>
    <row r="40" spans="1:13" s="38" customFormat="1" ht="12.75">
      <c r="A40" s="135"/>
      <c r="B40" s="264"/>
      <c r="C40" s="130"/>
      <c r="D40" s="130"/>
      <c r="E40" s="130"/>
      <c r="F40" s="130"/>
      <c r="G40" s="476"/>
      <c r="H40" s="130"/>
      <c r="I40" s="130"/>
      <c r="J40" s="130"/>
      <c r="K40" s="130"/>
      <c r="L40" s="130"/>
      <c r="M40" s="131"/>
    </row>
    <row r="41" spans="1:13" s="38" customFormat="1" ht="26.25" thickBot="1">
      <c r="A41" s="68">
        <v>754</v>
      </c>
      <c r="B41" s="267"/>
      <c r="C41" s="164" t="s">
        <v>116</v>
      </c>
      <c r="D41" s="268">
        <f>SUM(D42:D43)</f>
        <v>7300</v>
      </c>
      <c r="E41" s="268">
        <f>SUM(E42:E43)</f>
        <v>0</v>
      </c>
      <c r="F41" s="268">
        <f>SUM(F42:F43)</f>
        <v>7300</v>
      </c>
      <c r="G41" s="268">
        <f aca="true" t="shared" si="8" ref="G41:M41">SUM(G42:G43)</f>
        <v>2</v>
      </c>
      <c r="H41" s="268">
        <f t="shared" si="8"/>
        <v>7300</v>
      </c>
      <c r="I41" s="268">
        <f t="shared" si="8"/>
        <v>2378</v>
      </c>
      <c r="J41" s="268">
        <f t="shared" si="8"/>
        <v>0</v>
      </c>
      <c r="K41" s="268">
        <f t="shared" si="8"/>
        <v>0</v>
      </c>
      <c r="L41" s="268">
        <f t="shared" si="8"/>
        <v>0</v>
      </c>
      <c r="M41" s="269">
        <f t="shared" si="8"/>
        <v>0</v>
      </c>
    </row>
    <row r="42" spans="1:13" s="38" customFormat="1" ht="12.75">
      <c r="A42" s="265"/>
      <c r="B42" s="110">
        <v>75421</v>
      </c>
      <c r="C42" s="64" t="s">
        <v>643</v>
      </c>
      <c r="D42" s="56">
        <f>SUM('WYDATKI ukł.wyk.'!E185:E189)</f>
        <v>2178</v>
      </c>
      <c r="E42" s="56">
        <f>SUM('WYDATKI ukł.wyk.'!F185:F189)</f>
        <v>0</v>
      </c>
      <c r="F42" s="56">
        <f>SUM('WYDATKI ukł.wyk.'!G185:G189)</f>
        <v>2178</v>
      </c>
      <c r="G42" s="474">
        <f>F42/D42</f>
        <v>1</v>
      </c>
      <c r="H42" s="56">
        <f>SUM('WYDATKI ukł.wyk.'!G185:G189)</f>
        <v>2178</v>
      </c>
      <c r="I42" s="56">
        <f>'WYDATKI ukł.wyk.'!G185+'WYDATKI ukł.wyk.'!G186+'WYDATKI ukł.wyk.'!G187</f>
        <v>1178</v>
      </c>
      <c r="J42" s="55">
        <v>0</v>
      </c>
      <c r="K42" s="55">
        <v>0</v>
      </c>
      <c r="L42" s="55">
        <v>0</v>
      </c>
      <c r="M42" s="176">
        <v>0</v>
      </c>
    </row>
    <row r="43" spans="1:13" s="38" customFormat="1" ht="12.75">
      <c r="A43" s="135"/>
      <c r="B43" s="69">
        <v>75495</v>
      </c>
      <c r="C43" s="53" t="s">
        <v>44</v>
      </c>
      <c r="D43" s="65">
        <f>SUM('WYDATKI ukł.wyk.'!E192:E195)</f>
        <v>5122</v>
      </c>
      <c r="E43" s="65">
        <f>SUM('WYDATKI ukł.wyk.'!F192:F195)</f>
        <v>0</v>
      </c>
      <c r="F43" s="65">
        <f>SUM('WYDATKI ukł.wyk.'!G192:G195)</f>
        <v>5122</v>
      </c>
      <c r="G43" s="475">
        <f>F43/D43</f>
        <v>1</v>
      </c>
      <c r="H43" s="65">
        <f>SUM('WYDATKI ukł.wyk.'!G192:G195)</f>
        <v>5122</v>
      </c>
      <c r="I43" s="65">
        <f>'WYDATKI ukł.wyk.'!G192</f>
        <v>1200</v>
      </c>
      <c r="J43" s="65">
        <v>0</v>
      </c>
      <c r="K43" s="71">
        <v>0</v>
      </c>
      <c r="L43" s="71">
        <v>0</v>
      </c>
      <c r="M43" s="178">
        <v>0</v>
      </c>
    </row>
    <row r="44" spans="1:13" s="38" customFormat="1" ht="12.75">
      <c r="A44" s="135"/>
      <c r="B44" s="266"/>
      <c r="C44" s="70"/>
      <c r="D44" s="70"/>
      <c r="E44" s="70"/>
      <c r="F44" s="70"/>
      <c r="G44" s="476"/>
      <c r="H44" s="70"/>
      <c r="I44" s="70"/>
      <c r="J44" s="70"/>
      <c r="K44" s="70"/>
      <c r="L44" s="70"/>
      <c r="M44" s="174"/>
    </row>
    <row r="45" spans="1:13" s="38" customFormat="1" ht="13.5" thickBot="1">
      <c r="A45" s="68">
        <v>757</v>
      </c>
      <c r="B45" s="62"/>
      <c r="C45" s="61" t="s">
        <v>117</v>
      </c>
      <c r="D45" s="66">
        <f>SUM(D46:D47)</f>
        <v>1331219</v>
      </c>
      <c r="E45" s="66">
        <f>SUM(E46:E47)</f>
        <v>-235164</v>
      </c>
      <c r="F45" s="66">
        <f>SUM(F46:F47)</f>
        <v>1096055</v>
      </c>
      <c r="G45" s="66">
        <f aca="true" t="shared" si="9" ref="G45:M45">SUM(G46:G47)</f>
        <v>0.8259286157660091</v>
      </c>
      <c r="H45" s="66">
        <f t="shared" si="9"/>
        <v>1096055</v>
      </c>
      <c r="I45" s="66">
        <f t="shared" si="9"/>
        <v>0</v>
      </c>
      <c r="J45" s="66">
        <f t="shared" si="9"/>
        <v>0</v>
      </c>
      <c r="K45" s="66">
        <f t="shared" si="9"/>
        <v>860891</v>
      </c>
      <c r="L45" s="66">
        <f t="shared" si="9"/>
        <v>235164</v>
      </c>
      <c r="M45" s="175">
        <f t="shared" si="9"/>
        <v>0</v>
      </c>
    </row>
    <row r="46" spans="1:13" s="38" customFormat="1" ht="25.5">
      <c r="A46" s="265"/>
      <c r="B46" s="69">
        <v>75702</v>
      </c>
      <c r="C46" s="165" t="s">
        <v>118</v>
      </c>
      <c r="D46" s="56">
        <f>SUM('WYDATKI ukł.wyk.'!E199)</f>
        <v>1042331</v>
      </c>
      <c r="E46" s="56">
        <f>SUM('WYDATKI ukł.wyk.'!F199)</f>
        <v>-181440</v>
      </c>
      <c r="F46" s="56">
        <f>SUM('WYDATKI ukł.wyk.'!G199)</f>
        <v>860891</v>
      </c>
      <c r="G46" s="474">
        <f>F46/D46</f>
        <v>0.8259286157660091</v>
      </c>
      <c r="H46" s="56">
        <f>SUM('WYDATKI ukł.wyk.'!G199)</f>
        <v>860891</v>
      </c>
      <c r="I46" s="55">
        <v>0</v>
      </c>
      <c r="J46" s="55">
        <v>0</v>
      </c>
      <c r="K46" s="56">
        <f>'WYDATKI ukł.wyk.'!G199</f>
        <v>860891</v>
      </c>
      <c r="L46" s="55">
        <v>0</v>
      </c>
      <c r="M46" s="172">
        <v>0</v>
      </c>
    </row>
    <row r="47" spans="1:13" s="38" customFormat="1" ht="12.75">
      <c r="A47" s="135"/>
      <c r="B47" s="99"/>
      <c r="C47" s="115" t="s">
        <v>646</v>
      </c>
      <c r="D47" s="128">
        <f>SUM('WYDATKI ukł.wyk.'!E203)</f>
        <v>288888</v>
      </c>
      <c r="E47" s="128">
        <f>SUM('WYDATKI ukł.wyk.'!F203)</f>
        <v>-53724</v>
      </c>
      <c r="F47" s="128">
        <f>SUM('WYDATKI ukł.wyk.'!G203)</f>
        <v>235164</v>
      </c>
      <c r="G47" s="479"/>
      <c r="H47" s="128">
        <f>SUM('WYDATKI ukł.wyk.'!G203)</f>
        <v>235164</v>
      </c>
      <c r="I47" s="70"/>
      <c r="J47" s="70"/>
      <c r="K47" s="128"/>
      <c r="L47" s="128">
        <f>'WYDATKI ukł.wyk.'!G203</f>
        <v>235164</v>
      </c>
      <c r="M47" s="174"/>
    </row>
    <row r="48" spans="1:13" s="38" customFormat="1" ht="12.75">
      <c r="A48" s="135"/>
      <c r="B48" s="99">
        <v>75704</v>
      </c>
      <c r="C48" s="119" t="s">
        <v>647</v>
      </c>
      <c r="D48" s="128"/>
      <c r="E48" s="128"/>
      <c r="F48" s="128"/>
      <c r="G48" s="479"/>
      <c r="H48" s="128"/>
      <c r="I48" s="70"/>
      <c r="J48" s="70"/>
      <c r="K48" s="128"/>
      <c r="L48" s="70"/>
      <c r="M48" s="174"/>
    </row>
    <row r="49" spans="1:13" s="38" customFormat="1" ht="12.75">
      <c r="A49" s="135"/>
      <c r="B49" s="264"/>
      <c r="C49" s="130"/>
      <c r="D49" s="130"/>
      <c r="E49" s="130"/>
      <c r="F49" s="130"/>
      <c r="G49" s="476"/>
      <c r="H49" s="130"/>
      <c r="I49" s="130"/>
      <c r="J49" s="130"/>
      <c r="K49" s="130"/>
      <c r="L49" s="130"/>
      <c r="M49" s="131"/>
    </row>
    <row r="50" spans="1:13" s="38" customFormat="1" ht="13.5" thickBot="1">
      <c r="A50" s="68">
        <v>758</v>
      </c>
      <c r="B50" s="62"/>
      <c r="C50" s="61" t="s">
        <v>120</v>
      </c>
      <c r="D50" s="66">
        <f>D51</f>
        <v>1760000</v>
      </c>
      <c r="E50" s="66">
        <f>E51</f>
        <v>0</v>
      </c>
      <c r="F50" s="66">
        <f>F51</f>
        <v>1760000</v>
      </c>
      <c r="G50" s="477">
        <f>F50/D50</f>
        <v>1</v>
      </c>
      <c r="H50" s="66">
        <f aca="true" t="shared" si="10" ref="H50:M50">H51</f>
        <v>1760000</v>
      </c>
      <c r="I50" s="66">
        <f t="shared" si="10"/>
        <v>0</v>
      </c>
      <c r="J50" s="66">
        <f t="shared" si="10"/>
        <v>0</v>
      </c>
      <c r="K50" s="66">
        <f t="shared" si="10"/>
        <v>0</v>
      </c>
      <c r="L50" s="66">
        <f t="shared" si="10"/>
        <v>0</v>
      </c>
      <c r="M50" s="175">
        <f t="shared" si="10"/>
        <v>0</v>
      </c>
    </row>
    <row r="51" spans="1:13" s="38" customFormat="1" ht="12.75">
      <c r="A51" s="265"/>
      <c r="B51" s="99">
        <v>75818</v>
      </c>
      <c r="C51" s="98" t="s">
        <v>121</v>
      </c>
      <c r="D51" s="128">
        <f>SUM('WYDATKI ukł.wyk.'!E208)</f>
        <v>1760000</v>
      </c>
      <c r="E51" s="128">
        <f>SUM('WYDATKI ukł.wyk.'!F208)</f>
        <v>0</v>
      </c>
      <c r="F51" s="128">
        <f>SUM('WYDATKI ukł.wyk.'!G208)</f>
        <v>1760000</v>
      </c>
      <c r="G51" s="479">
        <f>F51/D51</f>
        <v>1</v>
      </c>
      <c r="H51" s="128">
        <f>SUM('WYDATKI ukł.wyk.'!G208)</f>
        <v>1760000</v>
      </c>
      <c r="I51" s="70">
        <v>0</v>
      </c>
      <c r="J51" s="70">
        <v>0</v>
      </c>
      <c r="K51" s="70">
        <v>0</v>
      </c>
      <c r="L51" s="70">
        <v>0</v>
      </c>
      <c r="M51" s="174">
        <v>0</v>
      </c>
    </row>
    <row r="52" spans="1:13" s="38" customFormat="1" ht="12.75">
      <c r="A52" s="135"/>
      <c r="B52" s="264"/>
      <c r="C52" s="130"/>
      <c r="D52" s="130"/>
      <c r="E52" s="130"/>
      <c r="F52" s="130"/>
      <c r="G52" s="476"/>
      <c r="H52" s="130"/>
      <c r="I52" s="130"/>
      <c r="J52" s="130"/>
      <c r="K52" s="130"/>
      <c r="L52" s="130"/>
      <c r="M52" s="131"/>
    </row>
    <row r="53" spans="1:13" s="38" customFormat="1" ht="13.5" thickBot="1">
      <c r="A53" s="68">
        <v>801</v>
      </c>
      <c r="B53" s="62"/>
      <c r="C53" s="61" t="s">
        <v>123</v>
      </c>
      <c r="D53" s="66">
        <f>SUM(D54:D60)</f>
        <v>6928074</v>
      </c>
      <c r="E53" s="66">
        <f>SUM(E54:E60)</f>
        <v>24785</v>
      </c>
      <c r="F53" s="66">
        <f>SUM(F54:F60)</f>
        <v>6952859</v>
      </c>
      <c r="G53" s="477">
        <f aca="true" t="shared" si="11" ref="G53:G60">F53/D53</f>
        <v>1.0035774733353022</v>
      </c>
      <c r="H53" s="66">
        <f aca="true" t="shared" si="12" ref="H53:M53">SUM(H54:H60)</f>
        <v>6952859</v>
      </c>
      <c r="I53" s="66">
        <f t="shared" si="12"/>
        <v>5396500</v>
      </c>
      <c r="J53" s="66">
        <f t="shared" si="12"/>
        <v>128660</v>
      </c>
      <c r="K53" s="66">
        <f t="shared" si="12"/>
        <v>0</v>
      </c>
      <c r="L53" s="66">
        <f t="shared" si="12"/>
        <v>0</v>
      </c>
      <c r="M53" s="175">
        <f t="shared" si="12"/>
        <v>0</v>
      </c>
    </row>
    <row r="54" spans="1:13" s="38" customFormat="1" ht="12.75">
      <c r="A54" s="265"/>
      <c r="B54" s="69">
        <v>80101</v>
      </c>
      <c r="C54" s="53" t="s">
        <v>124</v>
      </c>
      <c r="D54" s="56">
        <f>SUM('WYDATKI ukł.wyk.'!E212:E224)</f>
        <v>63277</v>
      </c>
      <c r="E54" s="56">
        <f>SUM('WYDATKI ukł.wyk.'!F212:F224)</f>
        <v>0</v>
      </c>
      <c r="F54" s="56">
        <f>SUM('WYDATKI ukł.wyk.'!G212:G224)</f>
        <v>63277</v>
      </c>
      <c r="G54" s="474">
        <f t="shared" si="11"/>
        <v>1</v>
      </c>
      <c r="H54" s="56">
        <f>SUM('WYDATKI ukł.wyk.'!G212:G224)</f>
        <v>63277</v>
      </c>
      <c r="I54" s="56">
        <f>'WYDATKI ukł.wyk.'!G213+'WYDATKI ukł.wyk.'!G214+'WYDATKI ukł.wyk.'!G215+'WYDATKI ukł.wyk.'!G216</f>
        <v>48340</v>
      </c>
      <c r="J54" s="55">
        <v>0</v>
      </c>
      <c r="K54" s="55">
        <v>0</v>
      </c>
      <c r="L54" s="55">
        <v>0</v>
      </c>
      <c r="M54" s="172">
        <v>0</v>
      </c>
    </row>
    <row r="55" spans="1:13" s="38" customFormat="1" ht="12.75">
      <c r="A55" s="135"/>
      <c r="B55" s="137">
        <v>80110</v>
      </c>
      <c r="C55" s="59" t="s">
        <v>126</v>
      </c>
      <c r="D55" s="60">
        <f>SUM('WYDATKI ukł.wyk.'!E227:E243)</f>
        <v>425518</v>
      </c>
      <c r="E55" s="60">
        <f>SUM('WYDATKI ukł.wyk.'!F227:F243)</f>
        <v>-48</v>
      </c>
      <c r="F55" s="60">
        <f>SUM('WYDATKI ukł.wyk.'!G227:G243)</f>
        <v>425470</v>
      </c>
      <c r="G55" s="475">
        <f t="shared" si="11"/>
        <v>0.9998871963113194</v>
      </c>
      <c r="H55" s="60">
        <f>SUM('WYDATKI ukł.wyk.'!G227:G243)</f>
        <v>425470</v>
      </c>
      <c r="I55" s="60">
        <f>'WYDATKI ukł.wyk.'!G228+'WYDATKI ukł.wyk.'!G229+'WYDATKI ukł.wyk.'!G230+'WYDATKI ukł.wyk.'!G231</f>
        <v>336639</v>
      </c>
      <c r="J55" s="58">
        <v>0</v>
      </c>
      <c r="K55" s="58">
        <v>0</v>
      </c>
      <c r="L55" s="58">
        <v>0</v>
      </c>
      <c r="M55" s="173">
        <v>0</v>
      </c>
    </row>
    <row r="56" spans="1:13" s="38" customFormat="1" ht="12.75">
      <c r="A56" s="135"/>
      <c r="B56" s="166" t="s">
        <v>186</v>
      </c>
      <c r="C56" s="53" t="s">
        <v>128</v>
      </c>
      <c r="D56" s="65">
        <f>SUM('WYDATKI ukł.wyk.'!E246:E267)</f>
        <v>2319989</v>
      </c>
      <c r="E56" s="65">
        <f>SUM('WYDATKI ukł.wyk.'!F246:F267)</f>
        <v>8428</v>
      </c>
      <c r="F56" s="65">
        <f>SUM('WYDATKI ukł.wyk.'!G246:G267)</f>
        <v>2328417</v>
      </c>
      <c r="G56" s="482">
        <f t="shared" si="11"/>
        <v>1.0036327758450578</v>
      </c>
      <c r="H56" s="65">
        <f>SUM('WYDATKI ukł.wyk.'!G246:G267)</f>
        <v>2328417</v>
      </c>
      <c r="I56" s="65">
        <f>'WYDATKI ukł.wyk.'!G249+'WYDATKI ukł.wyk.'!G250+'WYDATKI ukł.wyk.'!G251+'WYDATKI ukł.wyk.'!G252+'WYDATKI ukł.wyk.'!G253</f>
        <v>1959077</v>
      </c>
      <c r="J56" s="65">
        <f>'WYDATKI ukł.wyk.'!G246</f>
        <v>110160</v>
      </c>
      <c r="K56" s="71">
        <v>0</v>
      </c>
      <c r="L56" s="71">
        <v>0</v>
      </c>
      <c r="M56" s="179">
        <f>0</f>
        <v>0</v>
      </c>
    </row>
    <row r="57" spans="1:13" s="38" customFormat="1" ht="12.75">
      <c r="A57" s="135"/>
      <c r="B57" s="167" t="s">
        <v>187</v>
      </c>
      <c r="C57" s="58" t="s">
        <v>129</v>
      </c>
      <c r="D57" s="60">
        <f>SUM('WYDATKI ukł.wyk.'!E270:E291)</f>
        <v>3909983</v>
      </c>
      <c r="E57" s="60">
        <f>SUM('WYDATKI ukł.wyk.'!F270:F291)</f>
        <v>16405</v>
      </c>
      <c r="F57" s="60">
        <f>SUM('WYDATKI ukł.wyk.'!G270:G291)</f>
        <v>3926388</v>
      </c>
      <c r="G57" s="475">
        <f t="shared" si="11"/>
        <v>1.0041956704159583</v>
      </c>
      <c r="H57" s="60">
        <f>SUM('WYDATKI ukł.wyk.'!G270:G291)</f>
        <v>3926388</v>
      </c>
      <c r="I57" s="60">
        <f>'WYDATKI ukł.wyk.'!G271+'WYDATKI ukł.wyk.'!G272+'WYDATKI ukł.wyk.'!G273+'WYDATKI ukł.wyk.'!G274+'WYDATKI ukł.wyk.'!G275</f>
        <v>3007269</v>
      </c>
      <c r="J57" s="58">
        <v>0</v>
      </c>
      <c r="K57" s="58">
        <v>0</v>
      </c>
      <c r="L57" s="58">
        <v>0</v>
      </c>
      <c r="M57" s="177">
        <v>0</v>
      </c>
    </row>
    <row r="58" spans="1:13" s="38" customFormat="1" ht="12.75">
      <c r="A58" s="135"/>
      <c r="B58" s="167" t="s">
        <v>188</v>
      </c>
      <c r="C58" s="168" t="s">
        <v>130</v>
      </c>
      <c r="D58" s="60">
        <f>SUM('WYDATKI ukł.wyk.'!E294)</f>
        <v>55000</v>
      </c>
      <c r="E58" s="60">
        <f>SUM('WYDATKI ukł.wyk.'!F294)</f>
        <v>0</v>
      </c>
      <c r="F58" s="60">
        <f>SUM('WYDATKI ukł.wyk.'!G294)</f>
        <v>55000</v>
      </c>
      <c r="G58" s="475">
        <f t="shared" si="11"/>
        <v>1</v>
      </c>
      <c r="H58" s="60">
        <f>SUM('WYDATKI ukł.wyk.'!G294)</f>
        <v>55000</v>
      </c>
      <c r="I58" s="60">
        <f>0</f>
        <v>0</v>
      </c>
      <c r="J58" s="58">
        <v>0</v>
      </c>
      <c r="K58" s="58">
        <v>0</v>
      </c>
      <c r="L58" s="58">
        <v>0</v>
      </c>
      <c r="M58" s="173">
        <v>0</v>
      </c>
    </row>
    <row r="59" spans="1:13" s="38" customFormat="1" ht="12.75">
      <c r="A59" s="135"/>
      <c r="B59" s="167" t="s">
        <v>189</v>
      </c>
      <c r="C59" s="59" t="s">
        <v>44</v>
      </c>
      <c r="D59" s="60">
        <f>SUM('WYDATKI ukł.wyk.'!E297:E302)</f>
        <v>131002</v>
      </c>
      <c r="E59" s="60">
        <f>SUM('WYDATKI ukł.wyk.'!F297:F302)</f>
        <v>0</v>
      </c>
      <c r="F59" s="60">
        <f>SUM('WYDATKI ukł.wyk.'!G297:G302)</f>
        <v>131002</v>
      </c>
      <c r="G59" s="475">
        <f t="shared" si="11"/>
        <v>1</v>
      </c>
      <c r="H59" s="60">
        <f>SUM('WYDATKI ukł.wyk.'!G297:G302)</f>
        <v>131002</v>
      </c>
      <c r="I59" s="60">
        <f>'WYDATKI ukł.wyk.'!G299+'WYDATKI ukł.wyk.'!G300+'WYDATKI ukł.wyk.'!G301</f>
        <v>45175</v>
      </c>
      <c r="J59" s="60">
        <f>'WYDATKI ukł.wyk.'!G297</f>
        <v>18500</v>
      </c>
      <c r="K59" s="58">
        <v>0</v>
      </c>
      <c r="L59" s="58">
        <v>0</v>
      </c>
      <c r="M59" s="173">
        <v>0</v>
      </c>
    </row>
    <row r="60" spans="1:13" s="38" customFormat="1" ht="12.75">
      <c r="A60" s="135"/>
      <c r="B60" s="167" t="s">
        <v>190</v>
      </c>
      <c r="C60" s="59" t="s">
        <v>375</v>
      </c>
      <c r="D60" s="60">
        <f>SUM('WYDATKI ukł.wyk.'!E305)</f>
        <v>23305</v>
      </c>
      <c r="E60" s="60">
        <f>SUM('WYDATKI ukł.wyk.'!F305)</f>
        <v>0</v>
      </c>
      <c r="F60" s="60">
        <f>SUM('WYDATKI ukł.wyk.'!G305)</f>
        <v>23305</v>
      </c>
      <c r="G60" s="475">
        <f t="shared" si="11"/>
        <v>1</v>
      </c>
      <c r="H60" s="60">
        <f>SUM('WYDATKI ukł.wyk.'!G305)</f>
        <v>23305</v>
      </c>
      <c r="I60" s="58">
        <v>0</v>
      </c>
      <c r="J60" s="58">
        <v>0</v>
      </c>
      <c r="K60" s="58">
        <v>0</v>
      </c>
      <c r="L60" s="58">
        <v>0</v>
      </c>
      <c r="M60" s="173">
        <v>0</v>
      </c>
    </row>
    <row r="61" spans="1:13" s="38" customFormat="1" ht="12.75">
      <c r="A61" s="135"/>
      <c r="B61" s="266"/>
      <c r="C61" s="70"/>
      <c r="D61" s="70"/>
      <c r="E61" s="70"/>
      <c r="F61" s="70"/>
      <c r="G61" s="476"/>
      <c r="H61" s="70"/>
      <c r="I61" s="70"/>
      <c r="J61" s="70"/>
      <c r="K61" s="70"/>
      <c r="L61" s="70"/>
      <c r="M61" s="174"/>
    </row>
    <row r="62" spans="1:13" s="38" customFormat="1" ht="13.5" thickBot="1">
      <c r="A62" s="270">
        <v>851</v>
      </c>
      <c r="B62" s="62"/>
      <c r="C62" s="271" t="s">
        <v>133</v>
      </c>
      <c r="D62" s="66">
        <f>SUM(D63:D65)</f>
        <v>108000</v>
      </c>
      <c r="E62" s="66">
        <f>SUM(E63:E65)</f>
        <v>0</v>
      </c>
      <c r="F62" s="66">
        <f>SUM(F63:F65)</f>
        <v>108000</v>
      </c>
      <c r="G62" s="66">
        <f aca="true" t="shared" si="13" ref="G62:M62">SUM(G63:G65)</f>
        <v>3</v>
      </c>
      <c r="H62" s="66">
        <f t="shared" si="13"/>
        <v>108000</v>
      </c>
      <c r="I62" s="66">
        <f t="shared" si="13"/>
        <v>5936</v>
      </c>
      <c r="J62" s="66">
        <f t="shared" si="13"/>
        <v>0</v>
      </c>
      <c r="K62" s="66">
        <f t="shared" si="13"/>
        <v>0</v>
      </c>
      <c r="L62" s="66">
        <f t="shared" si="13"/>
        <v>0</v>
      </c>
      <c r="M62" s="175">
        <f t="shared" si="13"/>
        <v>0</v>
      </c>
    </row>
    <row r="63" spans="1:13" s="38" customFormat="1" ht="12.75">
      <c r="A63" s="135"/>
      <c r="B63" s="69">
        <v>85149</v>
      </c>
      <c r="C63" s="119" t="s">
        <v>135</v>
      </c>
      <c r="D63" s="65">
        <f>SUM('WYDATKI ukł.wyk.'!E310)</f>
        <v>3000</v>
      </c>
      <c r="E63" s="65">
        <f>SUM('WYDATKI ukł.wyk.'!F310)</f>
        <v>0</v>
      </c>
      <c r="F63" s="65">
        <f>SUM('WYDATKI ukł.wyk.'!G310)</f>
        <v>3000</v>
      </c>
      <c r="G63" s="482">
        <f>F63/D63</f>
        <v>1</v>
      </c>
      <c r="H63" s="65">
        <f>SUM('WYDATKI ukł.wyk.'!G310)</f>
        <v>3000</v>
      </c>
      <c r="I63" s="71">
        <v>0</v>
      </c>
      <c r="J63" s="71">
        <v>0</v>
      </c>
      <c r="K63" s="71">
        <v>0</v>
      </c>
      <c r="L63" s="71">
        <v>0</v>
      </c>
      <c r="M63" s="178">
        <v>0</v>
      </c>
    </row>
    <row r="64" spans="1:13" s="38" customFormat="1" ht="12.75">
      <c r="A64" s="135"/>
      <c r="B64" s="69">
        <v>85154</v>
      </c>
      <c r="C64" s="119" t="s">
        <v>262</v>
      </c>
      <c r="D64" s="65">
        <f>SUM('WYDATKI ukł.wyk.'!E313:E316)</f>
        <v>10000</v>
      </c>
      <c r="E64" s="65">
        <f>SUM('WYDATKI ukł.wyk.'!F313:F316)</f>
        <v>0</v>
      </c>
      <c r="F64" s="65">
        <f>SUM('WYDATKI ukł.wyk.'!G313:G316)</f>
        <v>10000</v>
      </c>
      <c r="G64" s="482">
        <f>F64/D64</f>
        <v>1</v>
      </c>
      <c r="H64" s="65">
        <f>SUM('WYDATKI ukł.wyk.'!G313:G316)</f>
        <v>10000</v>
      </c>
      <c r="I64" s="65">
        <f>'WYDATKI ukł.wyk.'!G313+'WYDATKI ukł.wyk.'!G314+'WYDATKI ukł.wyk.'!G315</f>
        <v>5936</v>
      </c>
      <c r="J64" s="71">
        <v>0</v>
      </c>
      <c r="K64" s="71">
        <v>0</v>
      </c>
      <c r="L64" s="71">
        <v>0</v>
      </c>
      <c r="M64" s="178"/>
    </row>
    <row r="65" spans="1:13" s="38" customFormat="1" ht="12.75">
      <c r="A65" s="135"/>
      <c r="B65" s="69">
        <v>85156</v>
      </c>
      <c r="C65" s="53" t="s">
        <v>136</v>
      </c>
      <c r="D65" s="65">
        <f>SUM('WYDATKI ukł.wyk.'!E320)</f>
        <v>95000</v>
      </c>
      <c r="E65" s="65">
        <f>SUM('WYDATKI ukł.wyk.'!F320)</f>
        <v>0</v>
      </c>
      <c r="F65" s="65">
        <f>SUM('WYDATKI ukł.wyk.'!G320)</f>
        <v>95000</v>
      </c>
      <c r="G65" s="482">
        <f>F65/D65</f>
        <v>1</v>
      </c>
      <c r="H65" s="65">
        <f>SUM('WYDATKI ukł.wyk.'!G320)</f>
        <v>95000</v>
      </c>
      <c r="I65" s="71">
        <v>0</v>
      </c>
      <c r="J65" s="71">
        <v>0</v>
      </c>
      <c r="K65" s="71">
        <v>0</v>
      </c>
      <c r="L65" s="71">
        <v>0</v>
      </c>
      <c r="M65" s="178">
        <v>0</v>
      </c>
    </row>
    <row r="66" spans="1:13" s="38" customFormat="1" ht="12.75">
      <c r="A66" s="135"/>
      <c r="B66" s="264"/>
      <c r="C66" s="130"/>
      <c r="D66" s="130"/>
      <c r="E66" s="130"/>
      <c r="F66" s="130"/>
      <c r="G66" s="476"/>
      <c r="H66" s="130"/>
      <c r="I66" s="130"/>
      <c r="J66" s="130"/>
      <c r="K66" s="130"/>
      <c r="L66" s="130"/>
      <c r="M66" s="131"/>
    </row>
    <row r="67" spans="1:13" s="38" customFormat="1" ht="13.5" thickBot="1">
      <c r="A67" s="270">
        <v>852</v>
      </c>
      <c r="B67" s="62"/>
      <c r="C67" s="271" t="s">
        <v>191</v>
      </c>
      <c r="D67" s="66">
        <f>SUM(D68:D73)</f>
        <v>9002681</v>
      </c>
      <c r="E67" s="66">
        <f>SUM(E68:E73)</f>
        <v>-4855</v>
      </c>
      <c r="F67" s="66">
        <f>SUM(F68:F73)</f>
        <v>8997826</v>
      </c>
      <c r="G67" s="66">
        <f aca="true" t="shared" si="14" ref="G67:M67">SUM(G68:G73)</f>
        <v>5.996091669398332</v>
      </c>
      <c r="H67" s="66">
        <f t="shared" si="14"/>
        <v>8691326</v>
      </c>
      <c r="I67" s="66">
        <f t="shared" si="14"/>
        <v>4382904</v>
      </c>
      <c r="J67" s="66">
        <f t="shared" si="14"/>
        <v>531564</v>
      </c>
      <c r="K67" s="66">
        <f t="shared" si="14"/>
        <v>0</v>
      </c>
      <c r="L67" s="66">
        <f t="shared" si="14"/>
        <v>0</v>
      </c>
      <c r="M67" s="175">
        <f t="shared" si="14"/>
        <v>306500</v>
      </c>
    </row>
    <row r="68" spans="1:13" s="38" customFormat="1" ht="12.75">
      <c r="A68" s="265"/>
      <c r="B68" s="69">
        <v>85201</v>
      </c>
      <c r="C68" s="53" t="s">
        <v>140</v>
      </c>
      <c r="D68" s="56">
        <f>SUM('WYDATKI ukł.wyk.'!E324:E348)</f>
        <v>2037385</v>
      </c>
      <c r="E68" s="56">
        <f>SUM('WYDATKI ukł.wyk.'!F324:F348)</f>
        <v>-10400</v>
      </c>
      <c r="F68" s="56">
        <f>SUM('WYDATKI ukł.wyk.'!G324:G348)</f>
        <v>2026985</v>
      </c>
      <c r="G68" s="474">
        <f aca="true" t="shared" si="15" ref="G68:G73">F68/D68</f>
        <v>0.9948954174100624</v>
      </c>
      <c r="H68" s="56">
        <f>SUM('WYDATKI ukł.wyk.'!G324:G347)</f>
        <v>1906985</v>
      </c>
      <c r="I68" s="56">
        <f>'WYDATKI ukł.wyk.'!G327+'WYDATKI ukł.wyk.'!G328+'WYDATKI ukł.wyk.'!G329+'WYDATKI ukł.wyk.'!G330+'WYDATKI ukł.wyk.'!G331</f>
        <v>891780</v>
      </c>
      <c r="J68" s="56">
        <f>'WYDATKI ukł.wyk.'!G324</f>
        <v>461472</v>
      </c>
      <c r="K68" s="55">
        <v>0</v>
      </c>
      <c r="L68" s="55">
        <v>0</v>
      </c>
      <c r="M68" s="176">
        <f>'WYDATKI ukł.wyk.'!G348</f>
        <v>120000</v>
      </c>
    </row>
    <row r="69" spans="1:13" s="38" customFormat="1" ht="12.75">
      <c r="A69" s="135"/>
      <c r="B69" s="49" t="s">
        <v>192</v>
      </c>
      <c r="C69" s="39" t="s">
        <v>193</v>
      </c>
      <c r="D69" s="65">
        <f>SUM('WYDATKI ukł.wyk.'!E351:E377)</f>
        <v>4635311</v>
      </c>
      <c r="E69" s="65">
        <f>SUM('WYDATKI ukł.wyk.'!F351:F377)</f>
        <v>5545</v>
      </c>
      <c r="F69" s="65">
        <f>SUM('WYDATKI ukł.wyk.'!G351:G377)</f>
        <v>4640856</v>
      </c>
      <c r="G69" s="482">
        <f t="shared" si="15"/>
        <v>1.00119625198827</v>
      </c>
      <c r="H69" s="65">
        <f>SUM('WYDATKI ukł.wyk.'!G351:G375)</f>
        <v>4454356</v>
      </c>
      <c r="I69" s="65">
        <f>'WYDATKI ukł.wyk.'!G352+'WYDATKI ukł.wyk.'!G353+'WYDATKI ukł.wyk.'!G354+'WYDATKI ukł.wyk.'!G355+'WYDATKI ukł.wyk.'!G356</f>
        <v>2805729</v>
      </c>
      <c r="J69" s="71">
        <v>0</v>
      </c>
      <c r="K69" s="71">
        <v>0</v>
      </c>
      <c r="L69" s="71">
        <v>0</v>
      </c>
      <c r="M69" s="179">
        <f>'WYDATKI ukł.wyk.'!G376+'WYDATKI ukł.wyk.'!G377</f>
        <v>186500</v>
      </c>
    </row>
    <row r="70" spans="1:13" s="38" customFormat="1" ht="12.75">
      <c r="A70" s="135"/>
      <c r="B70" s="167" t="s">
        <v>194</v>
      </c>
      <c r="C70" s="58" t="s">
        <v>146</v>
      </c>
      <c r="D70" s="60">
        <f>SUM('WYDATKI ukł.wyk.'!E380:E401)</f>
        <v>340000</v>
      </c>
      <c r="E70" s="60">
        <f>SUM('WYDATKI ukł.wyk.'!F380:F401)</f>
        <v>0</v>
      </c>
      <c r="F70" s="60">
        <f>SUM('WYDATKI ukł.wyk.'!G380:G401)</f>
        <v>340000</v>
      </c>
      <c r="G70" s="475">
        <f t="shared" si="15"/>
        <v>1</v>
      </c>
      <c r="H70" s="60">
        <f>SUM('WYDATKI ukł.wyk.'!G380:G401)</f>
        <v>340000</v>
      </c>
      <c r="I70" s="60">
        <f>'WYDATKI ukł.wyk.'!G381+'WYDATKI ukł.wyk.'!G382+'WYDATKI ukł.wyk.'!G383+'WYDATKI ukł.wyk.'!G384+'WYDATKI ukł.wyk.'!G385</f>
        <v>166881</v>
      </c>
      <c r="J70" s="58">
        <v>0</v>
      </c>
      <c r="K70" s="58">
        <v>0</v>
      </c>
      <c r="L70" s="58">
        <v>0</v>
      </c>
      <c r="M70" s="177"/>
    </row>
    <row r="71" spans="1:13" s="38" customFormat="1" ht="12.75">
      <c r="A71" s="135"/>
      <c r="B71" s="167" t="s">
        <v>195</v>
      </c>
      <c r="C71" s="58" t="s">
        <v>148</v>
      </c>
      <c r="D71" s="60">
        <f>SUM('WYDATKI ukł.wyk.'!E404:E409)</f>
        <v>1386733</v>
      </c>
      <c r="E71" s="60">
        <f>SUM('WYDATKI ukł.wyk.'!F404:F409)</f>
        <v>0</v>
      </c>
      <c r="F71" s="60">
        <f>SUM('WYDATKI ukł.wyk.'!G404:G409)</f>
        <v>1386733</v>
      </c>
      <c r="G71" s="475">
        <f t="shared" si="15"/>
        <v>1</v>
      </c>
      <c r="H71" s="60">
        <f>SUM('WYDATKI ukł.wyk.'!G404:G409)</f>
        <v>1386733</v>
      </c>
      <c r="I71" s="60">
        <f>'WYDATKI ukł.wyk.'!G406+'WYDATKI ukł.wyk.'!G407+'WYDATKI ukł.wyk.'!G408</f>
        <v>45737</v>
      </c>
      <c r="J71" s="60">
        <f>'WYDATKI ukł.wyk.'!G404</f>
        <v>70092</v>
      </c>
      <c r="K71" s="58">
        <v>0</v>
      </c>
      <c r="L71" s="58">
        <v>0</v>
      </c>
      <c r="M71" s="173">
        <v>0</v>
      </c>
    </row>
    <row r="72" spans="1:13" s="38" customFormat="1" ht="12.75">
      <c r="A72" s="135"/>
      <c r="B72" s="167" t="s">
        <v>196</v>
      </c>
      <c r="C72" s="58" t="s">
        <v>149</v>
      </c>
      <c r="D72" s="60">
        <f>SUM('WYDATKI ukł.wyk.'!E412:E432)</f>
        <v>593919</v>
      </c>
      <c r="E72" s="60">
        <f>SUM('WYDATKI ukł.wyk.'!F412:F432)</f>
        <v>0</v>
      </c>
      <c r="F72" s="60">
        <f>SUM('WYDATKI ukł.wyk.'!G412:G432)</f>
        <v>593919</v>
      </c>
      <c r="G72" s="475">
        <f t="shared" si="15"/>
        <v>1</v>
      </c>
      <c r="H72" s="60">
        <f>SUM('WYDATKI ukł.wyk.'!G412:G432)</f>
        <v>593919</v>
      </c>
      <c r="I72" s="60">
        <f>'WYDATKI ukł.wyk.'!G412+'WYDATKI ukł.wyk.'!G413+'WYDATKI ukł.wyk.'!G414+'WYDATKI ukł.wyk.'!G415+'WYDATKI ukł.wyk.'!G416</f>
        <v>472777</v>
      </c>
      <c r="J72" s="58">
        <v>0</v>
      </c>
      <c r="K72" s="58">
        <v>0</v>
      </c>
      <c r="L72" s="58">
        <v>0</v>
      </c>
      <c r="M72" s="177">
        <v>0</v>
      </c>
    </row>
    <row r="73" spans="1:13" s="38" customFormat="1" ht="25.5">
      <c r="A73" s="135"/>
      <c r="B73" s="167" t="s">
        <v>197</v>
      </c>
      <c r="C73" s="165" t="s">
        <v>150</v>
      </c>
      <c r="D73" s="60">
        <f>SUM('WYDATKI ukł.wyk.'!E435:E441)</f>
        <v>9333</v>
      </c>
      <c r="E73" s="60">
        <f>SUM('WYDATKI ukł.wyk.'!F435:F441)</f>
        <v>0</v>
      </c>
      <c r="F73" s="60">
        <f>SUM('WYDATKI ukł.wyk.'!G435:G441)</f>
        <v>9333</v>
      </c>
      <c r="G73" s="475">
        <f t="shared" si="15"/>
        <v>1</v>
      </c>
      <c r="H73" s="60">
        <f>SUM('WYDATKI ukł.wyk.'!G435:G441)</f>
        <v>9333</v>
      </c>
      <c r="I73" s="58">
        <v>0</v>
      </c>
      <c r="J73" s="58">
        <v>0</v>
      </c>
      <c r="K73" s="58">
        <v>0</v>
      </c>
      <c r="L73" s="58">
        <v>0</v>
      </c>
      <c r="M73" s="173">
        <v>0</v>
      </c>
    </row>
    <row r="74" spans="1:13" s="38" customFormat="1" ht="12.75">
      <c r="A74" s="135"/>
      <c r="B74" s="264"/>
      <c r="C74" s="130"/>
      <c r="D74" s="130"/>
      <c r="E74" s="130"/>
      <c r="F74" s="130"/>
      <c r="G74" s="476"/>
      <c r="H74" s="130"/>
      <c r="I74" s="130"/>
      <c r="J74" s="130"/>
      <c r="K74" s="130"/>
      <c r="L74" s="130"/>
      <c r="M74" s="131"/>
    </row>
    <row r="75" spans="1:13" s="38" customFormat="1" ht="26.25" thickBot="1">
      <c r="A75" s="270">
        <v>853</v>
      </c>
      <c r="B75" s="272"/>
      <c r="C75" s="164" t="s">
        <v>153</v>
      </c>
      <c r="D75" s="66">
        <f>SUM(D76:D78)</f>
        <v>1439160</v>
      </c>
      <c r="E75" s="66">
        <f>SUM(E76:E78)</f>
        <v>-35054</v>
      </c>
      <c r="F75" s="66">
        <f>SUM(F76:F78)</f>
        <v>1404106</v>
      </c>
      <c r="G75" s="66">
        <f aca="true" t="shared" si="16" ref="G75:M75">SUM(G76:G78)</f>
        <v>2</v>
      </c>
      <c r="H75" s="66">
        <f t="shared" si="16"/>
        <v>1404106</v>
      </c>
      <c r="I75" s="66">
        <f t="shared" si="16"/>
        <v>187757</v>
      </c>
      <c r="J75" s="66">
        <f t="shared" si="16"/>
        <v>848467</v>
      </c>
      <c r="K75" s="66">
        <f t="shared" si="16"/>
        <v>0</v>
      </c>
      <c r="L75" s="66">
        <f t="shared" si="16"/>
        <v>0</v>
      </c>
      <c r="M75" s="175">
        <f t="shared" si="16"/>
        <v>0</v>
      </c>
    </row>
    <row r="76" spans="1:13" s="38" customFormat="1" ht="25.5">
      <c r="A76" s="494"/>
      <c r="B76" s="707" t="s">
        <v>494</v>
      </c>
      <c r="C76" s="493" t="s">
        <v>491</v>
      </c>
      <c r="D76" s="708">
        <f>SUM('WYDATKI ukł.wyk.'!E445)</f>
        <v>245160</v>
      </c>
      <c r="E76" s="708">
        <f>SUM('WYDATKI ukł.wyk.'!F445)</f>
        <v>-35054</v>
      </c>
      <c r="F76" s="708">
        <f>SUM('WYDATKI ukł.wyk.'!G445)</f>
        <v>210106</v>
      </c>
      <c r="G76" s="495"/>
      <c r="H76" s="56">
        <f>SUM('WYDATKI ukł.wyk.'!G445)</f>
        <v>210106</v>
      </c>
      <c r="I76" s="56"/>
      <c r="J76" s="56">
        <f>'WYDATKI ukł.wyk.'!G445</f>
        <v>210106</v>
      </c>
      <c r="K76" s="56"/>
      <c r="L76" s="56"/>
      <c r="M76" s="176"/>
    </row>
    <row r="77" spans="1:13" s="38" customFormat="1" ht="25.5">
      <c r="A77" s="135"/>
      <c r="B77" s="69">
        <v>85321</v>
      </c>
      <c r="C77" s="133" t="s">
        <v>154</v>
      </c>
      <c r="D77" s="65">
        <f>SUM('WYDATKI ukł.wyk.'!E449:E468)</f>
        <v>381000</v>
      </c>
      <c r="E77" s="65">
        <f>SUM('WYDATKI ukł.wyk.'!F449:F468)</f>
        <v>0</v>
      </c>
      <c r="F77" s="65">
        <f>SUM('WYDATKI ukł.wyk.'!G449:G468)</f>
        <v>381000</v>
      </c>
      <c r="G77" s="479">
        <f>F77/D77</f>
        <v>1</v>
      </c>
      <c r="H77" s="65">
        <f>SUM('WYDATKI ukł.wyk.'!G449:G468)</f>
        <v>381000</v>
      </c>
      <c r="I77" s="65">
        <f>'WYDATKI ukł.wyk.'!G449+'WYDATKI ukł.wyk.'!G450+'WYDATKI ukł.wyk.'!G451+'WYDATKI ukł.wyk.'!G452+'WYDATKI ukł.wyk.'!G453</f>
        <v>187757</v>
      </c>
      <c r="J77" s="71">
        <v>0</v>
      </c>
      <c r="K77" s="71">
        <v>0</v>
      </c>
      <c r="L77" s="71">
        <v>0</v>
      </c>
      <c r="M77" s="178">
        <v>0</v>
      </c>
    </row>
    <row r="78" spans="1:13" s="38" customFormat="1" ht="12.75">
      <c r="A78" s="135"/>
      <c r="B78" s="69">
        <v>85333</v>
      </c>
      <c r="C78" s="53" t="s">
        <v>155</v>
      </c>
      <c r="D78" s="65">
        <f>SUM('WYDATKI ukł.wyk.'!E471:E472)</f>
        <v>813000</v>
      </c>
      <c r="E78" s="65">
        <f>SUM('WYDATKI ukł.wyk.'!F471:F472)</f>
        <v>0</v>
      </c>
      <c r="F78" s="65">
        <f>SUM('WYDATKI ukł.wyk.'!G471:G472)</f>
        <v>813000</v>
      </c>
      <c r="G78" s="475">
        <f>F78/D78</f>
        <v>1</v>
      </c>
      <c r="H78" s="65">
        <f>SUM('WYDATKI ukł.wyk.'!G471:G472)</f>
        <v>813000</v>
      </c>
      <c r="I78" s="71">
        <v>0</v>
      </c>
      <c r="J78" s="65">
        <f>'WYDATKI ukł.wyk.'!G471</f>
        <v>638361</v>
      </c>
      <c r="K78" s="71">
        <v>0</v>
      </c>
      <c r="L78" s="71">
        <v>0</v>
      </c>
      <c r="M78" s="178">
        <v>0</v>
      </c>
    </row>
    <row r="79" spans="1:13" s="38" customFormat="1" ht="12.75">
      <c r="A79" s="135"/>
      <c r="B79" s="264"/>
      <c r="C79" s="130"/>
      <c r="D79" s="130"/>
      <c r="E79" s="130"/>
      <c r="F79" s="130"/>
      <c r="G79" s="476"/>
      <c r="H79" s="130"/>
      <c r="I79" s="130"/>
      <c r="J79" s="130"/>
      <c r="K79" s="130"/>
      <c r="L79" s="130"/>
      <c r="M79" s="131"/>
    </row>
    <row r="80" spans="1:13" s="38" customFormat="1" ht="13.5" thickBot="1">
      <c r="A80" s="68">
        <v>854</v>
      </c>
      <c r="B80" s="62"/>
      <c r="C80" s="61" t="s">
        <v>156</v>
      </c>
      <c r="D80" s="66">
        <f>SUM(D81:D86)</f>
        <v>3162197</v>
      </c>
      <c r="E80" s="66">
        <f>SUM(E81:E86)</f>
        <v>115</v>
      </c>
      <c r="F80" s="66">
        <f>SUM(F81:F86)</f>
        <v>3162312</v>
      </c>
      <c r="G80" s="477">
        <f aca="true" t="shared" si="17" ref="G80:G86">F80/D80</f>
        <v>1.0000363671207075</v>
      </c>
      <c r="H80" s="66">
        <f aca="true" t="shared" si="18" ref="H80:M80">SUM(H81:H86)</f>
        <v>3162312</v>
      </c>
      <c r="I80" s="66">
        <f t="shared" si="18"/>
        <v>1990427</v>
      </c>
      <c r="J80" s="66">
        <f t="shared" si="18"/>
        <v>120000</v>
      </c>
      <c r="K80" s="66">
        <f t="shared" si="18"/>
        <v>0</v>
      </c>
      <c r="L80" s="66">
        <f t="shared" si="18"/>
        <v>0</v>
      </c>
      <c r="M80" s="175">
        <f t="shared" si="18"/>
        <v>0</v>
      </c>
    </row>
    <row r="81" spans="1:13" s="38" customFormat="1" ht="12.75">
      <c r="A81" s="265"/>
      <c r="B81" s="69">
        <v>85401</v>
      </c>
      <c r="C81" s="53" t="s">
        <v>157</v>
      </c>
      <c r="D81" s="56">
        <f>SUM('WYDATKI ukł.wyk.'!E476:E485)</f>
        <v>53790</v>
      </c>
      <c r="E81" s="56">
        <f>SUM('WYDATKI ukł.wyk.'!F476:F485)</f>
        <v>115</v>
      </c>
      <c r="F81" s="56">
        <f>SUM('WYDATKI ukł.wyk.'!G476:G485)</f>
        <v>53905</v>
      </c>
      <c r="G81" s="484">
        <f t="shared" si="17"/>
        <v>1.0021379438557352</v>
      </c>
      <c r="H81" s="56">
        <f>SUM('WYDATKI ukł.wyk.'!G476:G485)</f>
        <v>53905</v>
      </c>
      <c r="I81" s="56">
        <f>'WYDATKI ukł.wyk.'!G477+'WYDATKI ukł.wyk.'!G478+'WYDATKI ukł.wyk.'!G479+'WYDATKI ukł.wyk.'!G480</f>
        <v>46374</v>
      </c>
      <c r="J81" s="55">
        <v>0</v>
      </c>
      <c r="K81" s="55">
        <v>0</v>
      </c>
      <c r="L81" s="55">
        <v>0</v>
      </c>
      <c r="M81" s="172">
        <v>0</v>
      </c>
    </row>
    <row r="82" spans="1:13" s="38" customFormat="1" ht="25.5">
      <c r="A82" s="135"/>
      <c r="B82" s="69">
        <v>85406</v>
      </c>
      <c r="C82" s="133" t="s">
        <v>158</v>
      </c>
      <c r="D82" s="65">
        <f>SUM('WYDATKI ukł.wyk.'!E488:E508)</f>
        <v>630726</v>
      </c>
      <c r="E82" s="65">
        <f>SUM('WYDATKI ukł.wyk.'!F488:F508)</f>
        <v>0</v>
      </c>
      <c r="F82" s="65">
        <f>SUM('WYDATKI ukł.wyk.'!G488:G508)</f>
        <v>630726</v>
      </c>
      <c r="G82" s="475">
        <f t="shared" si="17"/>
        <v>1</v>
      </c>
      <c r="H82" s="65">
        <f>SUM('WYDATKI ukł.wyk.'!G488:G508)</f>
        <v>630726</v>
      </c>
      <c r="I82" s="65">
        <f>'WYDATKI ukł.wyk.'!G490+'WYDATKI ukł.wyk.'!G491+'WYDATKI ukł.wyk.'!G492+'WYDATKI ukł.wyk.'!G493</f>
        <v>444383</v>
      </c>
      <c r="J82" s="65">
        <f>'WYDATKI ukł.wyk.'!G488</f>
        <v>120000</v>
      </c>
      <c r="K82" s="71">
        <v>0</v>
      </c>
      <c r="L82" s="71">
        <v>0</v>
      </c>
      <c r="M82" s="179">
        <v>0</v>
      </c>
    </row>
    <row r="83" spans="1:13" s="38" customFormat="1" ht="12.75">
      <c r="A83" s="135"/>
      <c r="B83" s="69">
        <v>85410</v>
      </c>
      <c r="C83" s="77" t="s">
        <v>159</v>
      </c>
      <c r="D83" s="60">
        <f>SUM('WYDATKI ukł.wyk.'!E511:E524)</f>
        <v>250291</v>
      </c>
      <c r="E83" s="60">
        <f>SUM('WYDATKI ukł.wyk.'!F511:F524)</f>
        <v>0</v>
      </c>
      <c r="F83" s="60">
        <f>SUM('WYDATKI ukł.wyk.'!G511:G524)</f>
        <v>250291</v>
      </c>
      <c r="G83" s="482">
        <f t="shared" si="17"/>
        <v>1</v>
      </c>
      <c r="H83" s="60">
        <f>SUM('WYDATKI ukł.wyk.'!G511:G524)</f>
        <v>250291</v>
      </c>
      <c r="I83" s="60">
        <f>'WYDATKI ukł.wyk.'!G512+'WYDATKI ukł.wyk.'!G513+'WYDATKI ukł.wyk.'!G514+'WYDATKI ukł.wyk.'!G515</f>
        <v>117866</v>
      </c>
      <c r="J83" s="58">
        <v>0</v>
      </c>
      <c r="K83" s="58">
        <v>0</v>
      </c>
      <c r="L83" s="58">
        <v>0</v>
      </c>
      <c r="M83" s="177">
        <v>0</v>
      </c>
    </row>
    <row r="84" spans="1:13" s="38" customFormat="1" ht="12.75">
      <c r="A84" s="135"/>
      <c r="B84" s="69">
        <v>85415</v>
      </c>
      <c r="C84" s="53" t="s">
        <v>161</v>
      </c>
      <c r="D84" s="65">
        <f>SUM('WYDATKI ukł.wyk.'!E527)</f>
        <v>50000</v>
      </c>
      <c r="E84" s="65">
        <f>SUM('WYDATKI ukł.wyk.'!F527)</f>
        <v>0</v>
      </c>
      <c r="F84" s="65">
        <f>SUM('WYDATKI ukł.wyk.'!G527)</f>
        <v>50000</v>
      </c>
      <c r="G84" s="482">
        <f t="shared" si="17"/>
        <v>1</v>
      </c>
      <c r="H84" s="65">
        <f>SUM('WYDATKI ukł.wyk.'!G527)</f>
        <v>50000</v>
      </c>
      <c r="I84" s="65"/>
      <c r="J84" s="71">
        <v>0</v>
      </c>
      <c r="K84" s="71">
        <v>0</v>
      </c>
      <c r="L84" s="71">
        <v>0</v>
      </c>
      <c r="M84" s="173">
        <v>0</v>
      </c>
    </row>
    <row r="85" spans="1:13" s="38" customFormat="1" ht="12.75">
      <c r="A85" s="135"/>
      <c r="B85" s="137">
        <v>85420</v>
      </c>
      <c r="C85" s="59" t="s">
        <v>163</v>
      </c>
      <c r="D85" s="60">
        <f>SUM('WYDATKI ukł.wyk.'!E530:E555)</f>
        <v>2169247</v>
      </c>
      <c r="E85" s="60">
        <f>SUM('WYDATKI ukł.wyk.'!F530:F555)</f>
        <v>0</v>
      </c>
      <c r="F85" s="60">
        <f>SUM('WYDATKI ukł.wyk.'!G530:G555)</f>
        <v>2169247</v>
      </c>
      <c r="G85" s="475">
        <f t="shared" si="17"/>
        <v>1</v>
      </c>
      <c r="H85" s="60">
        <f>SUM('WYDATKI ukł.wyk.'!G530:G555)</f>
        <v>2169247</v>
      </c>
      <c r="I85" s="60">
        <f>'WYDATKI ukł.wyk.'!G532+'WYDATKI ukł.wyk.'!G533+'WYDATKI ukł.wyk.'!G534+'WYDATKI ukł.wyk.'!G535+'WYDATKI ukł.wyk.'!G536</f>
        <v>1381804</v>
      </c>
      <c r="J85" s="58">
        <v>0</v>
      </c>
      <c r="K85" s="58">
        <v>0</v>
      </c>
      <c r="L85" s="60">
        <v>0</v>
      </c>
      <c r="M85" s="173">
        <v>0</v>
      </c>
    </row>
    <row r="86" spans="1:13" s="38" customFormat="1" ht="12.75">
      <c r="A86" s="135"/>
      <c r="B86" s="137">
        <v>85495</v>
      </c>
      <c r="C86" s="59" t="s">
        <v>44</v>
      </c>
      <c r="D86" s="60">
        <f>SUM('WYDATKI ukł.wyk.'!E558)</f>
        <v>8143</v>
      </c>
      <c r="E86" s="60">
        <f>SUM('WYDATKI ukł.wyk.'!F558)</f>
        <v>0</v>
      </c>
      <c r="F86" s="60">
        <f>SUM('WYDATKI ukł.wyk.'!G558)</f>
        <v>8143</v>
      </c>
      <c r="G86" s="475">
        <f t="shared" si="17"/>
        <v>1</v>
      </c>
      <c r="H86" s="60">
        <f>SUM('WYDATKI ukł.wyk.'!G558)</f>
        <v>8143</v>
      </c>
      <c r="I86" s="58">
        <v>0</v>
      </c>
      <c r="J86" s="58">
        <v>0</v>
      </c>
      <c r="K86" s="58">
        <v>0</v>
      </c>
      <c r="L86" s="58">
        <v>0</v>
      </c>
      <c r="M86" s="173">
        <v>0</v>
      </c>
    </row>
    <row r="87" spans="1:13" s="38" customFormat="1" ht="12.75">
      <c r="A87" s="135"/>
      <c r="B87" s="264"/>
      <c r="C87" s="130"/>
      <c r="D87" s="130"/>
      <c r="E87" s="130"/>
      <c r="F87" s="130"/>
      <c r="G87" s="476"/>
      <c r="H87" s="130"/>
      <c r="I87" s="130"/>
      <c r="J87" s="130"/>
      <c r="K87" s="130"/>
      <c r="L87" s="130"/>
      <c r="M87" s="131"/>
    </row>
    <row r="88" spans="1:13" s="38" customFormat="1" ht="13.5" thickBot="1">
      <c r="A88" s="68">
        <v>921</v>
      </c>
      <c r="B88" s="62"/>
      <c r="C88" s="61" t="s">
        <v>164</v>
      </c>
      <c r="D88" s="66">
        <f>SUM(D89:D90)</f>
        <v>63000</v>
      </c>
      <c r="E88" s="66">
        <f>SUM(E89:E90)</f>
        <v>0</v>
      </c>
      <c r="F88" s="66">
        <f>SUM(F89:F90)</f>
        <v>63000</v>
      </c>
      <c r="G88" s="477">
        <f>F88/D88</f>
        <v>1</v>
      </c>
      <c r="H88" s="66">
        <f aca="true" t="shared" si="19" ref="H88:M88">SUM(H89:H90)</f>
        <v>63000</v>
      </c>
      <c r="I88" s="66">
        <f t="shared" si="19"/>
        <v>0</v>
      </c>
      <c r="J88" s="66">
        <f t="shared" si="19"/>
        <v>46000</v>
      </c>
      <c r="K88" s="66">
        <f t="shared" si="19"/>
        <v>0</v>
      </c>
      <c r="L88" s="66">
        <f t="shared" si="19"/>
        <v>0</v>
      </c>
      <c r="M88" s="175">
        <f t="shared" si="19"/>
        <v>0</v>
      </c>
    </row>
    <row r="89" spans="1:13" s="38" customFormat="1" ht="12.75">
      <c r="A89" s="265"/>
      <c r="B89" s="110">
        <v>92105</v>
      </c>
      <c r="C89" s="64" t="s">
        <v>165</v>
      </c>
      <c r="D89" s="56">
        <f>SUM('WYDATKI ukł.wyk.'!E562:E566)</f>
        <v>27000</v>
      </c>
      <c r="E89" s="56">
        <f>SUM('WYDATKI ukł.wyk.'!F562:F566)</f>
        <v>0</v>
      </c>
      <c r="F89" s="56">
        <f>SUM('WYDATKI ukł.wyk.'!G562:G566)</f>
        <v>27000</v>
      </c>
      <c r="G89" s="484">
        <f>F89/D89</f>
        <v>1</v>
      </c>
      <c r="H89" s="56">
        <f>SUM('WYDATKI ukł.wyk.'!G562:G566)</f>
        <v>27000</v>
      </c>
      <c r="I89" s="56"/>
      <c r="J89" s="56">
        <f>'WYDATKI ukł.wyk.'!G562</f>
        <v>10000</v>
      </c>
      <c r="K89" s="55">
        <v>0</v>
      </c>
      <c r="L89" s="55">
        <v>0</v>
      </c>
      <c r="M89" s="172">
        <v>0</v>
      </c>
    </row>
    <row r="90" spans="1:13" s="38" customFormat="1" ht="12.75">
      <c r="A90" s="135"/>
      <c r="B90" s="137">
        <v>92116</v>
      </c>
      <c r="C90" s="169" t="s">
        <v>166</v>
      </c>
      <c r="D90" s="60">
        <f>SUM('WYDATKI ukł.wyk.'!E569)</f>
        <v>36000</v>
      </c>
      <c r="E90" s="60">
        <f>SUM('WYDATKI ukł.wyk.'!F569)</f>
        <v>0</v>
      </c>
      <c r="F90" s="60">
        <f>SUM('WYDATKI ukł.wyk.'!G569)</f>
        <v>36000</v>
      </c>
      <c r="G90" s="475">
        <f>F90/D90</f>
        <v>1</v>
      </c>
      <c r="H90" s="60">
        <f>SUM('WYDATKI ukł.wyk.'!G569)</f>
        <v>36000</v>
      </c>
      <c r="I90" s="58">
        <v>0</v>
      </c>
      <c r="J90" s="60">
        <f>'WYDATKI ukł.wyk.'!G569</f>
        <v>36000</v>
      </c>
      <c r="K90" s="58">
        <v>0</v>
      </c>
      <c r="L90" s="58">
        <v>0</v>
      </c>
      <c r="M90" s="173"/>
    </row>
    <row r="91" spans="1:13" s="38" customFormat="1" ht="12.75">
      <c r="A91" s="135"/>
      <c r="B91" s="264"/>
      <c r="C91" s="130"/>
      <c r="D91" s="130"/>
      <c r="E91" s="130"/>
      <c r="F91" s="130"/>
      <c r="G91" s="476"/>
      <c r="H91" s="130"/>
      <c r="I91" s="130"/>
      <c r="J91" s="130"/>
      <c r="K91" s="130"/>
      <c r="L91" s="130"/>
      <c r="M91" s="131"/>
    </row>
    <row r="92" spans="1:13" s="38" customFormat="1" ht="13.5" thickBot="1">
      <c r="A92" s="68">
        <v>926</v>
      </c>
      <c r="B92" s="267"/>
      <c r="C92" s="61" t="s">
        <v>167</v>
      </c>
      <c r="D92" s="268">
        <f>D93</f>
        <v>100000</v>
      </c>
      <c r="E92" s="268">
        <f>E93</f>
        <v>0</v>
      </c>
      <c r="F92" s="268">
        <f>F93</f>
        <v>100000</v>
      </c>
      <c r="G92" s="480">
        <f>F92/D92</f>
        <v>1</v>
      </c>
      <c r="H92" s="268">
        <f aca="true" t="shared" si="20" ref="H92:M92">H93</f>
        <v>100000</v>
      </c>
      <c r="I92" s="268">
        <f t="shared" si="20"/>
        <v>0</v>
      </c>
      <c r="J92" s="268">
        <f t="shared" si="20"/>
        <v>70000</v>
      </c>
      <c r="K92" s="268">
        <f t="shared" si="20"/>
        <v>0</v>
      </c>
      <c r="L92" s="268">
        <f t="shared" si="20"/>
        <v>0</v>
      </c>
      <c r="M92" s="269">
        <f t="shared" si="20"/>
        <v>0</v>
      </c>
    </row>
    <row r="93" spans="1:13" s="38" customFormat="1" ht="25.5">
      <c r="A93" s="134"/>
      <c r="B93" s="110">
        <v>92605</v>
      </c>
      <c r="C93" s="136" t="s">
        <v>168</v>
      </c>
      <c r="D93" s="56">
        <f>SUM('WYDATKI ukł.wyk.'!E573:E577)</f>
        <v>100000</v>
      </c>
      <c r="E93" s="56">
        <f>SUM('WYDATKI ukł.wyk.'!F573:F577)</f>
        <v>0</v>
      </c>
      <c r="F93" s="56">
        <f>SUM('WYDATKI ukł.wyk.'!G573:G577)</f>
        <v>100000</v>
      </c>
      <c r="G93" s="474">
        <f>F93/D93</f>
        <v>1</v>
      </c>
      <c r="H93" s="56">
        <f>SUM('WYDATKI ukł.wyk.'!G573:G577)</f>
        <v>100000</v>
      </c>
      <c r="I93" s="55">
        <v>0</v>
      </c>
      <c r="J93" s="56">
        <f>'WYDATKI ukł.wyk.'!G573</f>
        <v>70000</v>
      </c>
      <c r="K93" s="55">
        <v>0</v>
      </c>
      <c r="L93" s="55">
        <v>0</v>
      </c>
      <c r="M93" s="172"/>
    </row>
    <row r="94" spans="1:13" s="40" customFormat="1" ht="24.75" customHeight="1" thickBot="1">
      <c r="A94" s="806" t="s">
        <v>433</v>
      </c>
      <c r="B94" s="807"/>
      <c r="C94" s="808"/>
      <c r="D94" s="180">
        <f>D92+D88+D80+D75+D67+D62+D53+D50+D45+D41+D34+D29+D26+D23+D20+D16+D12</f>
        <v>32957823</v>
      </c>
      <c r="E94" s="180">
        <f>E92+E88+E80+E75+E67+E62+E53+E50+E45+E41+E34+E29+E26+E23+E20+E16+E12</f>
        <v>-245651</v>
      </c>
      <c r="F94" s="180">
        <f>F92+F88+F80+F75+F67+F62+F53+F50+F45+F41+F34+F29+F26+F23+F20+F16+F12</f>
        <v>32712172</v>
      </c>
      <c r="G94" s="180">
        <f aca="true" t="shared" si="21" ref="G94:M94">G92+G88+G80+G75+G67+G62+G53+G50+G45+G41+G34+G29+G26+G23+G20+G16+G12</f>
        <v>25.890184329748596</v>
      </c>
      <c r="H94" s="180">
        <f t="shared" si="21"/>
        <v>31326572</v>
      </c>
      <c r="I94" s="180">
        <f t="shared" si="21"/>
        <v>16508419</v>
      </c>
      <c r="J94" s="180">
        <f t="shared" si="21"/>
        <v>1754114</v>
      </c>
      <c r="K94" s="180">
        <f t="shared" si="21"/>
        <v>860891</v>
      </c>
      <c r="L94" s="180">
        <f t="shared" si="21"/>
        <v>235164</v>
      </c>
      <c r="M94" s="498">
        <f t="shared" si="21"/>
        <v>1385600</v>
      </c>
    </row>
    <row r="95" spans="1:13" ht="12.75" hidden="1">
      <c r="A95" s="794" t="s">
        <v>449</v>
      </c>
      <c r="B95" s="795"/>
      <c r="C95" s="795"/>
      <c r="D95" s="795"/>
      <c r="E95" s="795"/>
      <c r="F95" s="795"/>
      <c r="G95" s="795"/>
      <c r="H95" s="461">
        <v>30694632</v>
      </c>
      <c r="I95" s="461">
        <v>13220156</v>
      </c>
      <c r="J95" s="461">
        <v>1520438</v>
      </c>
      <c r="K95" s="461">
        <v>759397</v>
      </c>
      <c r="L95" s="461">
        <v>0</v>
      </c>
      <c r="M95" s="462">
        <v>1385305</v>
      </c>
    </row>
    <row r="96" spans="1:13" ht="12.75" hidden="1">
      <c r="A96" s="796" t="s">
        <v>439</v>
      </c>
      <c r="B96" s="797"/>
      <c r="C96" s="797"/>
      <c r="D96" s="797"/>
      <c r="E96" s="797"/>
      <c r="F96" s="797"/>
      <c r="G96" s="797"/>
      <c r="H96" s="139">
        <f aca="true" t="shared" si="22" ref="H96:M96">H94-H95</f>
        <v>631940</v>
      </c>
      <c r="I96" s="139">
        <f t="shared" si="22"/>
        <v>3288263</v>
      </c>
      <c r="J96" s="139">
        <f t="shared" si="22"/>
        <v>233676</v>
      </c>
      <c r="K96" s="139">
        <f t="shared" si="22"/>
        <v>101494</v>
      </c>
      <c r="L96" s="139">
        <f t="shared" si="22"/>
        <v>235164</v>
      </c>
      <c r="M96" s="458">
        <f t="shared" si="22"/>
        <v>295</v>
      </c>
    </row>
    <row r="97" spans="1:13" ht="13.5" hidden="1" thickBot="1">
      <c r="A97" s="798" t="s">
        <v>448</v>
      </c>
      <c r="B97" s="799"/>
      <c r="C97" s="799"/>
      <c r="D97" s="799"/>
      <c r="E97" s="799"/>
      <c r="F97" s="799"/>
      <c r="G97" s="799"/>
      <c r="H97" s="459">
        <f aca="true" t="shared" si="23" ref="H97:M97">H95+H96</f>
        <v>31326572</v>
      </c>
      <c r="I97" s="459">
        <f t="shared" si="23"/>
        <v>16508419</v>
      </c>
      <c r="J97" s="459">
        <f t="shared" si="23"/>
        <v>1754114</v>
      </c>
      <c r="K97" s="459">
        <f t="shared" si="23"/>
        <v>860891</v>
      </c>
      <c r="L97" s="459">
        <f t="shared" si="23"/>
        <v>235164</v>
      </c>
      <c r="M97" s="460">
        <f t="shared" si="23"/>
        <v>1385600</v>
      </c>
    </row>
    <row r="98" spans="1:13" ht="12.75">
      <c r="A98" s="915" t="s">
        <v>668</v>
      </c>
      <c r="B98" s="913"/>
      <c r="C98" s="906"/>
      <c r="D98" s="905"/>
      <c r="E98" s="905"/>
      <c r="F98" s="905"/>
      <c r="G98" s="908"/>
      <c r="H98" s="911">
        <v>31533623</v>
      </c>
      <c r="I98" s="911">
        <v>16390150</v>
      </c>
      <c r="J98" s="911">
        <v>1769168</v>
      </c>
      <c r="K98" s="911">
        <v>1042331</v>
      </c>
      <c r="L98" s="911">
        <v>288888</v>
      </c>
      <c r="M98" s="912">
        <v>1424200</v>
      </c>
    </row>
    <row r="99" spans="1:13" ht="12.75">
      <c r="A99" s="916" t="s">
        <v>439</v>
      </c>
      <c r="B99" s="914"/>
      <c r="C99" s="4"/>
      <c r="D99" s="4"/>
      <c r="E99" s="4"/>
      <c r="F99" s="4"/>
      <c r="G99" s="909"/>
      <c r="H99" s="139">
        <f>H100-H98</f>
        <v>-207051</v>
      </c>
      <c r="I99" s="139">
        <f>I100-I98</f>
        <v>118269</v>
      </c>
      <c r="J99" s="139">
        <f>J100-J98</f>
        <v>-15054</v>
      </c>
      <c r="K99" s="139">
        <f>K100-K98</f>
        <v>-181440</v>
      </c>
      <c r="L99" s="139">
        <f>L100-L98</f>
        <v>-53724</v>
      </c>
      <c r="M99" s="139">
        <f>M100-M98</f>
        <v>-38600</v>
      </c>
    </row>
    <row r="100" spans="1:13" ht="13.5" thickBot="1">
      <c r="A100" s="917" t="s">
        <v>448</v>
      </c>
      <c r="B100" s="918"/>
      <c r="C100" s="907"/>
      <c r="D100" s="744"/>
      <c r="E100" s="744"/>
      <c r="F100" s="744"/>
      <c r="G100" s="910"/>
      <c r="H100" s="532">
        <f>H94</f>
        <v>31326572</v>
      </c>
      <c r="I100" s="532">
        <f>I94</f>
        <v>16508419</v>
      </c>
      <c r="J100" s="532">
        <f>J94</f>
        <v>1754114</v>
      </c>
      <c r="K100" s="532">
        <f>K94</f>
        <v>860891</v>
      </c>
      <c r="L100" s="532">
        <f>L94</f>
        <v>235164</v>
      </c>
      <c r="M100" s="532">
        <f>M94</f>
        <v>1385600</v>
      </c>
    </row>
  </sheetData>
  <sheetProtection/>
  <mergeCells count="15">
    <mergeCell ref="A5:M5"/>
    <mergeCell ref="F8:F10"/>
    <mergeCell ref="A8:A10"/>
    <mergeCell ref="C8:C10"/>
    <mergeCell ref="B8:B10"/>
    <mergeCell ref="H8:M8"/>
    <mergeCell ref="I9:L9"/>
    <mergeCell ref="H9:H10"/>
    <mergeCell ref="M9:M10"/>
    <mergeCell ref="A95:G95"/>
    <mergeCell ref="A96:G96"/>
    <mergeCell ref="A97:G97"/>
    <mergeCell ref="D8:D10"/>
    <mergeCell ref="G8:G10"/>
    <mergeCell ref="A94:C94"/>
  </mergeCells>
  <printOptions horizontalCentered="1"/>
  <pageMargins left="0.2" right="0.22" top="1.02" bottom="0.7874015748031497" header="0.5118110236220472" footer="0.5118110236220472"/>
  <pageSetup fitToHeight="3" fitToWidth="3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0"/>
  <sheetViews>
    <sheetView view="pageBreakPreview" zoomScaleSheetLayoutView="100" zoomScalePageLayoutView="0" workbookViewId="0" topLeftCell="A181">
      <selection activeCell="F204" sqref="F204"/>
    </sheetView>
  </sheetViews>
  <sheetFormatPr defaultColWidth="9.00390625" defaultRowHeight="12.75"/>
  <cols>
    <col min="1" max="1" width="4.125" style="78" customWidth="1"/>
    <col min="2" max="2" width="6.00390625" style="78" customWidth="1"/>
    <col min="3" max="3" width="5.00390625" style="78" customWidth="1"/>
    <col min="4" max="4" width="49.125" style="78" customWidth="1"/>
    <col min="5" max="5" width="9.875" style="710" customWidth="1"/>
    <col min="6" max="6" width="10.25390625" style="440" customWidth="1"/>
    <col min="7" max="7" width="11.625" style="711" customWidth="1"/>
    <col min="8" max="8" width="11.625" style="81" customWidth="1"/>
    <col min="9" max="9" width="12.00390625" style="81" customWidth="1"/>
    <col min="10" max="10" width="6.00390625" style="78" customWidth="1"/>
    <col min="11" max="16384" width="9.125" style="78" customWidth="1"/>
  </cols>
  <sheetData>
    <row r="1" spans="1:7" ht="12.75">
      <c r="A1" s="91"/>
      <c r="B1" s="91"/>
      <c r="C1" s="91"/>
      <c r="D1" s="91"/>
      <c r="E1" s="91"/>
      <c r="F1" s="79" t="s">
        <v>282</v>
      </c>
      <c r="G1" s="220"/>
    </row>
    <row r="2" spans="1:7" ht="12.75">
      <c r="A2" s="91"/>
      <c r="B2" s="91"/>
      <c r="C2" s="91"/>
      <c r="D2" s="91"/>
      <c r="E2" s="91"/>
      <c r="F2" s="79" t="s">
        <v>53</v>
      </c>
      <c r="G2" s="220"/>
    </row>
    <row r="3" spans="1:7" ht="12.75">
      <c r="A3" s="91"/>
      <c r="B3" s="719"/>
      <c r="C3" s="719"/>
      <c r="D3" s="719"/>
      <c r="E3" s="91"/>
      <c r="F3" s="79" t="s">
        <v>54</v>
      </c>
      <c r="G3" s="220"/>
    </row>
    <row r="4" spans="1:7" ht="12.75">
      <c r="A4" s="91"/>
      <c r="B4" s="91"/>
      <c r="C4" s="91"/>
      <c r="D4" s="91"/>
      <c r="E4" s="91"/>
      <c r="F4" s="79" t="s">
        <v>650</v>
      </c>
      <c r="G4" s="220"/>
    </row>
    <row r="5" spans="1:7" ht="12.75">
      <c r="A5" s="91"/>
      <c r="B5" s="91"/>
      <c r="C5" s="91"/>
      <c r="D5" s="91"/>
      <c r="E5" s="91"/>
      <c r="F5" s="91"/>
      <c r="G5" s="449"/>
    </row>
    <row r="6" spans="1:7" ht="12.75">
      <c r="A6" s="91"/>
      <c r="B6" s="91"/>
      <c r="C6" s="91"/>
      <c r="D6" s="91"/>
      <c r="E6" s="91"/>
      <c r="F6" s="91"/>
      <c r="G6" s="449"/>
    </row>
    <row r="7" spans="1:7" ht="36" customHeight="1">
      <c r="A7" s="822" t="s">
        <v>464</v>
      </c>
      <c r="B7" s="822"/>
      <c r="C7" s="822"/>
      <c r="D7" s="822"/>
      <c r="E7" s="822"/>
      <c r="F7" s="822"/>
      <c r="G7" s="822"/>
    </row>
    <row r="8" spans="1:7" ht="10.5" customHeight="1">
      <c r="A8" s="91"/>
      <c r="B8" s="91"/>
      <c r="C8" s="719"/>
      <c r="D8" s="83"/>
      <c r="E8" s="91"/>
      <c r="F8" s="91"/>
      <c r="G8" s="449"/>
    </row>
    <row r="9" spans="1:7" ht="12" customHeight="1" thickBot="1">
      <c r="A9" s="821" t="s">
        <v>401</v>
      </c>
      <c r="B9" s="821"/>
      <c r="C9" s="821"/>
      <c r="D9" s="821"/>
      <c r="E9" s="821"/>
      <c r="F9" s="821"/>
      <c r="G9" s="821"/>
    </row>
    <row r="10" spans="1:7" ht="12.75" customHeight="1">
      <c r="A10" s="829" t="s">
        <v>55</v>
      </c>
      <c r="B10" s="832" t="s">
        <v>400</v>
      </c>
      <c r="C10" s="832" t="s">
        <v>365</v>
      </c>
      <c r="D10" s="832" t="s">
        <v>56</v>
      </c>
      <c r="E10" s="823" t="s">
        <v>460</v>
      </c>
      <c r="F10" s="826" t="s">
        <v>439</v>
      </c>
      <c r="G10" s="816" t="s">
        <v>448</v>
      </c>
    </row>
    <row r="11" spans="1:7" ht="12.75">
      <c r="A11" s="830"/>
      <c r="B11" s="833"/>
      <c r="C11" s="833"/>
      <c r="D11" s="833"/>
      <c r="E11" s="824"/>
      <c r="F11" s="827"/>
      <c r="G11" s="817"/>
    </row>
    <row r="12" spans="1:7" ht="12" customHeight="1" thickBot="1">
      <c r="A12" s="831"/>
      <c r="B12" s="834"/>
      <c r="C12" s="834"/>
      <c r="D12" s="834"/>
      <c r="E12" s="825"/>
      <c r="F12" s="828"/>
      <c r="G12" s="818"/>
    </row>
    <row r="13" spans="1:9" s="89" customFormat="1" ht="9.7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712">
        <v>7</v>
      </c>
      <c r="H13" s="88"/>
      <c r="I13" s="88"/>
    </row>
    <row r="14" spans="1:7" ht="12.75">
      <c r="A14" s="90"/>
      <c r="B14" s="439"/>
      <c r="C14" s="439"/>
      <c r="D14" s="439"/>
      <c r="E14" s="440"/>
      <c r="G14" s="713"/>
    </row>
    <row r="15" spans="1:7" ht="13.5" thickBot="1">
      <c r="A15" s="48" t="s">
        <v>39</v>
      </c>
      <c r="B15" s="117"/>
      <c r="C15" s="117"/>
      <c r="D15" s="441" t="s">
        <v>40</v>
      </c>
      <c r="E15" s="93">
        <f>E16+E19</f>
        <v>62387</v>
      </c>
      <c r="F15" s="93">
        <f>F16+F19</f>
        <v>0</v>
      </c>
      <c r="G15" s="132">
        <f>G16+G19</f>
        <v>62387</v>
      </c>
    </row>
    <row r="16" spans="1:7" ht="12.75">
      <c r="A16" s="94"/>
      <c r="B16" s="50" t="s">
        <v>42</v>
      </c>
      <c r="C16" s="69"/>
      <c r="D16" s="442" t="s">
        <v>41</v>
      </c>
      <c r="E16" s="714">
        <f>E17</f>
        <v>13000</v>
      </c>
      <c r="F16" s="714">
        <f>F17</f>
        <v>0</v>
      </c>
      <c r="G16" s="488">
        <f>G17</f>
        <v>13000</v>
      </c>
    </row>
    <row r="17" spans="1:7" ht="12.75">
      <c r="A17" s="94"/>
      <c r="B17" s="99"/>
      <c r="C17" s="127" t="s">
        <v>57</v>
      </c>
      <c r="D17" s="115" t="s">
        <v>58</v>
      </c>
      <c r="E17" s="715">
        <v>13000</v>
      </c>
      <c r="F17" s="715"/>
      <c r="G17" s="489">
        <f>E17+F17</f>
        <v>13000</v>
      </c>
    </row>
    <row r="18" spans="1:7" ht="12.75">
      <c r="A18" s="94"/>
      <c r="B18" s="99"/>
      <c r="C18" s="127"/>
      <c r="D18" s="115"/>
      <c r="E18" s="715"/>
      <c r="F18" s="715"/>
      <c r="G18" s="489"/>
    </row>
    <row r="19" spans="1:10" ht="12.75">
      <c r="A19" s="94"/>
      <c r="B19" s="50" t="s">
        <v>43</v>
      </c>
      <c r="C19" s="50"/>
      <c r="D19" s="119" t="s">
        <v>44</v>
      </c>
      <c r="E19" s="714">
        <f>SUM(E20:E21)</f>
        <v>49387</v>
      </c>
      <c r="F19" s="714">
        <f>SUM(F20:F21)</f>
        <v>0</v>
      </c>
      <c r="G19" s="488">
        <f>G21+G20</f>
        <v>49387</v>
      </c>
      <c r="I19" s="98"/>
      <c r="J19" s="91"/>
    </row>
    <row r="20" spans="1:10" ht="12.75">
      <c r="A20" s="94"/>
      <c r="B20" s="127"/>
      <c r="C20" s="127" t="s">
        <v>454</v>
      </c>
      <c r="D20" s="115" t="s">
        <v>83</v>
      </c>
      <c r="E20" s="715">
        <v>8905</v>
      </c>
      <c r="F20" s="715"/>
      <c r="G20" s="489">
        <f>E20+F20</f>
        <v>8905</v>
      </c>
      <c r="I20" s="98"/>
      <c r="J20" s="91"/>
    </row>
    <row r="21" spans="1:10" ht="12.75">
      <c r="A21" s="94"/>
      <c r="B21" s="99"/>
      <c r="C21" s="127" t="s">
        <v>59</v>
      </c>
      <c r="D21" s="115" t="s">
        <v>60</v>
      </c>
      <c r="E21" s="715">
        <v>40482</v>
      </c>
      <c r="F21" s="715"/>
      <c r="G21" s="489">
        <f>E21+F21</f>
        <v>40482</v>
      </c>
      <c r="I21" s="98"/>
      <c r="J21" s="91"/>
    </row>
    <row r="22" spans="1:10" ht="12.75">
      <c r="A22" s="94"/>
      <c r="B22" s="99"/>
      <c r="C22" s="127"/>
      <c r="D22" s="115"/>
      <c r="E22" s="715"/>
      <c r="F22" s="715"/>
      <c r="G22" s="489"/>
      <c r="I22" s="98"/>
      <c r="J22" s="91"/>
    </row>
    <row r="23" spans="1:10" ht="13.5" thickBot="1">
      <c r="A23" s="48" t="s">
        <v>45</v>
      </c>
      <c r="B23" s="117"/>
      <c r="C23" s="117"/>
      <c r="D23" s="75" t="s">
        <v>46</v>
      </c>
      <c r="E23" s="93">
        <f>E27+E24</f>
        <v>193335</v>
      </c>
      <c r="F23" s="93">
        <f>F27+F24</f>
        <v>0</v>
      </c>
      <c r="G23" s="132">
        <f>G27+G24</f>
        <v>193335</v>
      </c>
      <c r="I23" s="101"/>
      <c r="J23" s="91"/>
    </row>
    <row r="24" spans="1:10" ht="12.75">
      <c r="A24" s="443"/>
      <c r="B24" s="50" t="s">
        <v>47</v>
      </c>
      <c r="C24" s="69"/>
      <c r="D24" s="119" t="s">
        <v>215</v>
      </c>
      <c r="E24" s="714">
        <f>SUM(E25)</f>
        <v>188635</v>
      </c>
      <c r="F24" s="714">
        <f>SUM(F25)</f>
        <v>0</v>
      </c>
      <c r="G24" s="488">
        <f>SUM(G25)</f>
        <v>188635</v>
      </c>
      <c r="I24" s="98"/>
      <c r="J24" s="91"/>
    </row>
    <row r="25" spans="1:7" ht="12.75">
      <c r="A25" s="443"/>
      <c r="B25" s="127"/>
      <c r="C25" s="263">
        <v>3030</v>
      </c>
      <c r="D25" s="129" t="s">
        <v>61</v>
      </c>
      <c r="E25" s="715">
        <v>188635</v>
      </c>
      <c r="F25" s="715"/>
      <c r="G25" s="489">
        <f>E25+F25</f>
        <v>188635</v>
      </c>
    </row>
    <row r="26" spans="1:7" ht="12.75">
      <c r="A26" s="443"/>
      <c r="B26" s="99"/>
      <c r="C26" s="99"/>
      <c r="D26" s="115"/>
      <c r="E26" s="715"/>
      <c r="F26" s="715"/>
      <c r="G26" s="489"/>
    </row>
    <row r="27" spans="1:7" ht="12.75">
      <c r="A27" s="103"/>
      <c r="B27" s="50" t="s">
        <v>49</v>
      </c>
      <c r="C27" s="444"/>
      <c r="D27" s="119" t="s">
        <v>48</v>
      </c>
      <c r="E27" s="714">
        <f>E28</f>
        <v>4700</v>
      </c>
      <c r="F27" s="714">
        <f>F28</f>
        <v>0</v>
      </c>
      <c r="G27" s="488">
        <f>G28</f>
        <v>4700</v>
      </c>
    </row>
    <row r="28" spans="1:7" ht="12.75">
      <c r="A28" s="103"/>
      <c r="B28" s="120"/>
      <c r="C28" s="127" t="s">
        <v>57</v>
      </c>
      <c r="D28" s="115" t="s">
        <v>58</v>
      </c>
      <c r="E28" s="715">
        <v>4700</v>
      </c>
      <c r="F28" s="715"/>
      <c r="G28" s="489">
        <f>E28+F28</f>
        <v>4700</v>
      </c>
    </row>
    <row r="29" spans="1:7" ht="12.75">
      <c r="A29" s="103"/>
      <c r="B29" s="120"/>
      <c r="C29" s="127"/>
      <c r="D29" s="115"/>
      <c r="E29" s="715"/>
      <c r="F29" s="715"/>
      <c r="G29" s="489"/>
    </row>
    <row r="30" spans="1:7" ht="13.5" thickBot="1">
      <c r="A30" s="68">
        <v>600</v>
      </c>
      <c r="B30" s="117"/>
      <c r="C30" s="117"/>
      <c r="D30" s="75" t="s">
        <v>50</v>
      </c>
      <c r="E30" s="93">
        <f>E31</f>
        <v>3818870</v>
      </c>
      <c r="F30" s="93">
        <f>F31</f>
        <v>0</v>
      </c>
      <c r="G30" s="132">
        <f>G31</f>
        <v>3818870</v>
      </c>
    </row>
    <row r="31" spans="1:7" ht="12.75">
      <c r="A31" s="103"/>
      <c r="B31" s="69">
        <v>60014</v>
      </c>
      <c r="C31" s="69"/>
      <c r="D31" s="119" t="s">
        <v>51</v>
      </c>
      <c r="E31" s="714">
        <f>SUM(E32:E56)</f>
        <v>3818870</v>
      </c>
      <c r="F31" s="714">
        <f>SUM(F32:F56)</f>
        <v>0</v>
      </c>
      <c r="G31" s="488">
        <f>SUM(G32:G56)</f>
        <v>3818870</v>
      </c>
    </row>
    <row r="32" spans="1:7" ht="12.75">
      <c r="A32" s="103"/>
      <c r="B32" s="99"/>
      <c r="C32" s="99">
        <v>2310</v>
      </c>
      <c r="D32" s="115" t="s">
        <v>62</v>
      </c>
      <c r="E32" s="715">
        <v>8423</v>
      </c>
      <c r="F32" s="715"/>
      <c r="G32" s="489">
        <f>E32+F32</f>
        <v>8423</v>
      </c>
    </row>
    <row r="33" spans="1:9" ht="12.75">
      <c r="A33" s="103"/>
      <c r="B33" s="99"/>
      <c r="C33" s="99">
        <v>3020</v>
      </c>
      <c r="D33" s="115" t="s">
        <v>63</v>
      </c>
      <c r="E33" s="715">
        <v>29000</v>
      </c>
      <c r="F33" s="715"/>
      <c r="G33" s="489">
        <f aca="true" t="shared" si="0" ref="G33:G56">E33+F33</f>
        <v>29000</v>
      </c>
      <c r="I33" s="80"/>
    </row>
    <row r="34" spans="1:7" ht="12.75">
      <c r="A34" s="103"/>
      <c r="B34" s="99"/>
      <c r="C34" s="99">
        <v>4010</v>
      </c>
      <c r="D34" s="115" t="s">
        <v>64</v>
      </c>
      <c r="E34" s="715">
        <v>972378</v>
      </c>
      <c r="F34" s="715"/>
      <c r="G34" s="489">
        <f t="shared" si="0"/>
        <v>972378</v>
      </c>
    </row>
    <row r="35" spans="1:7" ht="12.75">
      <c r="A35" s="103"/>
      <c r="B35" s="99"/>
      <c r="C35" s="99">
        <v>4040</v>
      </c>
      <c r="D35" s="115" t="s">
        <v>65</v>
      </c>
      <c r="E35" s="715">
        <v>66710</v>
      </c>
      <c r="F35" s="715"/>
      <c r="G35" s="489">
        <f t="shared" si="0"/>
        <v>66710</v>
      </c>
    </row>
    <row r="36" spans="1:7" ht="12.75">
      <c r="A36" s="103"/>
      <c r="B36" s="99"/>
      <c r="C36" s="99">
        <v>4110</v>
      </c>
      <c r="D36" s="115" t="s">
        <v>66</v>
      </c>
      <c r="E36" s="715">
        <v>156430</v>
      </c>
      <c r="F36" s="715"/>
      <c r="G36" s="489">
        <f t="shared" si="0"/>
        <v>156430</v>
      </c>
    </row>
    <row r="37" spans="1:7" ht="12.75">
      <c r="A37" s="103"/>
      <c r="B37" s="99"/>
      <c r="C37" s="99">
        <v>4120</v>
      </c>
      <c r="D37" s="115" t="s">
        <v>67</v>
      </c>
      <c r="E37" s="715">
        <v>25082</v>
      </c>
      <c r="F37" s="715"/>
      <c r="G37" s="489">
        <f t="shared" si="0"/>
        <v>25082</v>
      </c>
    </row>
    <row r="38" spans="1:7" ht="12.75">
      <c r="A38" s="103"/>
      <c r="B38" s="99"/>
      <c r="C38" s="99">
        <v>4170</v>
      </c>
      <c r="D38" s="115" t="s">
        <v>68</v>
      </c>
      <c r="E38" s="715">
        <v>82200</v>
      </c>
      <c r="F38" s="715"/>
      <c r="G38" s="489">
        <f t="shared" si="0"/>
        <v>82200</v>
      </c>
    </row>
    <row r="39" spans="1:11" ht="12.75">
      <c r="A39" s="103"/>
      <c r="B39" s="99"/>
      <c r="C39" s="99">
        <v>4210</v>
      </c>
      <c r="D39" s="115" t="s">
        <v>69</v>
      </c>
      <c r="E39" s="715">
        <v>950000</v>
      </c>
      <c r="F39" s="715"/>
      <c r="G39" s="489">
        <f t="shared" si="0"/>
        <v>950000</v>
      </c>
      <c r="I39" s="80"/>
      <c r="K39" s="105">
        <f>SUM(E33:E54)</f>
        <v>2886447</v>
      </c>
    </row>
    <row r="40" spans="1:7" ht="12.75">
      <c r="A40" s="103"/>
      <c r="B40" s="99"/>
      <c r="C40" s="99">
        <v>4260</v>
      </c>
      <c r="D40" s="115" t="s">
        <v>70</v>
      </c>
      <c r="E40" s="715">
        <v>68000</v>
      </c>
      <c r="F40" s="715"/>
      <c r="G40" s="489">
        <f t="shared" si="0"/>
        <v>68000</v>
      </c>
    </row>
    <row r="41" spans="1:7" ht="12.75">
      <c r="A41" s="103"/>
      <c r="B41" s="99"/>
      <c r="C41" s="99">
        <v>4270</v>
      </c>
      <c r="D41" s="115" t="s">
        <v>71</v>
      </c>
      <c r="E41" s="715">
        <v>372000</v>
      </c>
      <c r="F41" s="715"/>
      <c r="G41" s="489">
        <f t="shared" si="0"/>
        <v>372000</v>
      </c>
    </row>
    <row r="42" spans="1:9" ht="12.75">
      <c r="A42" s="103"/>
      <c r="B42" s="99"/>
      <c r="C42" s="99">
        <v>4280</v>
      </c>
      <c r="D42" s="115" t="s">
        <v>72</v>
      </c>
      <c r="E42" s="715">
        <v>2000</v>
      </c>
      <c r="F42" s="715"/>
      <c r="G42" s="489">
        <f t="shared" si="0"/>
        <v>2000</v>
      </c>
      <c r="I42" s="80"/>
    </row>
    <row r="43" spans="1:7" ht="12.75">
      <c r="A43" s="103"/>
      <c r="B43" s="99"/>
      <c r="C43" s="99">
        <v>4300</v>
      </c>
      <c r="D43" s="115" t="s">
        <v>58</v>
      </c>
      <c r="E43" s="715">
        <v>30000</v>
      </c>
      <c r="F43" s="715"/>
      <c r="G43" s="489">
        <f t="shared" si="0"/>
        <v>30000</v>
      </c>
    </row>
    <row r="44" spans="1:7" ht="12.75">
      <c r="A44" s="103"/>
      <c r="B44" s="99"/>
      <c r="C44" s="99">
        <v>4350</v>
      </c>
      <c r="D44" s="115" t="s">
        <v>73</v>
      </c>
      <c r="E44" s="715">
        <v>2600</v>
      </c>
      <c r="F44" s="715"/>
      <c r="G44" s="489">
        <f t="shared" si="0"/>
        <v>2600</v>
      </c>
    </row>
    <row r="45" spans="1:7" ht="12.75">
      <c r="A45" s="103"/>
      <c r="B45" s="99"/>
      <c r="C45" s="99">
        <v>4360</v>
      </c>
      <c r="D45" s="115" t="s">
        <v>74</v>
      </c>
      <c r="E45" s="715">
        <v>5500</v>
      </c>
      <c r="F45" s="715"/>
      <c r="G45" s="489">
        <f t="shared" si="0"/>
        <v>5500</v>
      </c>
    </row>
    <row r="46" spans="1:7" ht="12.75">
      <c r="A46" s="103"/>
      <c r="B46" s="99"/>
      <c r="C46" s="99">
        <v>4370</v>
      </c>
      <c r="D46" s="115" t="s">
        <v>75</v>
      </c>
      <c r="E46" s="715">
        <v>12000</v>
      </c>
      <c r="F46" s="715"/>
      <c r="G46" s="489">
        <f t="shared" si="0"/>
        <v>12000</v>
      </c>
    </row>
    <row r="47" spans="1:7" ht="12.75">
      <c r="A47" s="103"/>
      <c r="B47" s="99"/>
      <c r="C47" s="99">
        <v>4410</v>
      </c>
      <c r="D47" s="115" t="s">
        <v>76</v>
      </c>
      <c r="E47" s="715">
        <v>6000</v>
      </c>
      <c r="F47" s="715"/>
      <c r="G47" s="489">
        <f t="shared" si="0"/>
        <v>6000</v>
      </c>
    </row>
    <row r="48" spans="1:7" ht="12.75">
      <c r="A48" s="103"/>
      <c r="B48" s="99"/>
      <c r="C48" s="99">
        <v>4430</v>
      </c>
      <c r="D48" s="115" t="s">
        <v>77</v>
      </c>
      <c r="E48" s="715">
        <v>39000</v>
      </c>
      <c r="F48" s="715"/>
      <c r="G48" s="489">
        <f>E48+F48</f>
        <v>39000</v>
      </c>
    </row>
    <row r="49" spans="1:9" ht="12.75">
      <c r="A49" s="103"/>
      <c r="B49" s="99"/>
      <c r="C49" s="99">
        <v>4440</v>
      </c>
      <c r="D49" s="115" t="s">
        <v>78</v>
      </c>
      <c r="E49" s="715">
        <v>26418</v>
      </c>
      <c r="F49" s="715"/>
      <c r="G49" s="489">
        <f t="shared" si="0"/>
        <v>26418</v>
      </c>
      <c r="I49" s="80"/>
    </row>
    <row r="50" spans="1:9" ht="12.75">
      <c r="A50" s="103"/>
      <c r="B50" s="99"/>
      <c r="C50" s="99">
        <v>4480</v>
      </c>
      <c r="D50" s="115" t="s">
        <v>79</v>
      </c>
      <c r="E50" s="715">
        <v>30800</v>
      </c>
      <c r="F50" s="715"/>
      <c r="G50" s="489">
        <f t="shared" si="0"/>
        <v>30800</v>
      </c>
      <c r="I50" s="80">
        <f>F31-F55-F56</f>
        <v>0</v>
      </c>
    </row>
    <row r="51" spans="1:9" ht="12.75">
      <c r="A51" s="103"/>
      <c r="B51" s="99"/>
      <c r="C51" s="99">
        <v>4500</v>
      </c>
      <c r="D51" s="115" t="s">
        <v>80</v>
      </c>
      <c r="E51" s="715">
        <v>3500</v>
      </c>
      <c r="F51" s="715"/>
      <c r="G51" s="489">
        <f t="shared" si="0"/>
        <v>3500</v>
      </c>
      <c r="I51" s="80"/>
    </row>
    <row r="52" spans="1:7" ht="12.75">
      <c r="A52" s="103"/>
      <c r="B52" s="99"/>
      <c r="C52" s="99">
        <v>4510</v>
      </c>
      <c r="D52" s="115" t="s">
        <v>81</v>
      </c>
      <c r="E52" s="715">
        <v>2829</v>
      </c>
      <c r="F52" s="715"/>
      <c r="G52" s="489">
        <f t="shared" si="0"/>
        <v>2829</v>
      </c>
    </row>
    <row r="53" spans="1:7" ht="12.75">
      <c r="A53" s="103"/>
      <c r="B53" s="99"/>
      <c r="C53" s="99">
        <v>4520</v>
      </c>
      <c r="D53" s="115" t="s">
        <v>82</v>
      </c>
      <c r="E53" s="715">
        <v>2000</v>
      </c>
      <c r="F53" s="715"/>
      <c r="G53" s="489">
        <f t="shared" si="0"/>
        <v>2000</v>
      </c>
    </row>
    <row r="54" spans="1:7" ht="12.75">
      <c r="A54" s="103"/>
      <c r="B54" s="99"/>
      <c r="C54" s="99">
        <v>4580</v>
      </c>
      <c r="D54" s="115" t="s">
        <v>84</v>
      </c>
      <c r="E54" s="715">
        <v>2000</v>
      </c>
      <c r="F54" s="715"/>
      <c r="G54" s="489">
        <f t="shared" si="0"/>
        <v>2000</v>
      </c>
    </row>
    <row r="55" spans="1:7" ht="12.75">
      <c r="A55" s="103"/>
      <c r="B55" s="99"/>
      <c r="C55" s="99">
        <v>6050</v>
      </c>
      <c r="D55" s="115" t="s">
        <v>85</v>
      </c>
      <c r="E55" s="715">
        <f>263800+450200</f>
        <v>714000</v>
      </c>
      <c r="F55" s="715"/>
      <c r="G55" s="489">
        <f t="shared" si="0"/>
        <v>714000</v>
      </c>
    </row>
    <row r="56" spans="1:7" ht="12.75">
      <c r="A56" s="103"/>
      <c r="B56" s="99"/>
      <c r="C56" s="99">
        <v>6060</v>
      </c>
      <c r="D56" s="115" t="s">
        <v>86</v>
      </c>
      <c r="E56" s="715">
        <v>210000</v>
      </c>
      <c r="F56" s="715"/>
      <c r="G56" s="489">
        <f t="shared" si="0"/>
        <v>210000</v>
      </c>
    </row>
    <row r="57" spans="1:7" ht="12.75">
      <c r="A57" s="103"/>
      <c r="B57" s="99"/>
      <c r="C57" s="99"/>
      <c r="D57" s="115"/>
      <c r="E57" s="715"/>
      <c r="F57" s="715"/>
      <c r="G57" s="489"/>
    </row>
    <row r="58" spans="1:7" ht="13.5" thickBot="1">
      <c r="A58" s="68">
        <v>630</v>
      </c>
      <c r="B58" s="117"/>
      <c r="C58" s="306"/>
      <c r="D58" s="75" t="s">
        <v>87</v>
      </c>
      <c r="E58" s="93">
        <f>E59</f>
        <v>2000</v>
      </c>
      <c r="F58" s="93">
        <f>F59</f>
        <v>0</v>
      </c>
      <c r="G58" s="132">
        <f>G59</f>
        <v>2000</v>
      </c>
    </row>
    <row r="59" spans="1:7" ht="12.75">
      <c r="A59" s="103"/>
      <c r="B59" s="69">
        <v>63003</v>
      </c>
      <c r="C59" s="50"/>
      <c r="D59" s="119" t="s">
        <v>88</v>
      </c>
      <c r="E59" s="714">
        <f>SUM(E60:E63)</f>
        <v>2000</v>
      </c>
      <c r="F59" s="714">
        <f>SUM(F60:F63)</f>
        <v>0</v>
      </c>
      <c r="G59" s="488">
        <f>SUM(G60:G63)</f>
        <v>2000</v>
      </c>
    </row>
    <row r="60" spans="1:8" ht="12.75">
      <c r="A60" s="103"/>
      <c r="B60" s="120"/>
      <c r="C60" s="127" t="s">
        <v>89</v>
      </c>
      <c r="D60" s="115" t="s">
        <v>90</v>
      </c>
      <c r="E60" s="715">
        <v>1000</v>
      </c>
      <c r="F60" s="715"/>
      <c r="G60" s="489">
        <f>E60+F60</f>
        <v>1000</v>
      </c>
      <c r="H60" s="80"/>
    </row>
    <row r="61" spans="1:8" ht="12.75">
      <c r="A61" s="103"/>
      <c r="B61" s="120"/>
      <c r="C61" s="127"/>
      <c r="D61" s="115" t="s">
        <v>437</v>
      </c>
      <c r="E61" s="715"/>
      <c r="F61" s="715"/>
      <c r="G61" s="489"/>
      <c r="H61" s="80"/>
    </row>
    <row r="62" spans="1:7" ht="12.75">
      <c r="A62" s="103"/>
      <c r="B62" s="120"/>
      <c r="C62" s="127" t="s">
        <v>92</v>
      </c>
      <c r="D62" s="115" t="s">
        <v>69</v>
      </c>
      <c r="E62" s="715">
        <v>500</v>
      </c>
      <c r="F62" s="715"/>
      <c r="G62" s="489">
        <f>E62+F62</f>
        <v>500</v>
      </c>
    </row>
    <row r="63" spans="1:7" ht="12.75">
      <c r="A63" s="103"/>
      <c r="B63" s="120"/>
      <c r="C63" s="127" t="s">
        <v>57</v>
      </c>
      <c r="D63" s="115" t="s">
        <v>58</v>
      </c>
      <c r="E63" s="715">
        <v>500</v>
      </c>
      <c r="F63" s="715"/>
      <c r="G63" s="489">
        <f>E63+F63</f>
        <v>500</v>
      </c>
    </row>
    <row r="64" spans="1:7" ht="12.75">
      <c r="A64" s="103"/>
      <c r="B64" s="120"/>
      <c r="C64" s="127"/>
      <c r="D64" s="115"/>
      <c r="E64" s="715"/>
      <c r="F64" s="715"/>
      <c r="G64" s="489"/>
    </row>
    <row r="65" spans="1:7" ht="13.5" thickBot="1">
      <c r="A65" s="68">
        <v>700</v>
      </c>
      <c r="B65" s="117"/>
      <c r="C65" s="117"/>
      <c r="D65" s="75" t="s">
        <v>93</v>
      </c>
      <c r="E65" s="93">
        <f>E66</f>
        <v>70054</v>
      </c>
      <c r="F65" s="93">
        <f>F66</f>
        <v>4522</v>
      </c>
      <c r="G65" s="132">
        <f>G66</f>
        <v>74576</v>
      </c>
    </row>
    <row r="66" spans="1:7" ht="12.75">
      <c r="A66" s="103"/>
      <c r="B66" s="69">
        <v>70005</v>
      </c>
      <c r="C66" s="69"/>
      <c r="D66" s="119" t="s">
        <v>94</v>
      </c>
      <c r="E66" s="714">
        <f>SUM(E67:E76)</f>
        <v>70054</v>
      </c>
      <c r="F66" s="714">
        <f>SUM(F67:F76)</f>
        <v>4522</v>
      </c>
      <c r="G66" s="714">
        <f>SUM(G67:G76)</f>
        <v>74576</v>
      </c>
    </row>
    <row r="67" spans="1:7" ht="12.75">
      <c r="A67" s="103"/>
      <c r="B67" s="99"/>
      <c r="C67" s="99">
        <v>4110</v>
      </c>
      <c r="D67" s="115" t="s">
        <v>66</v>
      </c>
      <c r="E67" s="715">
        <v>0</v>
      </c>
      <c r="F67" s="715">
        <v>4543</v>
      </c>
      <c r="G67" s="489">
        <f aca="true" t="shared" si="1" ref="G67:G76">E67+F67</f>
        <v>4543</v>
      </c>
    </row>
    <row r="68" spans="1:7" ht="12.75">
      <c r="A68" s="103"/>
      <c r="B68" s="99"/>
      <c r="C68" s="99">
        <v>4120</v>
      </c>
      <c r="D68" s="115" t="s">
        <v>67</v>
      </c>
      <c r="E68" s="715">
        <v>0</v>
      </c>
      <c r="F68" s="715">
        <v>728</v>
      </c>
      <c r="G68" s="489">
        <f t="shared" si="1"/>
        <v>728</v>
      </c>
    </row>
    <row r="69" spans="1:7" ht="12.75">
      <c r="A69" s="103"/>
      <c r="B69" s="99"/>
      <c r="C69" s="99">
        <v>4170</v>
      </c>
      <c r="D69" s="115" t="s">
        <v>68</v>
      </c>
      <c r="E69" s="715">
        <v>35000</v>
      </c>
      <c r="F69" s="715">
        <v>-5271</v>
      </c>
      <c r="G69" s="489">
        <f t="shared" si="1"/>
        <v>29729</v>
      </c>
    </row>
    <row r="70" spans="1:7" ht="12.75">
      <c r="A70" s="103"/>
      <c r="B70" s="99"/>
      <c r="C70" s="99">
        <v>4260</v>
      </c>
      <c r="D70" s="115" t="s">
        <v>70</v>
      </c>
      <c r="E70" s="715">
        <v>8000</v>
      </c>
      <c r="F70" s="715"/>
      <c r="G70" s="489">
        <f t="shared" si="1"/>
        <v>8000</v>
      </c>
    </row>
    <row r="71" spans="1:7" ht="12.75">
      <c r="A71" s="103"/>
      <c r="B71" s="99"/>
      <c r="C71" s="99">
        <v>4270</v>
      </c>
      <c r="D71" s="115" t="s">
        <v>71</v>
      </c>
      <c r="E71" s="715">
        <v>10000</v>
      </c>
      <c r="F71" s="715"/>
      <c r="G71" s="489">
        <f t="shared" si="1"/>
        <v>10000</v>
      </c>
    </row>
    <row r="72" spans="1:7" ht="12.75">
      <c r="A72" s="103"/>
      <c r="B72" s="99"/>
      <c r="C72" s="127" t="s">
        <v>57</v>
      </c>
      <c r="D72" s="115" t="s">
        <v>58</v>
      </c>
      <c r="E72" s="715">
        <v>11300</v>
      </c>
      <c r="F72" s="715">
        <f>-2100+4106</f>
        <v>2006</v>
      </c>
      <c r="G72" s="489">
        <f t="shared" si="1"/>
        <v>13306</v>
      </c>
    </row>
    <row r="73" spans="1:7" ht="12.75">
      <c r="A73" s="103"/>
      <c r="B73" s="99"/>
      <c r="C73" s="99">
        <v>4430</v>
      </c>
      <c r="D73" s="115" t="s">
        <v>77</v>
      </c>
      <c r="E73" s="715">
        <v>0</v>
      </c>
      <c r="F73" s="715">
        <v>600</v>
      </c>
      <c r="G73" s="489">
        <f t="shared" si="1"/>
        <v>600</v>
      </c>
    </row>
    <row r="74" spans="1:7" ht="12.75">
      <c r="A74" s="103"/>
      <c r="B74" s="99"/>
      <c r="C74" s="127" t="s">
        <v>95</v>
      </c>
      <c r="D74" s="115" t="s">
        <v>79</v>
      </c>
      <c r="E74" s="715">
        <v>5254</v>
      </c>
      <c r="F74" s="715">
        <v>416</v>
      </c>
      <c r="G74" s="489">
        <f t="shared" si="1"/>
        <v>5670</v>
      </c>
    </row>
    <row r="75" spans="1:7" ht="12.75">
      <c r="A75" s="103"/>
      <c r="B75" s="99"/>
      <c r="C75" s="127" t="s">
        <v>96</v>
      </c>
      <c r="D75" s="115" t="s">
        <v>97</v>
      </c>
      <c r="E75" s="715">
        <v>500</v>
      </c>
      <c r="F75" s="715">
        <v>1500</v>
      </c>
      <c r="G75" s="489">
        <f t="shared" si="1"/>
        <v>2000</v>
      </c>
    </row>
    <row r="76" spans="1:7" ht="12.75">
      <c r="A76" s="103"/>
      <c r="B76" s="99"/>
      <c r="C76" s="127" t="s">
        <v>656</v>
      </c>
      <c r="D76" s="115" t="s">
        <v>86</v>
      </c>
      <c r="E76" s="715">
        <v>0</v>
      </c>
      <c r="F76" s="715"/>
      <c r="G76" s="489">
        <f t="shared" si="1"/>
        <v>0</v>
      </c>
    </row>
    <row r="77" spans="1:7" ht="14.25" customHeight="1">
      <c r="A77" s="103"/>
      <c r="B77" s="99"/>
      <c r="C77" s="99"/>
      <c r="D77" s="115"/>
      <c r="E77" s="716"/>
      <c r="F77" s="716"/>
      <c r="G77" s="489"/>
    </row>
    <row r="78" spans="1:7" ht="13.5" thickBot="1">
      <c r="A78" s="68">
        <v>710</v>
      </c>
      <c r="B78" s="117"/>
      <c r="C78" s="306"/>
      <c r="D78" s="75" t="s">
        <v>98</v>
      </c>
      <c r="E78" s="93">
        <f>E79+E83+E86</f>
        <v>341042</v>
      </c>
      <c r="F78" s="93">
        <f>F79+F83+F86</f>
        <v>0</v>
      </c>
      <c r="G78" s="132">
        <f>G79+G83+G86</f>
        <v>341042</v>
      </c>
    </row>
    <row r="79" spans="1:7" ht="12.75">
      <c r="A79" s="103"/>
      <c r="B79" s="69">
        <v>71013</v>
      </c>
      <c r="C79" s="50"/>
      <c r="D79" s="119" t="s">
        <v>99</v>
      </c>
      <c r="E79" s="714">
        <f>SUM(E80:E81)</f>
        <v>40000</v>
      </c>
      <c r="F79" s="714">
        <f>SUM(F80:F81)</f>
        <v>0</v>
      </c>
      <c r="G79" s="488">
        <f>SUM(G80:G81)</f>
        <v>40000</v>
      </c>
    </row>
    <row r="80" spans="1:7" ht="12.75">
      <c r="A80" s="103"/>
      <c r="B80" s="99"/>
      <c r="C80" s="127" t="s">
        <v>57</v>
      </c>
      <c r="D80" s="115" t="s">
        <v>58</v>
      </c>
      <c r="E80" s="715">
        <v>39000</v>
      </c>
      <c r="F80" s="715"/>
      <c r="G80" s="489">
        <f>E80+F80</f>
        <v>39000</v>
      </c>
    </row>
    <row r="81" spans="1:7" ht="12.75">
      <c r="A81" s="103"/>
      <c r="B81" s="99"/>
      <c r="C81" s="127" t="s">
        <v>96</v>
      </c>
      <c r="D81" s="115" t="s">
        <v>97</v>
      </c>
      <c r="E81" s="715">
        <v>1000</v>
      </c>
      <c r="F81" s="715"/>
      <c r="G81" s="489">
        <f>E81+F81</f>
        <v>1000</v>
      </c>
    </row>
    <row r="82" spans="1:7" ht="12.75">
      <c r="A82" s="103"/>
      <c r="B82" s="99"/>
      <c r="C82" s="127"/>
      <c r="D82" s="115"/>
      <c r="E82" s="715"/>
      <c r="F82" s="715"/>
      <c r="G82" s="489"/>
    </row>
    <row r="83" spans="1:7" ht="12.75">
      <c r="A83" s="103"/>
      <c r="B83" s="69">
        <v>71014</v>
      </c>
      <c r="C83" s="50"/>
      <c r="D83" s="119" t="s">
        <v>100</v>
      </c>
      <c r="E83" s="714">
        <f>E84</f>
        <v>14000</v>
      </c>
      <c r="F83" s="714">
        <f>F84</f>
        <v>0</v>
      </c>
      <c r="G83" s="488">
        <f>G84</f>
        <v>14000</v>
      </c>
    </row>
    <row r="84" spans="1:7" ht="12.75">
      <c r="A84" s="103"/>
      <c r="B84" s="99"/>
      <c r="C84" s="127" t="s">
        <v>57</v>
      </c>
      <c r="D84" s="115" t="s">
        <v>58</v>
      </c>
      <c r="E84" s="715">
        <v>14000</v>
      </c>
      <c r="F84" s="715"/>
      <c r="G84" s="489">
        <f>E84+F84</f>
        <v>14000</v>
      </c>
    </row>
    <row r="85" spans="1:7" ht="12.75">
      <c r="A85" s="103"/>
      <c r="B85" s="99"/>
      <c r="C85" s="127"/>
      <c r="D85" s="115"/>
      <c r="E85" s="715"/>
      <c r="F85" s="715"/>
      <c r="G85" s="489"/>
    </row>
    <row r="86" spans="1:7" ht="12.75">
      <c r="A86" s="103"/>
      <c r="B86" s="69">
        <v>71015</v>
      </c>
      <c r="C86" s="69"/>
      <c r="D86" s="119" t="s">
        <v>101</v>
      </c>
      <c r="E86" s="714">
        <f>SUM(E87:E107)</f>
        <v>287042</v>
      </c>
      <c r="F86" s="714">
        <f>SUM(F87:F107)</f>
        <v>0</v>
      </c>
      <c r="G86" s="488">
        <f>SUM(G87:G107)</f>
        <v>287042</v>
      </c>
    </row>
    <row r="87" spans="1:9" ht="12.75">
      <c r="A87" s="103"/>
      <c r="B87" s="99"/>
      <c r="C87" s="99">
        <v>4010</v>
      </c>
      <c r="D87" s="115" t="s">
        <v>64</v>
      </c>
      <c r="E87" s="715">
        <v>179238</v>
      </c>
      <c r="F87" s="715">
        <v>-65064</v>
      </c>
      <c r="G87" s="489">
        <f>E87+F87</f>
        <v>114174</v>
      </c>
      <c r="I87" s="80">
        <f>SUM(F87:F92)</f>
        <v>0</v>
      </c>
    </row>
    <row r="88" spans="1:9" ht="12.75">
      <c r="A88" s="103"/>
      <c r="B88" s="99"/>
      <c r="C88" s="99">
        <v>4020</v>
      </c>
      <c r="D88" s="115" t="s">
        <v>652</v>
      </c>
      <c r="E88" s="715">
        <v>0</v>
      </c>
      <c r="F88" s="715">
        <v>65064</v>
      </c>
      <c r="G88" s="489">
        <f>E88+F88</f>
        <v>65064</v>
      </c>
      <c r="I88" s="80"/>
    </row>
    <row r="89" spans="1:8" ht="12.75">
      <c r="A89" s="103"/>
      <c r="B89" s="99"/>
      <c r="C89" s="99">
        <v>4040</v>
      </c>
      <c r="D89" s="115" t="s">
        <v>65</v>
      </c>
      <c r="E89" s="715">
        <v>10268</v>
      </c>
      <c r="F89" s="715"/>
      <c r="G89" s="489">
        <f aca="true" t="shared" si="2" ref="G89:G107">E89+F89</f>
        <v>10268</v>
      </c>
      <c r="H89" s="80"/>
    </row>
    <row r="90" spans="1:9" ht="12.75">
      <c r="A90" s="103"/>
      <c r="B90" s="99"/>
      <c r="C90" s="99">
        <v>4110</v>
      </c>
      <c r="D90" s="115" t="s">
        <v>66</v>
      </c>
      <c r="E90" s="715">
        <v>34225</v>
      </c>
      <c r="F90" s="715"/>
      <c r="G90" s="489">
        <f t="shared" si="2"/>
        <v>34225</v>
      </c>
      <c r="I90" s="80" t="e">
        <f>SUM(#REF!)</f>
        <v>#REF!</v>
      </c>
    </row>
    <row r="91" spans="1:7" ht="12.75">
      <c r="A91" s="103"/>
      <c r="B91" s="99"/>
      <c r="C91" s="99">
        <v>4120</v>
      </c>
      <c r="D91" s="115" t="s">
        <v>67</v>
      </c>
      <c r="E91" s="715">
        <v>4643</v>
      </c>
      <c r="F91" s="715"/>
      <c r="G91" s="489">
        <f t="shared" si="2"/>
        <v>4643</v>
      </c>
    </row>
    <row r="92" spans="1:7" ht="12.75">
      <c r="A92" s="103"/>
      <c r="B92" s="99"/>
      <c r="C92" s="99">
        <v>4170</v>
      </c>
      <c r="D92" s="115" t="s">
        <v>68</v>
      </c>
      <c r="E92" s="715">
        <v>3000</v>
      </c>
      <c r="F92" s="715"/>
      <c r="G92" s="489">
        <f t="shared" si="2"/>
        <v>3000</v>
      </c>
    </row>
    <row r="93" spans="1:9" ht="12.75">
      <c r="A93" s="103"/>
      <c r="B93" s="99"/>
      <c r="C93" s="99">
        <v>4210</v>
      </c>
      <c r="D93" s="115" t="s">
        <v>69</v>
      </c>
      <c r="E93" s="715">
        <v>12568</v>
      </c>
      <c r="F93" s="715">
        <v>-2000</v>
      </c>
      <c r="G93" s="489">
        <f t="shared" si="2"/>
        <v>10568</v>
      </c>
      <c r="I93" s="80"/>
    </row>
    <row r="94" spans="1:9" ht="12.75">
      <c r="A94" s="103"/>
      <c r="B94" s="99"/>
      <c r="C94" s="99">
        <v>4270</v>
      </c>
      <c r="D94" s="115" t="s">
        <v>71</v>
      </c>
      <c r="E94" s="715">
        <v>2000</v>
      </c>
      <c r="F94" s="715"/>
      <c r="G94" s="489">
        <f t="shared" si="2"/>
        <v>2000</v>
      </c>
      <c r="I94" s="80"/>
    </row>
    <row r="95" spans="1:9" ht="12.75">
      <c r="A95" s="103"/>
      <c r="B95" s="99"/>
      <c r="C95" s="99">
        <v>4280</v>
      </c>
      <c r="D95" s="115" t="s">
        <v>72</v>
      </c>
      <c r="E95" s="715">
        <v>300</v>
      </c>
      <c r="F95" s="715"/>
      <c r="G95" s="489">
        <f t="shared" si="2"/>
        <v>300</v>
      </c>
      <c r="I95" s="80"/>
    </row>
    <row r="96" spans="1:9" ht="12.75">
      <c r="A96" s="103"/>
      <c r="B96" s="99"/>
      <c r="C96" s="99">
        <v>4300</v>
      </c>
      <c r="D96" s="115" t="s">
        <v>58</v>
      </c>
      <c r="E96" s="715">
        <v>8300</v>
      </c>
      <c r="F96" s="715"/>
      <c r="G96" s="489">
        <f t="shared" si="2"/>
        <v>8300</v>
      </c>
      <c r="I96" s="80"/>
    </row>
    <row r="97" spans="1:9" ht="12.75">
      <c r="A97" s="103"/>
      <c r="B97" s="99"/>
      <c r="C97" s="99">
        <v>4350</v>
      </c>
      <c r="D97" s="115" t="s">
        <v>73</v>
      </c>
      <c r="E97" s="715">
        <v>2400</v>
      </c>
      <c r="F97" s="715"/>
      <c r="G97" s="489">
        <f t="shared" si="2"/>
        <v>2400</v>
      </c>
      <c r="I97" s="80"/>
    </row>
    <row r="98" spans="1:9" ht="12.75">
      <c r="A98" s="103"/>
      <c r="B98" s="99"/>
      <c r="C98" s="99">
        <v>4360</v>
      </c>
      <c r="D98" s="115" t="s">
        <v>74</v>
      </c>
      <c r="E98" s="715">
        <v>1200</v>
      </c>
      <c r="F98" s="715"/>
      <c r="G98" s="489">
        <f t="shared" si="2"/>
        <v>1200</v>
      </c>
      <c r="I98" s="80"/>
    </row>
    <row r="99" spans="1:9" ht="12.75">
      <c r="A99" s="103"/>
      <c r="B99" s="99"/>
      <c r="C99" s="99">
        <v>4370</v>
      </c>
      <c r="D99" s="115" t="s">
        <v>75</v>
      </c>
      <c r="E99" s="715">
        <v>5400</v>
      </c>
      <c r="F99" s="715"/>
      <c r="G99" s="489">
        <f t="shared" si="2"/>
        <v>5400</v>
      </c>
      <c r="I99" s="80"/>
    </row>
    <row r="100" spans="1:9" ht="12.75">
      <c r="A100" s="103"/>
      <c r="B100" s="99"/>
      <c r="C100" s="99">
        <v>4400</v>
      </c>
      <c r="D100" s="115" t="s">
        <v>456</v>
      </c>
      <c r="E100" s="715">
        <v>8400</v>
      </c>
      <c r="F100" s="715"/>
      <c r="G100" s="489">
        <f t="shared" si="2"/>
        <v>8400</v>
      </c>
      <c r="I100" s="80"/>
    </row>
    <row r="101" spans="1:9" ht="12.75">
      <c r="A101" s="103"/>
      <c r="B101" s="99"/>
      <c r="C101" s="99">
        <v>4410</v>
      </c>
      <c r="D101" s="115" t="s">
        <v>76</v>
      </c>
      <c r="E101" s="715">
        <v>2000</v>
      </c>
      <c r="F101" s="715"/>
      <c r="G101" s="489">
        <f t="shared" si="2"/>
        <v>2000</v>
      </c>
      <c r="I101" s="80"/>
    </row>
    <row r="102" spans="1:7" ht="12.75">
      <c r="A102" s="103"/>
      <c r="B102" s="99"/>
      <c r="C102" s="99">
        <v>4430</v>
      </c>
      <c r="D102" s="115" t="s">
        <v>77</v>
      </c>
      <c r="E102" s="715">
        <v>2500</v>
      </c>
      <c r="F102" s="715"/>
      <c r="G102" s="489">
        <f t="shared" si="2"/>
        <v>2500</v>
      </c>
    </row>
    <row r="103" spans="1:7" ht="12.75">
      <c r="A103" s="103"/>
      <c r="B103" s="99"/>
      <c r="C103" s="99">
        <v>4440</v>
      </c>
      <c r="D103" s="115" t="s">
        <v>78</v>
      </c>
      <c r="E103" s="715">
        <v>4500</v>
      </c>
      <c r="F103" s="715"/>
      <c r="G103" s="489">
        <f t="shared" si="2"/>
        <v>4500</v>
      </c>
    </row>
    <row r="104" spans="1:7" ht="12.75">
      <c r="A104" s="103"/>
      <c r="B104" s="99"/>
      <c r="C104" s="99">
        <v>4550</v>
      </c>
      <c r="D104" s="115" t="s">
        <v>482</v>
      </c>
      <c r="E104" s="715">
        <v>1200</v>
      </c>
      <c r="F104" s="715"/>
      <c r="G104" s="489">
        <f t="shared" si="2"/>
        <v>1200</v>
      </c>
    </row>
    <row r="105" spans="1:7" ht="12.75">
      <c r="A105" s="103"/>
      <c r="B105" s="99"/>
      <c r="C105" s="99">
        <v>4700</v>
      </c>
      <c r="D105" s="115" t="s">
        <v>97</v>
      </c>
      <c r="E105" s="715">
        <v>1200</v>
      </c>
      <c r="F105" s="715"/>
      <c r="G105" s="489">
        <f t="shared" si="2"/>
        <v>1200</v>
      </c>
    </row>
    <row r="106" spans="1:7" ht="12.75">
      <c r="A106" s="103"/>
      <c r="B106" s="99"/>
      <c r="C106" s="99">
        <v>4740</v>
      </c>
      <c r="D106" s="115" t="s">
        <v>106</v>
      </c>
      <c r="E106" s="715">
        <v>0</v>
      </c>
      <c r="F106" s="715">
        <v>2000</v>
      </c>
      <c r="G106" s="489">
        <f t="shared" si="2"/>
        <v>2000</v>
      </c>
    </row>
    <row r="107" spans="1:7" ht="12.75">
      <c r="A107" s="103"/>
      <c r="B107" s="99"/>
      <c r="C107" s="99">
        <v>4750</v>
      </c>
      <c r="D107" s="115" t="s">
        <v>107</v>
      </c>
      <c r="E107" s="715">
        <v>3700</v>
      </c>
      <c r="F107" s="715"/>
      <c r="G107" s="489">
        <f t="shared" si="2"/>
        <v>3700</v>
      </c>
    </row>
    <row r="108" spans="1:7" ht="12" customHeight="1">
      <c r="A108" s="103"/>
      <c r="B108" s="99"/>
      <c r="C108" s="99"/>
      <c r="D108" s="115"/>
      <c r="E108" s="715"/>
      <c r="F108" s="715"/>
      <c r="G108" s="489"/>
    </row>
    <row r="109" spans="1:7" ht="13.5" thickBot="1">
      <c r="A109" s="68">
        <v>750</v>
      </c>
      <c r="B109" s="117"/>
      <c r="C109" s="117"/>
      <c r="D109" s="75" t="s">
        <v>104</v>
      </c>
      <c r="E109" s="93">
        <f>E110+E130+E139+E165+E178</f>
        <v>4568504</v>
      </c>
      <c r="F109" s="93">
        <f>F110+F130+F139+F165+F178</f>
        <v>0</v>
      </c>
      <c r="G109" s="132">
        <f>G110+G130+G139+G165+G178</f>
        <v>4568504</v>
      </c>
    </row>
    <row r="110" spans="1:7" ht="12.75">
      <c r="A110" s="103"/>
      <c r="B110" s="69">
        <v>75011</v>
      </c>
      <c r="C110" s="69"/>
      <c r="D110" s="119" t="s">
        <v>105</v>
      </c>
      <c r="E110" s="714">
        <f>SUM(E111:E128)</f>
        <v>261731</v>
      </c>
      <c r="F110" s="714">
        <f>SUM(F111:F128)</f>
        <v>0</v>
      </c>
      <c r="G110" s="488">
        <f>SUM(G111:G128)</f>
        <v>261731</v>
      </c>
    </row>
    <row r="111" spans="1:7" ht="12.75">
      <c r="A111" s="103"/>
      <c r="B111" s="99"/>
      <c r="C111" s="99">
        <v>3020</v>
      </c>
      <c r="D111" s="115" t="s">
        <v>63</v>
      </c>
      <c r="E111" s="715">
        <v>481</v>
      </c>
      <c r="F111" s="715"/>
      <c r="G111" s="489">
        <f>E111+F111</f>
        <v>481</v>
      </c>
    </row>
    <row r="112" spans="1:7" ht="12.75">
      <c r="A112" s="103"/>
      <c r="B112" s="99"/>
      <c r="C112" s="99">
        <v>4010</v>
      </c>
      <c r="D112" s="115" t="s">
        <v>64</v>
      </c>
      <c r="E112" s="715">
        <v>176044</v>
      </c>
      <c r="F112" s="715"/>
      <c r="G112" s="489">
        <f aca="true" t="shared" si="3" ref="G112:G128">E112+F112</f>
        <v>176044</v>
      </c>
    </row>
    <row r="113" spans="1:9" ht="12.75">
      <c r="A113" s="103"/>
      <c r="B113" s="99"/>
      <c r="C113" s="99">
        <v>4040</v>
      </c>
      <c r="D113" s="115" t="s">
        <v>65</v>
      </c>
      <c r="E113" s="715">
        <v>14231</v>
      </c>
      <c r="F113" s="715"/>
      <c r="G113" s="489">
        <f t="shared" si="3"/>
        <v>14231</v>
      </c>
      <c r="I113" s="80" t="e">
        <f>SUM(#REF!)</f>
        <v>#REF!</v>
      </c>
    </row>
    <row r="114" spans="1:7" ht="12.75">
      <c r="A114" s="103"/>
      <c r="B114" s="99"/>
      <c r="C114" s="99">
        <v>4110</v>
      </c>
      <c r="D114" s="115" t="s">
        <v>66</v>
      </c>
      <c r="E114" s="715">
        <v>28564</v>
      </c>
      <c r="F114" s="715"/>
      <c r="G114" s="489">
        <f t="shared" si="3"/>
        <v>28564</v>
      </c>
    </row>
    <row r="115" spans="1:9" ht="12.75">
      <c r="A115" s="103"/>
      <c r="B115" s="99"/>
      <c r="C115" s="99">
        <v>4120</v>
      </c>
      <c r="D115" s="115" t="s">
        <v>67</v>
      </c>
      <c r="E115" s="715">
        <v>4580</v>
      </c>
      <c r="F115" s="715"/>
      <c r="G115" s="489">
        <f t="shared" si="3"/>
        <v>4580</v>
      </c>
      <c r="I115" s="80">
        <f>SUM(F112:F116)</f>
        <v>0</v>
      </c>
    </row>
    <row r="116" spans="1:7" ht="12.75">
      <c r="A116" s="103"/>
      <c r="B116" s="99"/>
      <c r="C116" s="99">
        <v>4170</v>
      </c>
      <c r="D116" s="115" t="s">
        <v>68</v>
      </c>
      <c r="E116" s="715">
        <v>5640</v>
      </c>
      <c r="F116" s="715"/>
      <c r="G116" s="489">
        <f t="shared" si="3"/>
        <v>5640</v>
      </c>
    </row>
    <row r="117" spans="1:7" ht="12.75">
      <c r="A117" s="103"/>
      <c r="B117" s="99"/>
      <c r="C117" s="99">
        <v>4210</v>
      </c>
      <c r="D117" s="115" t="s">
        <v>69</v>
      </c>
      <c r="E117" s="715">
        <v>2214</v>
      </c>
      <c r="F117" s="715"/>
      <c r="G117" s="489">
        <f t="shared" si="3"/>
        <v>2214</v>
      </c>
    </row>
    <row r="118" spans="1:7" ht="12.75">
      <c r="A118" s="103"/>
      <c r="B118" s="99"/>
      <c r="C118" s="99">
        <v>4260</v>
      </c>
      <c r="D118" s="115" t="s">
        <v>70</v>
      </c>
      <c r="E118" s="715">
        <v>5000</v>
      </c>
      <c r="F118" s="715"/>
      <c r="G118" s="489">
        <f t="shared" si="3"/>
        <v>5000</v>
      </c>
    </row>
    <row r="119" spans="1:7" ht="12.75">
      <c r="A119" s="103"/>
      <c r="B119" s="99"/>
      <c r="C119" s="99">
        <v>4270</v>
      </c>
      <c r="D119" s="115" t="s">
        <v>71</v>
      </c>
      <c r="E119" s="715">
        <v>2000</v>
      </c>
      <c r="F119" s="715"/>
      <c r="G119" s="489">
        <f t="shared" si="3"/>
        <v>2000</v>
      </c>
    </row>
    <row r="120" spans="1:7" ht="12.75">
      <c r="A120" s="103"/>
      <c r="B120" s="99"/>
      <c r="C120" s="99">
        <v>4280</v>
      </c>
      <c r="D120" s="115" t="s">
        <v>72</v>
      </c>
      <c r="E120" s="715">
        <v>310</v>
      </c>
      <c r="F120" s="715"/>
      <c r="G120" s="489">
        <f t="shared" si="3"/>
        <v>310</v>
      </c>
    </row>
    <row r="121" spans="1:7" ht="12.75">
      <c r="A121" s="103"/>
      <c r="B121" s="99"/>
      <c r="C121" s="99">
        <v>4300</v>
      </c>
      <c r="D121" s="115" t="s">
        <v>58</v>
      </c>
      <c r="E121" s="715">
        <v>4341</v>
      </c>
      <c r="F121" s="715"/>
      <c r="G121" s="489">
        <f t="shared" si="3"/>
        <v>4341</v>
      </c>
    </row>
    <row r="122" spans="1:7" ht="12.75">
      <c r="A122" s="103"/>
      <c r="B122" s="99"/>
      <c r="C122" s="99">
        <v>4350</v>
      </c>
      <c r="D122" s="115" t="s">
        <v>73</v>
      </c>
      <c r="E122" s="715">
        <v>4248</v>
      </c>
      <c r="F122" s="715"/>
      <c r="G122" s="489">
        <f t="shared" si="3"/>
        <v>4248</v>
      </c>
    </row>
    <row r="123" spans="1:7" ht="12.75">
      <c r="A123" s="103"/>
      <c r="B123" s="99"/>
      <c r="C123" s="99">
        <v>4370</v>
      </c>
      <c r="D123" s="115" t="s">
        <v>75</v>
      </c>
      <c r="E123" s="715">
        <v>3547</v>
      </c>
      <c r="F123" s="715"/>
      <c r="G123" s="489">
        <f t="shared" si="3"/>
        <v>3547</v>
      </c>
    </row>
    <row r="124" spans="1:7" ht="12.75">
      <c r="A124" s="103"/>
      <c r="B124" s="99"/>
      <c r="C124" s="99">
        <v>4410</v>
      </c>
      <c r="D124" s="115" t="s">
        <v>76</v>
      </c>
      <c r="E124" s="715">
        <v>1500</v>
      </c>
      <c r="F124" s="715"/>
      <c r="G124" s="489">
        <f t="shared" si="3"/>
        <v>1500</v>
      </c>
    </row>
    <row r="125" spans="1:7" ht="12.75">
      <c r="A125" s="103"/>
      <c r="B125" s="99"/>
      <c r="C125" s="99">
        <v>4440</v>
      </c>
      <c r="D125" s="115" t="s">
        <v>78</v>
      </c>
      <c r="E125" s="715">
        <v>5431</v>
      </c>
      <c r="F125" s="715"/>
      <c r="G125" s="489">
        <f t="shared" si="3"/>
        <v>5431</v>
      </c>
    </row>
    <row r="126" spans="1:7" ht="12.75">
      <c r="A126" s="103"/>
      <c r="B126" s="99"/>
      <c r="C126" s="99">
        <v>4700</v>
      </c>
      <c r="D126" s="115" t="s">
        <v>97</v>
      </c>
      <c r="E126" s="715">
        <v>500</v>
      </c>
      <c r="F126" s="715"/>
      <c r="G126" s="489">
        <f t="shared" si="3"/>
        <v>500</v>
      </c>
    </row>
    <row r="127" spans="1:7" ht="12.75">
      <c r="A127" s="103"/>
      <c r="B127" s="99"/>
      <c r="C127" s="99">
        <v>4740</v>
      </c>
      <c r="D127" s="115" t="s">
        <v>106</v>
      </c>
      <c r="E127" s="715">
        <v>1100</v>
      </c>
      <c r="F127" s="715"/>
      <c r="G127" s="489">
        <f t="shared" si="3"/>
        <v>1100</v>
      </c>
    </row>
    <row r="128" spans="1:7" ht="12.75">
      <c r="A128" s="103"/>
      <c r="B128" s="99"/>
      <c r="C128" s="99">
        <v>4750</v>
      </c>
      <c r="D128" s="115" t="s">
        <v>107</v>
      </c>
      <c r="E128" s="715">
        <v>2000</v>
      </c>
      <c r="F128" s="715"/>
      <c r="G128" s="489">
        <f t="shared" si="3"/>
        <v>2000</v>
      </c>
    </row>
    <row r="129" spans="1:7" ht="12.75">
      <c r="A129" s="103"/>
      <c r="B129" s="99"/>
      <c r="C129" s="99"/>
      <c r="D129" s="115"/>
      <c r="E129" s="715"/>
      <c r="F129" s="715"/>
      <c r="G129" s="489"/>
    </row>
    <row r="130" spans="1:7" ht="12.75">
      <c r="A130" s="103"/>
      <c r="B130" s="69">
        <v>75019</v>
      </c>
      <c r="C130" s="50"/>
      <c r="D130" s="119" t="s">
        <v>108</v>
      </c>
      <c r="E130" s="714">
        <f>SUM(E131:E137)</f>
        <v>263000</v>
      </c>
      <c r="F130" s="714">
        <f>SUM(F131:F137)</f>
        <v>0</v>
      </c>
      <c r="G130" s="488">
        <f>SUM(G131:G137)</f>
        <v>263000</v>
      </c>
    </row>
    <row r="131" spans="1:7" ht="12.75">
      <c r="A131" s="103"/>
      <c r="B131" s="99"/>
      <c r="C131" s="99">
        <v>3030</v>
      </c>
      <c r="D131" s="115" t="s">
        <v>109</v>
      </c>
      <c r="E131" s="715">
        <v>249600</v>
      </c>
      <c r="F131" s="715"/>
      <c r="G131" s="489">
        <f>E131+F131</f>
        <v>249600</v>
      </c>
    </row>
    <row r="132" spans="1:7" ht="12.75">
      <c r="A132" s="103"/>
      <c r="B132" s="99"/>
      <c r="C132" s="99">
        <v>4210</v>
      </c>
      <c r="D132" s="115" t="s">
        <v>69</v>
      </c>
      <c r="E132" s="715">
        <v>2500</v>
      </c>
      <c r="F132" s="715"/>
      <c r="G132" s="489">
        <f aca="true" t="shared" si="4" ref="G132:G137">E132+F132</f>
        <v>2500</v>
      </c>
    </row>
    <row r="133" spans="1:7" ht="12.75">
      <c r="A133" s="103"/>
      <c r="B133" s="99"/>
      <c r="C133" s="99">
        <v>4300</v>
      </c>
      <c r="D133" s="115" t="s">
        <v>58</v>
      </c>
      <c r="E133" s="715">
        <v>7000</v>
      </c>
      <c r="F133" s="715"/>
      <c r="G133" s="489">
        <f t="shared" si="4"/>
        <v>7000</v>
      </c>
    </row>
    <row r="134" spans="1:7" ht="12.75">
      <c r="A134" s="103"/>
      <c r="B134" s="99"/>
      <c r="C134" s="99">
        <v>4370</v>
      </c>
      <c r="D134" s="115" t="s">
        <v>75</v>
      </c>
      <c r="E134" s="715">
        <v>1500</v>
      </c>
      <c r="F134" s="715"/>
      <c r="G134" s="489">
        <f t="shared" si="4"/>
        <v>1500</v>
      </c>
    </row>
    <row r="135" spans="1:7" ht="12.75">
      <c r="A135" s="103"/>
      <c r="B135" s="99"/>
      <c r="C135" s="99">
        <v>4410</v>
      </c>
      <c r="D135" s="115" t="s">
        <v>76</v>
      </c>
      <c r="E135" s="715">
        <v>1400</v>
      </c>
      <c r="F135" s="715"/>
      <c r="G135" s="489">
        <f t="shared" si="4"/>
        <v>1400</v>
      </c>
    </row>
    <row r="136" spans="1:7" ht="12.75">
      <c r="A136" s="103"/>
      <c r="B136" s="99"/>
      <c r="C136" s="99">
        <v>4420</v>
      </c>
      <c r="D136" s="115" t="s">
        <v>110</v>
      </c>
      <c r="E136" s="715">
        <v>500</v>
      </c>
      <c r="F136" s="715"/>
      <c r="G136" s="489">
        <f t="shared" si="4"/>
        <v>500</v>
      </c>
    </row>
    <row r="137" spans="1:7" ht="12.75">
      <c r="A137" s="103"/>
      <c r="B137" s="99"/>
      <c r="C137" s="99">
        <v>4700</v>
      </c>
      <c r="D137" s="115" t="s">
        <v>97</v>
      </c>
      <c r="E137" s="715">
        <v>500</v>
      </c>
      <c r="F137" s="715"/>
      <c r="G137" s="489">
        <f t="shared" si="4"/>
        <v>500</v>
      </c>
    </row>
    <row r="138" spans="1:7" ht="12.75">
      <c r="A138" s="103"/>
      <c r="B138" s="99"/>
      <c r="C138" s="99"/>
      <c r="D138" s="115"/>
      <c r="E138" s="715"/>
      <c r="F138" s="715"/>
      <c r="G138" s="489"/>
    </row>
    <row r="139" spans="1:7" ht="12.75">
      <c r="A139" s="103"/>
      <c r="B139" s="69">
        <v>75020</v>
      </c>
      <c r="C139" s="69"/>
      <c r="D139" s="119" t="s">
        <v>111</v>
      </c>
      <c r="E139" s="714">
        <f>SUM(E140:E163)</f>
        <v>3993273</v>
      </c>
      <c r="F139" s="714">
        <f>SUM(F140:F163)</f>
        <v>0</v>
      </c>
      <c r="G139" s="488">
        <f>SUM(G140:G163)</f>
        <v>3993273</v>
      </c>
    </row>
    <row r="140" spans="1:7" ht="12.75">
      <c r="A140" s="103"/>
      <c r="B140" s="99"/>
      <c r="C140" s="99">
        <v>3020</v>
      </c>
      <c r="D140" s="115" t="s">
        <v>63</v>
      </c>
      <c r="E140" s="715">
        <v>5744</v>
      </c>
      <c r="F140" s="715"/>
      <c r="G140" s="489">
        <f>E140+F140</f>
        <v>5744</v>
      </c>
    </row>
    <row r="141" spans="1:9" ht="12.75">
      <c r="A141" s="103"/>
      <c r="B141" s="445"/>
      <c r="C141" s="99">
        <v>4010</v>
      </c>
      <c r="D141" s="115" t="s">
        <v>64</v>
      </c>
      <c r="E141" s="715">
        <v>2151910</v>
      </c>
      <c r="F141" s="715"/>
      <c r="G141" s="489">
        <f aca="true" t="shared" si="5" ref="G141:G163">E141+F141</f>
        <v>2151910</v>
      </c>
      <c r="I141" s="80" t="e">
        <f>SUM(#REF!)</f>
        <v>#REF!</v>
      </c>
    </row>
    <row r="142" spans="1:7" ht="12.75">
      <c r="A142" s="103"/>
      <c r="B142" s="445"/>
      <c r="C142" s="99">
        <v>4040</v>
      </c>
      <c r="D142" s="115" t="s">
        <v>65</v>
      </c>
      <c r="E142" s="715">
        <v>161382</v>
      </c>
      <c r="F142" s="715"/>
      <c r="G142" s="489">
        <f t="shared" si="5"/>
        <v>161382</v>
      </c>
    </row>
    <row r="143" spans="1:9" ht="12.75">
      <c r="A143" s="103"/>
      <c r="B143" s="99"/>
      <c r="C143" s="99">
        <v>4110</v>
      </c>
      <c r="D143" s="115" t="s">
        <v>66</v>
      </c>
      <c r="E143" s="715">
        <v>339876</v>
      </c>
      <c r="F143" s="715"/>
      <c r="G143" s="489">
        <f t="shared" si="5"/>
        <v>339876</v>
      </c>
      <c r="I143" s="80">
        <f>SUM(F141:F145)</f>
        <v>0</v>
      </c>
    </row>
    <row r="144" spans="1:7" ht="12.75">
      <c r="A144" s="103"/>
      <c r="B144" s="99"/>
      <c r="C144" s="99">
        <v>4120</v>
      </c>
      <c r="D144" s="115" t="s">
        <v>67</v>
      </c>
      <c r="E144" s="715">
        <v>54496</v>
      </c>
      <c r="F144" s="715"/>
      <c r="G144" s="489">
        <f t="shared" si="5"/>
        <v>54496</v>
      </c>
    </row>
    <row r="145" spans="1:7" ht="12.75">
      <c r="A145" s="103"/>
      <c r="B145" s="99"/>
      <c r="C145" s="99">
        <v>4170</v>
      </c>
      <c r="D145" s="115" t="s">
        <v>68</v>
      </c>
      <c r="E145" s="715">
        <v>10000</v>
      </c>
      <c r="F145" s="715"/>
      <c r="G145" s="489">
        <f t="shared" si="5"/>
        <v>10000</v>
      </c>
    </row>
    <row r="146" spans="1:7" ht="12.75">
      <c r="A146" s="103"/>
      <c r="B146" s="99"/>
      <c r="C146" s="99">
        <v>4210</v>
      </c>
      <c r="D146" s="115" t="s">
        <v>69</v>
      </c>
      <c r="E146" s="715">
        <v>267202</v>
      </c>
      <c r="F146" s="715"/>
      <c r="G146" s="489">
        <f t="shared" si="5"/>
        <v>267202</v>
      </c>
    </row>
    <row r="147" spans="1:7" ht="12.75">
      <c r="A147" s="103"/>
      <c r="B147" s="99"/>
      <c r="C147" s="99">
        <v>4260</v>
      </c>
      <c r="D147" s="115" t="s">
        <v>70</v>
      </c>
      <c r="E147" s="715">
        <v>68500</v>
      </c>
      <c r="F147" s="715"/>
      <c r="G147" s="489">
        <f t="shared" si="5"/>
        <v>68500</v>
      </c>
    </row>
    <row r="148" spans="1:7" ht="12.75">
      <c r="A148" s="103"/>
      <c r="B148" s="99"/>
      <c r="C148" s="99">
        <v>4270</v>
      </c>
      <c r="D148" s="115" t="s">
        <v>71</v>
      </c>
      <c r="E148" s="715">
        <v>32000</v>
      </c>
      <c r="F148" s="715"/>
      <c r="G148" s="489">
        <f t="shared" si="5"/>
        <v>32000</v>
      </c>
    </row>
    <row r="149" spans="1:7" ht="12.75">
      <c r="A149" s="103"/>
      <c r="B149" s="99"/>
      <c r="C149" s="99">
        <v>4280</v>
      </c>
      <c r="D149" s="115" t="s">
        <v>72</v>
      </c>
      <c r="E149" s="715">
        <v>3780</v>
      </c>
      <c r="F149" s="715"/>
      <c r="G149" s="489">
        <f t="shared" si="5"/>
        <v>3780</v>
      </c>
    </row>
    <row r="150" spans="1:7" ht="12.75">
      <c r="A150" s="103"/>
      <c r="B150" s="99"/>
      <c r="C150" s="99">
        <v>4300</v>
      </c>
      <c r="D150" s="115" t="s">
        <v>58</v>
      </c>
      <c r="E150" s="715">
        <v>558595</v>
      </c>
      <c r="F150" s="715"/>
      <c r="G150" s="489">
        <f t="shared" si="5"/>
        <v>558595</v>
      </c>
    </row>
    <row r="151" spans="1:7" ht="12.75">
      <c r="A151" s="103"/>
      <c r="B151" s="99"/>
      <c r="C151" s="99">
        <v>4350</v>
      </c>
      <c r="D151" s="115" t="s">
        <v>112</v>
      </c>
      <c r="E151" s="715">
        <v>9237</v>
      </c>
      <c r="F151" s="715"/>
      <c r="G151" s="489">
        <f t="shared" si="5"/>
        <v>9237</v>
      </c>
    </row>
    <row r="152" spans="1:7" ht="12.75">
      <c r="A152" s="103"/>
      <c r="B152" s="99"/>
      <c r="C152" s="99">
        <v>4360</v>
      </c>
      <c r="D152" s="115" t="s">
        <v>74</v>
      </c>
      <c r="E152" s="715">
        <v>7380</v>
      </c>
      <c r="F152" s="715"/>
      <c r="G152" s="489">
        <f t="shared" si="5"/>
        <v>7380</v>
      </c>
    </row>
    <row r="153" spans="1:7" ht="12.75">
      <c r="A153" s="103"/>
      <c r="B153" s="99"/>
      <c r="C153" s="99">
        <v>4370</v>
      </c>
      <c r="D153" s="115" t="s">
        <v>75</v>
      </c>
      <c r="E153" s="715">
        <v>38760</v>
      </c>
      <c r="F153" s="715"/>
      <c r="G153" s="489">
        <f t="shared" si="5"/>
        <v>38760</v>
      </c>
    </row>
    <row r="154" spans="1:7" ht="12.75">
      <c r="A154" s="103"/>
      <c r="B154" s="99"/>
      <c r="C154" s="99">
        <v>4410</v>
      </c>
      <c r="D154" s="115" t="s">
        <v>76</v>
      </c>
      <c r="E154" s="715">
        <v>13080</v>
      </c>
      <c r="F154" s="715"/>
      <c r="G154" s="489">
        <f t="shared" si="5"/>
        <v>13080</v>
      </c>
    </row>
    <row r="155" spans="1:7" ht="12.75">
      <c r="A155" s="103"/>
      <c r="B155" s="99"/>
      <c r="C155" s="99">
        <v>4420</v>
      </c>
      <c r="D155" s="115" t="s">
        <v>110</v>
      </c>
      <c r="E155" s="715">
        <v>1000</v>
      </c>
      <c r="F155" s="715"/>
      <c r="G155" s="489">
        <f t="shared" si="5"/>
        <v>1000</v>
      </c>
    </row>
    <row r="156" spans="1:7" ht="12.75">
      <c r="A156" s="103"/>
      <c r="B156" s="99"/>
      <c r="C156" s="99">
        <v>4430</v>
      </c>
      <c r="D156" s="115" t="s">
        <v>77</v>
      </c>
      <c r="E156" s="715">
        <v>5000</v>
      </c>
      <c r="F156" s="715"/>
      <c r="G156" s="489">
        <f t="shared" si="5"/>
        <v>5000</v>
      </c>
    </row>
    <row r="157" spans="1:7" ht="12.75">
      <c r="A157" s="103"/>
      <c r="B157" s="99"/>
      <c r="C157" s="99">
        <v>4440</v>
      </c>
      <c r="D157" s="115" t="s">
        <v>78</v>
      </c>
      <c r="E157" s="715">
        <v>57601</v>
      </c>
      <c r="F157" s="715"/>
      <c r="G157" s="489">
        <f t="shared" si="5"/>
        <v>57601</v>
      </c>
    </row>
    <row r="158" spans="1:7" ht="12.75">
      <c r="A158" s="103"/>
      <c r="B158" s="99"/>
      <c r="C158" s="99">
        <v>4530</v>
      </c>
      <c r="D158" s="115" t="s">
        <v>83</v>
      </c>
      <c r="E158" s="715">
        <v>1000</v>
      </c>
      <c r="F158" s="715"/>
      <c r="G158" s="489">
        <f t="shared" si="5"/>
        <v>1000</v>
      </c>
    </row>
    <row r="159" spans="1:7" ht="12.75">
      <c r="A159" s="103"/>
      <c r="B159" s="99"/>
      <c r="C159" s="99">
        <v>4700</v>
      </c>
      <c r="D159" s="115" t="s">
        <v>97</v>
      </c>
      <c r="E159" s="715">
        <v>8000</v>
      </c>
      <c r="F159" s="715"/>
      <c r="G159" s="489">
        <f>E159+F159</f>
        <v>8000</v>
      </c>
    </row>
    <row r="160" spans="1:7" ht="12.75">
      <c r="A160" s="103"/>
      <c r="B160" s="99"/>
      <c r="C160" s="99">
        <v>4740</v>
      </c>
      <c r="D160" s="115" t="s">
        <v>106</v>
      </c>
      <c r="E160" s="715">
        <v>6000</v>
      </c>
      <c r="F160" s="715"/>
      <c r="G160" s="489">
        <f t="shared" si="5"/>
        <v>6000</v>
      </c>
    </row>
    <row r="161" spans="1:7" ht="12.75">
      <c r="A161" s="103"/>
      <c r="B161" s="99"/>
      <c r="C161" s="99">
        <v>4750</v>
      </c>
      <c r="D161" s="115" t="s">
        <v>107</v>
      </c>
      <c r="E161" s="715">
        <v>37630</v>
      </c>
      <c r="F161" s="715"/>
      <c r="G161" s="489">
        <f t="shared" si="5"/>
        <v>37630</v>
      </c>
    </row>
    <row r="162" spans="1:7" ht="12.75">
      <c r="A162" s="103"/>
      <c r="B162" s="99"/>
      <c r="C162" s="99">
        <v>6050</v>
      </c>
      <c r="D162" s="115" t="s">
        <v>85</v>
      </c>
      <c r="E162" s="715">
        <v>75000</v>
      </c>
      <c r="F162" s="715"/>
      <c r="G162" s="489">
        <f t="shared" si="5"/>
        <v>75000</v>
      </c>
    </row>
    <row r="163" spans="1:7" ht="12.75">
      <c r="A163" s="103"/>
      <c r="B163" s="99"/>
      <c r="C163" s="99">
        <v>6060</v>
      </c>
      <c r="D163" s="115" t="s">
        <v>114</v>
      </c>
      <c r="E163" s="715">
        <v>80100</v>
      </c>
      <c r="F163" s="715"/>
      <c r="G163" s="489">
        <f t="shared" si="5"/>
        <v>80100</v>
      </c>
    </row>
    <row r="164" spans="1:7" ht="12.75">
      <c r="A164" s="103"/>
      <c r="B164" s="99"/>
      <c r="C164" s="99"/>
      <c r="D164" s="115"/>
      <c r="E164" s="715"/>
      <c r="F164" s="715"/>
      <c r="G164" s="489"/>
    </row>
    <row r="165" spans="1:7" ht="12.75">
      <c r="A165" s="103"/>
      <c r="B165" s="69">
        <v>75045</v>
      </c>
      <c r="C165" s="69"/>
      <c r="D165" s="119" t="s">
        <v>115</v>
      </c>
      <c r="E165" s="714">
        <f>SUM(E166:E176)</f>
        <v>17000</v>
      </c>
      <c r="F165" s="714">
        <f>SUM(F166:F176)</f>
        <v>0</v>
      </c>
      <c r="G165" s="488">
        <f>SUM(G166:G176)</f>
        <v>17000</v>
      </c>
    </row>
    <row r="166" spans="1:7" ht="12.75">
      <c r="A166" s="103"/>
      <c r="B166" s="99"/>
      <c r="C166" s="99">
        <v>3030</v>
      </c>
      <c r="D166" s="115" t="s">
        <v>109</v>
      </c>
      <c r="E166" s="715">
        <v>1330</v>
      </c>
      <c r="F166" s="715"/>
      <c r="G166" s="489">
        <f>E166+F166</f>
        <v>1330</v>
      </c>
    </row>
    <row r="167" spans="1:9" ht="12.75">
      <c r="A167" s="103"/>
      <c r="B167" s="99"/>
      <c r="C167" s="99">
        <v>4110</v>
      </c>
      <c r="D167" s="115" t="s">
        <v>66</v>
      </c>
      <c r="E167" s="715">
        <v>1150</v>
      </c>
      <c r="F167" s="715"/>
      <c r="G167" s="489">
        <f aca="true" t="shared" si="6" ref="G167:G176">E167+F167</f>
        <v>1150</v>
      </c>
      <c r="I167" s="80" t="e">
        <f>SUM(#REF!)</f>
        <v>#REF!</v>
      </c>
    </row>
    <row r="168" spans="1:7" ht="12.75">
      <c r="A168" s="103"/>
      <c r="B168" s="99"/>
      <c r="C168" s="99">
        <v>4120</v>
      </c>
      <c r="D168" s="115" t="s">
        <v>67</v>
      </c>
      <c r="E168" s="715">
        <v>170</v>
      </c>
      <c r="F168" s="715"/>
      <c r="G168" s="489">
        <f t="shared" si="6"/>
        <v>170</v>
      </c>
    </row>
    <row r="169" spans="1:7" ht="12.75">
      <c r="A169" s="103"/>
      <c r="B169" s="99"/>
      <c r="C169" s="99">
        <v>4170</v>
      </c>
      <c r="D169" s="115" t="s">
        <v>68</v>
      </c>
      <c r="E169" s="715">
        <v>7300</v>
      </c>
      <c r="F169" s="715"/>
      <c r="G169" s="489">
        <f t="shared" si="6"/>
        <v>7300</v>
      </c>
    </row>
    <row r="170" spans="1:7" ht="12.75">
      <c r="A170" s="103"/>
      <c r="B170" s="99"/>
      <c r="C170" s="99">
        <v>4210</v>
      </c>
      <c r="D170" s="115" t="s">
        <v>69</v>
      </c>
      <c r="E170" s="715">
        <v>1900</v>
      </c>
      <c r="F170" s="715"/>
      <c r="G170" s="489">
        <f t="shared" si="6"/>
        <v>1900</v>
      </c>
    </row>
    <row r="171" spans="1:7" ht="12.75">
      <c r="A171" s="103"/>
      <c r="B171" s="99"/>
      <c r="C171" s="99">
        <v>4300</v>
      </c>
      <c r="D171" s="115" t="s">
        <v>58</v>
      </c>
      <c r="E171" s="715">
        <v>950</v>
      </c>
      <c r="F171" s="715"/>
      <c r="G171" s="489">
        <f t="shared" si="6"/>
        <v>950</v>
      </c>
    </row>
    <row r="172" spans="1:7" ht="12.75">
      <c r="A172" s="103"/>
      <c r="B172" s="99"/>
      <c r="C172" s="99">
        <v>4370</v>
      </c>
      <c r="D172" s="115" t="s">
        <v>75</v>
      </c>
      <c r="E172" s="715">
        <v>300</v>
      </c>
      <c r="F172" s="715"/>
      <c r="G172" s="489">
        <f t="shared" si="6"/>
        <v>300</v>
      </c>
    </row>
    <row r="173" spans="1:7" ht="12.75">
      <c r="A173" s="103"/>
      <c r="B173" s="99"/>
      <c r="C173" s="99">
        <v>4400</v>
      </c>
      <c r="D173" s="115" t="s">
        <v>456</v>
      </c>
      <c r="E173" s="715">
        <v>2400</v>
      </c>
      <c r="F173" s="715"/>
      <c r="G173" s="489">
        <f t="shared" si="6"/>
        <v>2400</v>
      </c>
    </row>
    <row r="174" spans="1:7" ht="12.75">
      <c r="A174" s="103"/>
      <c r="B174" s="99"/>
      <c r="C174" s="99">
        <v>4410</v>
      </c>
      <c r="D174" s="115" t="s">
        <v>76</v>
      </c>
      <c r="E174" s="715">
        <v>300</v>
      </c>
      <c r="F174" s="715"/>
      <c r="G174" s="489">
        <f t="shared" si="6"/>
        <v>300</v>
      </c>
    </row>
    <row r="175" spans="1:7" ht="12.75">
      <c r="A175" s="103"/>
      <c r="B175" s="99"/>
      <c r="C175" s="99">
        <v>4740</v>
      </c>
      <c r="D175" s="115" t="s">
        <v>106</v>
      </c>
      <c r="E175" s="715">
        <v>300</v>
      </c>
      <c r="F175" s="715"/>
      <c r="G175" s="489">
        <f t="shared" si="6"/>
        <v>300</v>
      </c>
    </row>
    <row r="176" spans="1:7" ht="12.75">
      <c r="A176" s="103"/>
      <c r="B176" s="99"/>
      <c r="C176" s="99">
        <v>4750</v>
      </c>
      <c r="D176" s="115" t="s">
        <v>107</v>
      </c>
      <c r="E176" s="715">
        <v>900</v>
      </c>
      <c r="F176" s="715"/>
      <c r="G176" s="489">
        <f t="shared" si="6"/>
        <v>900</v>
      </c>
    </row>
    <row r="177" spans="1:7" ht="12.75">
      <c r="A177" s="103"/>
      <c r="B177" s="99"/>
      <c r="C177" s="99"/>
      <c r="D177" s="115"/>
      <c r="E177" s="715"/>
      <c r="F177" s="715"/>
      <c r="G177" s="489"/>
    </row>
    <row r="178" spans="1:7" ht="12.75">
      <c r="A178" s="103"/>
      <c r="B178" s="69">
        <v>75095</v>
      </c>
      <c r="C178" s="69"/>
      <c r="D178" s="119" t="s">
        <v>44</v>
      </c>
      <c r="E178" s="714">
        <f>SUM(E179:E181)</f>
        <v>33500</v>
      </c>
      <c r="F178" s="714">
        <f>SUM(F179:F181)</f>
        <v>0</v>
      </c>
      <c r="G178" s="488">
        <f>SUM(G179:G181)</f>
        <v>33500</v>
      </c>
    </row>
    <row r="179" spans="1:7" ht="12.75">
      <c r="A179" s="103"/>
      <c r="B179" s="99"/>
      <c r="C179" s="99">
        <v>4170</v>
      </c>
      <c r="D179" s="115" t="s">
        <v>68</v>
      </c>
      <c r="E179" s="715">
        <v>18000</v>
      </c>
      <c r="F179" s="715"/>
      <c r="G179" s="489">
        <f>E179+F179</f>
        <v>18000</v>
      </c>
    </row>
    <row r="180" spans="1:7" ht="12.75">
      <c r="A180" s="103"/>
      <c r="B180" s="99"/>
      <c r="C180" s="127" t="s">
        <v>92</v>
      </c>
      <c r="D180" s="115" t="s">
        <v>69</v>
      </c>
      <c r="E180" s="715">
        <v>5500</v>
      </c>
      <c r="F180" s="715"/>
      <c r="G180" s="489">
        <f>E180+F180</f>
        <v>5500</v>
      </c>
    </row>
    <row r="181" spans="1:7" ht="12.75">
      <c r="A181" s="103"/>
      <c r="B181" s="99"/>
      <c r="C181" s="99">
        <v>4430</v>
      </c>
      <c r="D181" s="115" t="s">
        <v>77</v>
      </c>
      <c r="E181" s="715">
        <v>10000</v>
      </c>
      <c r="F181" s="715"/>
      <c r="G181" s="489">
        <f>E181+F181</f>
        <v>10000</v>
      </c>
    </row>
    <row r="182" spans="1:7" ht="12.75">
      <c r="A182" s="103"/>
      <c r="B182" s="99"/>
      <c r="C182" s="99"/>
      <c r="D182" s="115"/>
      <c r="E182" s="715"/>
      <c r="F182" s="715"/>
      <c r="G182" s="489"/>
    </row>
    <row r="183" spans="1:7" ht="13.5" thickBot="1">
      <c r="A183" s="68">
        <v>754</v>
      </c>
      <c r="B183" s="117"/>
      <c r="C183" s="117"/>
      <c r="D183" s="75" t="s">
        <v>116</v>
      </c>
      <c r="E183" s="93">
        <f>E191+E184</f>
        <v>7300</v>
      </c>
      <c r="F183" s="93">
        <f>F191+F184</f>
        <v>0</v>
      </c>
      <c r="G183" s="132">
        <f>G191+G184</f>
        <v>7300</v>
      </c>
    </row>
    <row r="184" spans="1:7" ht="12.75">
      <c r="A184" s="94"/>
      <c r="B184" s="69">
        <v>75421</v>
      </c>
      <c r="C184" s="69"/>
      <c r="D184" s="119" t="s">
        <v>643</v>
      </c>
      <c r="E184" s="714">
        <f>SUM(E185:E189)</f>
        <v>2178</v>
      </c>
      <c r="F184" s="714">
        <f>SUM(F185:F189)</f>
        <v>0</v>
      </c>
      <c r="G184" s="488">
        <f>SUM(G185:G189)</f>
        <v>2178</v>
      </c>
    </row>
    <row r="185" spans="1:7" ht="12.75">
      <c r="A185" s="94"/>
      <c r="B185" s="99"/>
      <c r="C185" s="99">
        <v>4010</v>
      </c>
      <c r="D185" s="115" t="s">
        <v>68</v>
      </c>
      <c r="E185" s="715">
        <v>1000</v>
      </c>
      <c r="F185" s="715"/>
      <c r="G185" s="489">
        <f>E185+F185</f>
        <v>1000</v>
      </c>
    </row>
    <row r="186" spans="1:7" ht="12.75">
      <c r="A186" s="94"/>
      <c r="B186" s="99"/>
      <c r="C186" s="99">
        <v>4110</v>
      </c>
      <c r="D186" s="115" t="s">
        <v>66</v>
      </c>
      <c r="E186" s="715">
        <v>153</v>
      </c>
      <c r="F186" s="715"/>
      <c r="G186" s="489">
        <f>E186+F186</f>
        <v>153</v>
      </c>
    </row>
    <row r="187" spans="1:7" ht="12.75">
      <c r="A187" s="94"/>
      <c r="B187" s="99"/>
      <c r="C187" s="99">
        <v>4120</v>
      </c>
      <c r="D187" s="115" t="s">
        <v>67</v>
      </c>
      <c r="E187" s="715">
        <v>25</v>
      </c>
      <c r="F187" s="715"/>
      <c r="G187" s="489">
        <f>E187+F187</f>
        <v>25</v>
      </c>
    </row>
    <row r="188" spans="1:7" ht="12.75">
      <c r="A188" s="94"/>
      <c r="B188" s="99"/>
      <c r="C188" s="99">
        <v>4210</v>
      </c>
      <c r="D188" s="115" t="s">
        <v>69</v>
      </c>
      <c r="E188" s="715">
        <v>500</v>
      </c>
      <c r="F188" s="715"/>
      <c r="G188" s="489">
        <f>E188+F188</f>
        <v>500</v>
      </c>
    </row>
    <row r="189" spans="1:7" ht="12.75">
      <c r="A189" s="94"/>
      <c r="B189" s="99"/>
      <c r="C189" s="99">
        <v>4300</v>
      </c>
      <c r="D189" s="115" t="s">
        <v>58</v>
      </c>
      <c r="E189" s="715">
        <v>500</v>
      </c>
      <c r="F189" s="715"/>
      <c r="G189" s="489">
        <f>E189+F189</f>
        <v>500</v>
      </c>
    </row>
    <row r="190" spans="1:7" ht="12.75">
      <c r="A190" s="94"/>
      <c r="B190" s="99"/>
      <c r="C190" s="99"/>
      <c r="D190" s="115"/>
      <c r="E190" s="715"/>
      <c r="F190" s="715"/>
      <c r="G190" s="489"/>
    </row>
    <row r="191" spans="1:7" ht="12.75">
      <c r="A191" s="103"/>
      <c r="B191" s="69">
        <v>75495</v>
      </c>
      <c r="C191" s="69"/>
      <c r="D191" s="119" t="s">
        <v>44</v>
      </c>
      <c r="E191" s="714">
        <f>SUM(E192:E195)</f>
        <v>5122</v>
      </c>
      <c r="F191" s="714">
        <f>SUM(F192:F195)</f>
        <v>0</v>
      </c>
      <c r="G191" s="488">
        <f>SUM(G192:G195)</f>
        <v>5122</v>
      </c>
    </row>
    <row r="192" spans="1:7" ht="12.75">
      <c r="A192" s="103"/>
      <c r="B192" s="99"/>
      <c r="C192" s="99">
        <v>4170</v>
      </c>
      <c r="D192" s="115" t="s">
        <v>68</v>
      </c>
      <c r="E192" s="715">
        <v>1200</v>
      </c>
      <c r="F192" s="715"/>
      <c r="G192" s="489">
        <f>E192+F192</f>
        <v>1200</v>
      </c>
    </row>
    <row r="193" spans="1:7" ht="12.75">
      <c r="A193" s="103"/>
      <c r="B193" s="99"/>
      <c r="C193" s="99">
        <v>4210</v>
      </c>
      <c r="D193" s="115" t="s">
        <v>69</v>
      </c>
      <c r="E193" s="715">
        <v>3422</v>
      </c>
      <c r="F193" s="715"/>
      <c r="G193" s="489">
        <f>E193+F193</f>
        <v>3422</v>
      </c>
    </row>
    <row r="194" spans="1:7" ht="12.75">
      <c r="A194" s="103"/>
      <c r="B194" s="99"/>
      <c r="C194" s="99">
        <v>4300</v>
      </c>
      <c r="D194" s="115" t="s">
        <v>58</v>
      </c>
      <c r="E194" s="715">
        <v>0</v>
      </c>
      <c r="F194" s="715"/>
      <c r="G194" s="489">
        <f>E194+F194</f>
        <v>0</v>
      </c>
    </row>
    <row r="195" spans="1:7" ht="12.75">
      <c r="A195" s="103"/>
      <c r="B195" s="99"/>
      <c r="C195" s="99">
        <v>4410</v>
      </c>
      <c r="D195" s="115" t="s">
        <v>76</v>
      </c>
      <c r="E195" s="715">
        <v>500</v>
      </c>
      <c r="F195" s="715"/>
      <c r="G195" s="489">
        <f>E195+F195</f>
        <v>500</v>
      </c>
    </row>
    <row r="196" spans="1:7" ht="12.75">
      <c r="A196" s="103"/>
      <c r="B196" s="99"/>
      <c r="C196" s="99"/>
      <c r="D196" s="115"/>
      <c r="E196" s="715"/>
      <c r="F196" s="715"/>
      <c r="G196" s="489"/>
    </row>
    <row r="197" spans="1:7" ht="13.5" thickBot="1">
      <c r="A197" s="68">
        <v>757</v>
      </c>
      <c r="B197" s="117"/>
      <c r="C197" s="117"/>
      <c r="D197" s="75" t="s">
        <v>117</v>
      </c>
      <c r="E197" s="93">
        <f>E198+E202</f>
        <v>1331219</v>
      </c>
      <c r="F197" s="93">
        <f>F198+F202</f>
        <v>-235164</v>
      </c>
      <c r="G197" s="132">
        <f>G198+G202</f>
        <v>1096055</v>
      </c>
    </row>
    <row r="198" spans="1:7" ht="12.75">
      <c r="A198" s="103"/>
      <c r="B198" s="69">
        <v>75702</v>
      </c>
      <c r="C198" s="69"/>
      <c r="D198" s="119" t="s">
        <v>118</v>
      </c>
      <c r="E198" s="714">
        <f>SUM(E199:E199)</f>
        <v>1042331</v>
      </c>
      <c r="F198" s="714">
        <f>SUM(F199:F199)</f>
        <v>-181440</v>
      </c>
      <c r="G198" s="488">
        <f>SUM(G199:G199)</f>
        <v>860891</v>
      </c>
    </row>
    <row r="199" spans="1:7" ht="12.75">
      <c r="A199" s="103"/>
      <c r="B199" s="99"/>
      <c r="C199" s="99">
        <v>8070</v>
      </c>
      <c r="D199" s="115" t="s">
        <v>119</v>
      </c>
      <c r="E199" s="715">
        <f>694331+138000+210000</f>
        <v>1042331</v>
      </c>
      <c r="F199" s="715">
        <f>-138000-43440</f>
        <v>-181440</v>
      </c>
      <c r="G199" s="489">
        <f>E199+F199</f>
        <v>860891</v>
      </c>
    </row>
    <row r="200" spans="1:7" ht="12.75">
      <c r="A200" s="103"/>
      <c r="B200" s="99"/>
      <c r="C200" s="99"/>
      <c r="D200" s="115"/>
      <c r="E200" s="715"/>
      <c r="F200" s="715"/>
      <c r="G200" s="489"/>
    </row>
    <row r="201" spans="1:7" ht="12.75">
      <c r="A201" s="103"/>
      <c r="B201" s="99">
        <v>75704</v>
      </c>
      <c r="C201" s="99"/>
      <c r="D201" s="115" t="s">
        <v>646</v>
      </c>
      <c r="E201" s="715"/>
      <c r="F201" s="715"/>
      <c r="G201" s="489"/>
    </row>
    <row r="202" spans="1:7" ht="12.75">
      <c r="A202" s="103"/>
      <c r="B202" s="69"/>
      <c r="C202" s="69"/>
      <c r="D202" s="119" t="s">
        <v>647</v>
      </c>
      <c r="E202" s="714">
        <f>E203</f>
        <v>288888</v>
      </c>
      <c r="F202" s="714">
        <f>F203</f>
        <v>-53724</v>
      </c>
      <c r="G202" s="488">
        <f>G203</f>
        <v>235164</v>
      </c>
    </row>
    <row r="203" spans="1:7" ht="12.75">
      <c r="A203" s="103"/>
      <c r="B203" s="99"/>
      <c r="C203" s="99">
        <v>8020</v>
      </c>
      <c r="D203" s="115" t="s">
        <v>648</v>
      </c>
      <c r="E203" s="715">
        <v>288888</v>
      </c>
      <c r="F203" s="715">
        <f>138000-235164+43440</f>
        <v>-53724</v>
      </c>
      <c r="G203" s="489">
        <f>E203+F203</f>
        <v>235164</v>
      </c>
    </row>
    <row r="204" spans="1:7" ht="12.75">
      <c r="A204" s="103"/>
      <c r="B204" s="99"/>
      <c r="C204" s="99"/>
      <c r="D204" s="115"/>
      <c r="E204" s="715"/>
      <c r="F204" s="715"/>
      <c r="G204" s="489"/>
    </row>
    <row r="205" spans="1:7" ht="12.75">
      <c r="A205" s="103"/>
      <c r="B205" s="99"/>
      <c r="C205" s="99"/>
      <c r="D205" s="115"/>
      <c r="E205" s="715"/>
      <c r="F205" s="715"/>
      <c r="G205" s="489"/>
    </row>
    <row r="206" spans="1:7" ht="13.5" thickBot="1">
      <c r="A206" s="68">
        <v>758</v>
      </c>
      <c r="B206" s="117"/>
      <c r="C206" s="117"/>
      <c r="D206" s="75" t="s">
        <v>120</v>
      </c>
      <c r="E206" s="93">
        <f aca="true" t="shared" si="7" ref="E206:G207">E207</f>
        <v>1760000</v>
      </c>
      <c r="F206" s="93">
        <f t="shared" si="7"/>
        <v>0</v>
      </c>
      <c r="G206" s="132">
        <f t="shared" si="7"/>
        <v>1760000</v>
      </c>
    </row>
    <row r="207" spans="1:7" ht="12.75">
      <c r="A207" s="103"/>
      <c r="B207" s="69">
        <v>75818</v>
      </c>
      <c r="C207" s="69"/>
      <c r="D207" s="119" t="s">
        <v>121</v>
      </c>
      <c r="E207" s="714">
        <f t="shared" si="7"/>
        <v>1760000</v>
      </c>
      <c r="F207" s="714">
        <f>F208</f>
        <v>0</v>
      </c>
      <c r="G207" s="488">
        <f t="shared" si="7"/>
        <v>1760000</v>
      </c>
    </row>
    <row r="208" spans="1:7" ht="12.75">
      <c r="A208" s="103"/>
      <c r="B208" s="99"/>
      <c r="C208" s="99">
        <v>4810</v>
      </c>
      <c r="D208" s="115" t="s">
        <v>122</v>
      </c>
      <c r="E208" s="715">
        <v>1760000</v>
      </c>
      <c r="F208" s="715"/>
      <c r="G208" s="489">
        <f>E208+F208</f>
        <v>1760000</v>
      </c>
    </row>
    <row r="209" spans="1:7" ht="12.75">
      <c r="A209" s="103"/>
      <c r="B209" s="99"/>
      <c r="C209" s="99"/>
      <c r="D209" s="115"/>
      <c r="E209" s="715"/>
      <c r="F209" s="715"/>
      <c r="G209" s="489"/>
    </row>
    <row r="210" spans="1:7" ht="13.5" thickBot="1">
      <c r="A210" s="68">
        <v>801</v>
      </c>
      <c r="B210" s="117"/>
      <c r="C210" s="117"/>
      <c r="D210" s="75" t="s">
        <v>123</v>
      </c>
      <c r="E210" s="93">
        <f>E211+E226+E245+E269+E293+E296+E304</f>
        <v>6928074</v>
      </c>
      <c r="F210" s="93">
        <f>F211+F226+F245+F269+F293+F296+F304</f>
        <v>24785</v>
      </c>
      <c r="G210" s="132">
        <f>G211+G226+G245+G269+G293+G296+G304</f>
        <v>6952859</v>
      </c>
    </row>
    <row r="211" spans="1:7" ht="12.75">
      <c r="A211" s="103"/>
      <c r="B211" s="69">
        <v>80101</v>
      </c>
      <c r="C211" s="69"/>
      <c r="D211" s="119" t="s">
        <v>124</v>
      </c>
      <c r="E211" s="714">
        <f>SUM(E212:E224)</f>
        <v>63277</v>
      </c>
      <c r="F211" s="714">
        <f>SUM(F212:F224)</f>
        <v>0</v>
      </c>
      <c r="G211" s="488">
        <f>SUM(G212:G224)</f>
        <v>63277</v>
      </c>
    </row>
    <row r="212" spans="1:7" ht="12.75">
      <c r="A212" s="103"/>
      <c r="B212" s="99"/>
      <c r="C212" s="99">
        <v>3020</v>
      </c>
      <c r="D212" s="115" t="s">
        <v>63</v>
      </c>
      <c r="E212" s="715">
        <v>2182</v>
      </c>
      <c r="F212" s="715"/>
      <c r="G212" s="489">
        <f>E212+F212</f>
        <v>2182</v>
      </c>
    </row>
    <row r="213" spans="1:9" ht="12.75">
      <c r="A213" s="103"/>
      <c r="B213" s="99"/>
      <c r="C213" s="99">
        <v>4010</v>
      </c>
      <c r="D213" s="115" t="s">
        <v>64</v>
      </c>
      <c r="E213" s="715">
        <v>36675</v>
      </c>
      <c r="F213" s="715"/>
      <c r="G213" s="489">
        <f aca="true" t="shared" si="8" ref="G213:G224">E213+F213</f>
        <v>36675</v>
      </c>
      <c r="I213" s="80">
        <f>SUM(F213:F216)</f>
        <v>0</v>
      </c>
    </row>
    <row r="214" spans="1:7" ht="12.75">
      <c r="A214" s="103"/>
      <c r="B214" s="99"/>
      <c r="C214" s="99">
        <v>4040</v>
      </c>
      <c r="D214" s="115" t="s">
        <v>65</v>
      </c>
      <c r="E214" s="715">
        <v>4006</v>
      </c>
      <c r="F214" s="715"/>
      <c r="G214" s="489">
        <f t="shared" si="8"/>
        <v>4006</v>
      </c>
    </row>
    <row r="215" spans="1:7" ht="12.75">
      <c r="A215" s="103"/>
      <c r="B215" s="99"/>
      <c r="C215" s="99">
        <v>4110</v>
      </c>
      <c r="D215" s="115" t="s">
        <v>66</v>
      </c>
      <c r="E215" s="715">
        <v>6729</v>
      </c>
      <c r="F215" s="715"/>
      <c r="G215" s="489">
        <f t="shared" si="8"/>
        <v>6729</v>
      </c>
    </row>
    <row r="216" spans="1:7" ht="12.75">
      <c r="A216" s="103"/>
      <c r="B216" s="99"/>
      <c r="C216" s="99">
        <v>4120</v>
      </c>
      <c r="D216" s="115" t="s">
        <v>67</v>
      </c>
      <c r="E216" s="715">
        <v>930</v>
      </c>
      <c r="F216" s="715"/>
      <c r="G216" s="489">
        <f t="shared" si="8"/>
        <v>930</v>
      </c>
    </row>
    <row r="217" spans="1:7" ht="12.75">
      <c r="A217" s="103"/>
      <c r="B217" s="99"/>
      <c r="C217" s="99">
        <v>4210</v>
      </c>
      <c r="D217" s="115" t="s">
        <v>69</v>
      </c>
      <c r="E217" s="715">
        <v>3000</v>
      </c>
      <c r="F217" s="715"/>
      <c r="G217" s="489">
        <f t="shared" si="8"/>
        <v>3000</v>
      </c>
    </row>
    <row r="218" spans="1:7" ht="12.75">
      <c r="A218" s="103"/>
      <c r="B218" s="99"/>
      <c r="C218" s="99">
        <v>4240</v>
      </c>
      <c r="D218" s="115" t="s">
        <v>125</v>
      </c>
      <c r="E218" s="715">
        <v>2000</v>
      </c>
      <c r="F218" s="715"/>
      <c r="G218" s="489">
        <f t="shared" si="8"/>
        <v>2000</v>
      </c>
    </row>
    <row r="219" spans="1:7" ht="12.75">
      <c r="A219" s="103"/>
      <c r="B219" s="99"/>
      <c r="C219" s="99">
        <v>4260</v>
      </c>
      <c r="D219" s="115" t="s">
        <v>70</v>
      </c>
      <c r="E219" s="715">
        <v>1200</v>
      </c>
      <c r="F219" s="715"/>
      <c r="G219" s="489">
        <f t="shared" si="8"/>
        <v>1200</v>
      </c>
    </row>
    <row r="220" spans="1:7" ht="12.75">
      <c r="A220" s="103"/>
      <c r="B220" s="99"/>
      <c r="C220" s="99">
        <v>4270</v>
      </c>
      <c r="D220" s="115" t="s">
        <v>71</v>
      </c>
      <c r="E220" s="715">
        <v>1000</v>
      </c>
      <c r="F220" s="715"/>
      <c r="G220" s="489">
        <f t="shared" si="8"/>
        <v>1000</v>
      </c>
    </row>
    <row r="221" spans="1:7" ht="12.75">
      <c r="A221" s="103"/>
      <c r="B221" s="99"/>
      <c r="C221" s="99">
        <v>4300</v>
      </c>
      <c r="D221" s="115" t="s">
        <v>58</v>
      </c>
      <c r="E221" s="715">
        <v>2200</v>
      </c>
      <c r="F221" s="715"/>
      <c r="G221" s="489">
        <f t="shared" si="8"/>
        <v>2200</v>
      </c>
    </row>
    <row r="222" spans="1:7" ht="12.75">
      <c r="A222" s="103"/>
      <c r="B222" s="99"/>
      <c r="C222" s="99">
        <v>4410</v>
      </c>
      <c r="D222" s="115" t="s">
        <v>76</v>
      </c>
      <c r="E222" s="715">
        <v>500</v>
      </c>
      <c r="F222" s="715"/>
      <c r="G222" s="489">
        <f t="shared" si="8"/>
        <v>500</v>
      </c>
    </row>
    <row r="223" spans="1:7" ht="12.75">
      <c r="A223" s="103"/>
      <c r="B223" s="99"/>
      <c r="C223" s="99">
        <v>4440</v>
      </c>
      <c r="D223" s="115" t="s">
        <v>78</v>
      </c>
      <c r="E223" s="715">
        <v>2655</v>
      </c>
      <c r="F223" s="715"/>
      <c r="G223" s="489">
        <f t="shared" si="8"/>
        <v>2655</v>
      </c>
    </row>
    <row r="224" spans="1:7" ht="12.75">
      <c r="A224" s="103"/>
      <c r="B224" s="99"/>
      <c r="C224" s="99">
        <v>4740</v>
      </c>
      <c r="D224" s="115" t="s">
        <v>106</v>
      </c>
      <c r="E224" s="715">
        <v>200</v>
      </c>
      <c r="F224" s="715"/>
      <c r="G224" s="489">
        <f t="shared" si="8"/>
        <v>200</v>
      </c>
    </row>
    <row r="225" spans="1:7" ht="12.75">
      <c r="A225" s="103"/>
      <c r="B225" s="99"/>
      <c r="C225" s="99"/>
      <c r="D225" s="115"/>
      <c r="E225" s="715"/>
      <c r="F225" s="715"/>
      <c r="G225" s="489"/>
    </row>
    <row r="226" spans="1:7" ht="12.75">
      <c r="A226" s="112"/>
      <c r="B226" s="69">
        <v>80110</v>
      </c>
      <c r="C226" s="69"/>
      <c r="D226" s="119" t="s">
        <v>126</v>
      </c>
      <c r="E226" s="714">
        <f>SUM(E227:E243)</f>
        <v>425518</v>
      </c>
      <c r="F226" s="714">
        <f>SUM(F227:F243)</f>
        <v>-48</v>
      </c>
      <c r="G226" s="488">
        <f>SUM(G227:G243)</f>
        <v>425470</v>
      </c>
    </row>
    <row r="227" spans="1:7" ht="12.75">
      <c r="A227" s="112"/>
      <c r="B227" s="99"/>
      <c r="C227" s="99">
        <v>3020</v>
      </c>
      <c r="D227" s="115" t="s">
        <v>63</v>
      </c>
      <c r="E227" s="715">
        <v>15979</v>
      </c>
      <c r="F227" s="715"/>
      <c r="G227" s="489">
        <f>E227+F227</f>
        <v>15979</v>
      </c>
    </row>
    <row r="228" spans="1:9" ht="12.75">
      <c r="A228" s="112"/>
      <c r="B228" s="99"/>
      <c r="C228" s="99">
        <v>4010</v>
      </c>
      <c r="D228" s="115" t="s">
        <v>64</v>
      </c>
      <c r="E228" s="715">
        <v>266365</v>
      </c>
      <c r="F228" s="715"/>
      <c r="G228" s="489">
        <f aca="true" t="shared" si="9" ref="G228:G243">E228+F228</f>
        <v>266365</v>
      </c>
      <c r="I228" s="80">
        <f>SUM(F228:F231)</f>
        <v>-48</v>
      </c>
    </row>
    <row r="229" spans="1:7" ht="12.75">
      <c r="A229" s="112"/>
      <c r="B229" s="99"/>
      <c r="C229" s="99">
        <v>4040</v>
      </c>
      <c r="D229" s="115" t="s">
        <v>65</v>
      </c>
      <c r="E229" s="715">
        <v>21491</v>
      </c>
      <c r="F229" s="715">
        <v>-48</v>
      </c>
      <c r="G229" s="489">
        <f t="shared" si="9"/>
        <v>21443</v>
      </c>
    </row>
    <row r="230" spans="1:7" ht="12.75">
      <c r="A230" s="112"/>
      <c r="B230" s="99"/>
      <c r="C230" s="99">
        <v>4110</v>
      </c>
      <c r="D230" s="115" t="s">
        <v>66</v>
      </c>
      <c r="E230" s="715">
        <v>41913</v>
      </c>
      <c r="F230" s="715"/>
      <c r="G230" s="489">
        <f t="shared" si="9"/>
        <v>41913</v>
      </c>
    </row>
    <row r="231" spans="1:7" ht="12.75">
      <c r="A231" s="112"/>
      <c r="B231" s="99"/>
      <c r="C231" s="99">
        <v>4120</v>
      </c>
      <c r="D231" s="115" t="s">
        <v>67</v>
      </c>
      <c r="E231" s="715">
        <v>6918</v>
      </c>
      <c r="F231" s="715"/>
      <c r="G231" s="489">
        <f t="shared" si="9"/>
        <v>6918</v>
      </c>
    </row>
    <row r="232" spans="1:7" ht="12.75">
      <c r="A232" s="112"/>
      <c r="B232" s="99"/>
      <c r="C232" s="99">
        <v>4210</v>
      </c>
      <c r="D232" s="115" t="s">
        <v>69</v>
      </c>
      <c r="E232" s="715">
        <v>23247</v>
      </c>
      <c r="F232" s="715"/>
      <c r="G232" s="489">
        <f t="shared" si="9"/>
        <v>23247</v>
      </c>
    </row>
    <row r="233" spans="1:7" ht="12.75">
      <c r="A233" s="112"/>
      <c r="B233" s="99"/>
      <c r="C233" s="99">
        <v>4240</v>
      </c>
      <c r="D233" s="115" t="s">
        <v>127</v>
      </c>
      <c r="E233" s="715">
        <v>2000</v>
      </c>
      <c r="F233" s="715"/>
      <c r="G233" s="489">
        <f t="shared" si="9"/>
        <v>2000</v>
      </c>
    </row>
    <row r="234" spans="1:7" ht="12.75">
      <c r="A234" s="112"/>
      <c r="B234" s="99"/>
      <c r="C234" s="99">
        <v>4260</v>
      </c>
      <c r="D234" s="115" t="s">
        <v>70</v>
      </c>
      <c r="E234" s="715">
        <v>4000</v>
      </c>
      <c r="F234" s="715"/>
      <c r="G234" s="489">
        <f t="shared" si="9"/>
        <v>4000</v>
      </c>
    </row>
    <row r="235" spans="1:7" ht="12.75">
      <c r="A235" s="112"/>
      <c r="B235" s="99"/>
      <c r="C235" s="99">
        <v>4270</v>
      </c>
      <c r="D235" s="115" t="s">
        <v>71</v>
      </c>
      <c r="E235" s="715">
        <v>1500</v>
      </c>
      <c r="F235" s="715"/>
      <c r="G235" s="489">
        <f t="shared" si="9"/>
        <v>1500</v>
      </c>
    </row>
    <row r="236" spans="1:7" ht="12.75">
      <c r="A236" s="112"/>
      <c r="B236" s="99"/>
      <c r="C236" s="99">
        <v>4280</v>
      </c>
      <c r="D236" s="115" t="s">
        <v>72</v>
      </c>
      <c r="E236" s="715">
        <v>300</v>
      </c>
      <c r="F236" s="715"/>
      <c r="G236" s="489">
        <f t="shared" si="9"/>
        <v>300</v>
      </c>
    </row>
    <row r="237" spans="1:7" ht="12.75">
      <c r="A237" s="112"/>
      <c r="B237" s="99"/>
      <c r="C237" s="99">
        <v>4300</v>
      </c>
      <c r="D237" s="115" t="s">
        <v>58</v>
      </c>
      <c r="E237" s="715">
        <v>2500</v>
      </c>
      <c r="F237" s="715"/>
      <c r="G237" s="489">
        <f t="shared" si="9"/>
        <v>2500</v>
      </c>
    </row>
    <row r="238" spans="1:7" ht="12.75">
      <c r="A238" s="112"/>
      <c r="B238" s="99"/>
      <c r="C238" s="99">
        <v>4350</v>
      </c>
      <c r="D238" s="115" t="s">
        <v>112</v>
      </c>
      <c r="E238" s="715">
        <v>1000</v>
      </c>
      <c r="F238" s="715"/>
      <c r="G238" s="489">
        <f t="shared" si="9"/>
        <v>1000</v>
      </c>
    </row>
    <row r="239" spans="1:7" ht="12.75">
      <c r="A239" s="112"/>
      <c r="B239" s="99"/>
      <c r="C239" s="99">
        <v>4370</v>
      </c>
      <c r="D239" s="115" t="s">
        <v>75</v>
      </c>
      <c r="E239" s="715">
        <v>1000</v>
      </c>
      <c r="F239" s="715"/>
      <c r="G239" s="489">
        <f t="shared" si="9"/>
        <v>1000</v>
      </c>
    </row>
    <row r="240" spans="1:7" ht="12.75">
      <c r="A240" s="112"/>
      <c r="B240" s="99"/>
      <c r="C240" s="99">
        <v>4410</v>
      </c>
      <c r="D240" s="115" t="s">
        <v>76</v>
      </c>
      <c r="E240" s="715">
        <v>500</v>
      </c>
      <c r="F240" s="715"/>
      <c r="G240" s="489">
        <f t="shared" si="9"/>
        <v>500</v>
      </c>
    </row>
    <row r="241" spans="1:7" ht="12.75">
      <c r="A241" s="112"/>
      <c r="B241" s="99"/>
      <c r="C241" s="99">
        <v>4440</v>
      </c>
      <c r="D241" s="115" t="s">
        <v>78</v>
      </c>
      <c r="E241" s="715">
        <f>6326+26479</f>
        <v>32805</v>
      </c>
      <c r="F241" s="715"/>
      <c r="G241" s="489">
        <f t="shared" si="9"/>
        <v>32805</v>
      </c>
    </row>
    <row r="242" spans="1:7" ht="12.75">
      <c r="A242" s="112"/>
      <c r="B242" s="99"/>
      <c r="C242" s="99">
        <v>4740</v>
      </c>
      <c r="D242" s="115" t="s">
        <v>106</v>
      </c>
      <c r="E242" s="715">
        <v>1000</v>
      </c>
      <c r="F242" s="715"/>
      <c r="G242" s="489">
        <f t="shared" si="9"/>
        <v>1000</v>
      </c>
    </row>
    <row r="243" spans="1:7" ht="12.75">
      <c r="A243" s="112"/>
      <c r="B243" s="99"/>
      <c r="C243" s="99">
        <v>4750</v>
      </c>
      <c r="D243" s="115" t="s">
        <v>107</v>
      </c>
      <c r="E243" s="715">
        <v>3000</v>
      </c>
      <c r="F243" s="715"/>
      <c r="G243" s="489">
        <f t="shared" si="9"/>
        <v>3000</v>
      </c>
    </row>
    <row r="244" spans="1:7" ht="12.75">
      <c r="A244" s="112"/>
      <c r="B244" s="99"/>
      <c r="C244" s="99"/>
      <c r="D244" s="115"/>
      <c r="E244" s="715"/>
      <c r="F244" s="715"/>
      <c r="G244" s="489"/>
    </row>
    <row r="245" spans="1:7" ht="12.75">
      <c r="A245" s="112"/>
      <c r="B245" s="69">
        <v>80120</v>
      </c>
      <c r="C245" s="69"/>
      <c r="D245" s="119" t="s">
        <v>128</v>
      </c>
      <c r="E245" s="714">
        <f>SUM(E246:E267)</f>
        <v>2319989</v>
      </c>
      <c r="F245" s="714">
        <f>SUM(F246:F267)</f>
        <v>8428</v>
      </c>
      <c r="G245" s="488">
        <f>SUM(G246:G267)</f>
        <v>2328417</v>
      </c>
    </row>
    <row r="246" spans="1:7" ht="12.75">
      <c r="A246" s="112"/>
      <c r="B246" s="99"/>
      <c r="C246" s="99">
        <v>2540</v>
      </c>
      <c r="D246" s="115" t="s">
        <v>501</v>
      </c>
      <c r="E246" s="715">
        <v>110160</v>
      </c>
      <c r="F246" s="715"/>
      <c r="G246" s="489">
        <f>E246+F246</f>
        <v>110160</v>
      </c>
    </row>
    <row r="247" spans="1:7" ht="12.75">
      <c r="A247" s="112"/>
      <c r="B247" s="99"/>
      <c r="C247" s="99"/>
      <c r="D247" s="115" t="s">
        <v>502</v>
      </c>
      <c r="E247" s="715"/>
      <c r="F247" s="715"/>
      <c r="G247" s="489"/>
    </row>
    <row r="248" spans="1:7" ht="12.75">
      <c r="A248" s="112"/>
      <c r="B248" s="99"/>
      <c r="C248" s="99">
        <v>3020</v>
      </c>
      <c r="D248" s="115" t="s">
        <v>63</v>
      </c>
      <c r="E248" s="715">
        <v>7407</v>
      </c>
      <c r="F248" s="715"/>
      <c r="G248" s="489">
        <f>E248+F248</f>
        <v>7407</v>
      </c>
    </row>
    <row r="249" spans="1:9" ht="12.75">
      <c r="A249" s="112"/>
      <c r="B249" s="99"/>
      <c r="C249" s="99">
        <v>4010</v>
      </c>
      <c r="D249" s="115" t="s">
        <v>64</v>
      </c>
      <c r="E249" s="715">
        <v>1514216</v>
      </c>
      <c r="F249" s="715">
        <f>2463+10422</f>
        <v>12885</v>
      </c>
      <c r="G249" s="489">
        <f aca="true" t="shared" si="10" ref="G249:G267">E249+F249</f>
        <v>1527101</v>
      </c>
      <c r="I249" s="80">
        <f>SUM(F249:F253)</f>
        <v>2085</v>
      </c>
    </row>
    <row r="250" spans="1:7" ht="12.75">
      <c r="A250" s="112"/>
      <c r="B250" s="99"/>
      <c r="C250" s="99">
        <v>4040</v>
      </c>
      <c r="D250" s="115" t="s">
        <v>65</v>
      </c>
      <c r="E250" s="715">
        <v>125818</v>
      </c>
      <c r="F250" s="746">
        <f>-2463-8337</f>
        <v>-10800</v>
      </c>
      <c r="G250" s="489">
        <f t="shared" si="10"/>
        <v>115018</v>
      </c>
    </row>
    <row r="251" spans="1:7" ht="12.75">
      <c r="A251" s="112"/>
      <c r="B251" s="99"/>
      <c r="C251" s="99">
        <v>4110</v>
      </c>
      <c r="D251" s="115" t="s">
        <v>66</v>
      </c>
      <c r="E251" s="715">
        <v>274744</v>
      </c>
      <c r="F251" s="715"/>
      <c r="G251" s="489">
        <f t="shared" si="10"/>
        <v>274744</v>
      </c>
    </row>
    <row r="252" spans="1:7" ht="12.75">
      <c r="A252" s="112"/>
      <c r="B252" s="99"/>
      <c r="C252" s="99">
        <v>4120</v>
      </c>
      <c r="D252" s="115" t="s">
        <v>67</v>
      </c>
      <c r="E252" s="715">
        <v>39214</v>
      </c>
      <c r="F252" s="715"/>
      <c r="G252" s="489">
        <f t="shared" si="10"/>
        <v>39214</v>
      </c>
    </row>
    <row r="253" spans="1:7" ht="12.75">
      <c r="A253" s="112"/>
      <c r="B253" s="99"/>
      <c r="C253" s="99">
        <v>4170</v>
      </c>
      <c r="D253" s="115" t="s">
        <v>68</v>
      </c>
      <c r="E253" s="715">
        <f>3000</f>
        <v>3000</v>
      </c>
      <c r="F253" s="715"/>
      <c r="G253" s="489">
        <f t="shared" si="10"/>
        <v>3000</v>
      </c>
    </row>
    <row r="254" spans="1:7" ht="12.75">
      <c r="A254" s="112"/>
      <c r="B254" s="99"/>
      <c r="C254" s="99">
        <v>4210</v>
      </c>
      <c r="D254" s="115" t="s">
        <v>69</v>
      </c>
      <c r="E254" s="715">
        <v>14372</v>
      </c>
      <c r="F254" s="715">
        <v>6343</v>
      </c>
      <c r="G254" s="489">
        <f t="shared" si="10"/>
        <v>20715</v>
      </c>
    </row>
    <row r="255" spans="1:7" ht="12.75">
      <c r="A255" s="112"/>
      <c r="B255" s="99"/>
      <c r="C255" s="99">
        <v>4240</v>
      </c>
      <c r="D255" s="115" t="s">
        <v>127</v>
      </c>
      <c r="E255" s="715">
        <v>6060</v>
      </c>
      <c r="F255" s="715"/>
      <c r="G255" s="489">
        <f t="shared" si="10"/>
        <v>6060</v>
      </c>
    </row>
    <row r="256" spans="1:7" ht="12.75">
      <c r="A256" s="112"/>
      <c r="B256" s="99"/>
      <c r="C256" s="99">
        <v>4260</v>
      </c>
      <c r="D256" s="115" t="s">
        <v>70</v>
      </c>
      <c r="E256" s="715">
        <v>76480</v>
      </c>
      <c r="F256" s="715"/>
      <c r="G256" s="489">
        <f t="shared" si="10"/>
        <v>76480</v>
      </c>
    </row>
    <row r="257" spans="1:9" ht="12.75">
      <c r="A257" s="112"/>
      <c r="B257" s="99"/>
      <c r="C257" s="99">
        <v>4270</v>
      </c>
      <c r="D257" s="115" t="s">
        <v>71</v>
      </c>
      <c r="E257" s="715">
        <v>6500</v>
      </c>
      <c r="F257" s="715"/>
      <c r="G257" s="489">
        <f t="shared" si="10"/>
        <v>6500</v>
      </c>
      <c r="I257" s="80">
        <f>SUM(F248:F264)</f>
        <v>8428</v>
      </c>
    </row>
    <row r="258" spans="1:7" ht="12.75">
      <c r="A258" s="112"/>
      <c r="B258" s="99"/>
      <c r="C258" s="99">
        <v>4280</v>
      </c>
      <c r="D258" s="115" t="s">
        <v>72</v>
      </c>
      <c r="E258" s="715">
        <f>600</f>
        <v>600</v>
      </c>
      <c r="F258" s="715"/>
      <c r="G258" s="489">
        <f t="shared" si="10"/>
        <v>600</v>
      </c>
    </row>
    <row r="259" spans="1:7" ht="12.75">
      <c r="A259" s="112"/>
      <c r="B259" s="115"/>
      <c r="C259" s="99">
        <v>4300</v>
      </c>
      <c r="D259" s="115" t="s">
        <v>58</v>
      </c>
      <c r="E259" s="715">
        <v>15008</v>
      </c>
      <c r="F259" s="715"/>
      <c r="G259" s="489">
        <f t="shared" si="10"/>
        <v>15008</v>
      </c>
    </row>
    <row r="260" spans="1:7" ht="12.75">
      <c r="A260" s="112"/>
      <c r="B260" s="115"/>
      <c r="C260" s="99">
        <v>4350</v>
      </c>
      <c r="D260" s="115" t="s">
        <v>112</v>
      </c>
      <c r="E260" s="715">
        <f>726</f>
        <v>726</v>
      </c>
      <c r="F260" s="715"/>
      <c r="G260" s="489">
        <f t="shared" si="10"/>
        <v>726</v>
      </c>
    </row>
    <row r="261" spans="1:7" ht="12.75">
      <c r="A261" s="112"/>
      <c r="B261" s="115"/>
      <c r="C261" s="99">
        <v>4370</v>
      </c>
      <c r="D261" s="115" t="s">
        <v>75</v>
      </c>
      <c r="E261" s="715">
        <v>5100</v>
      </c>
      <c r="F261" s="715"/>
      <c r="G261" s="489">
        <f t="shared" si="10"/>
        <v>5100</v>
      </c>
    </row>
    <row r="262" spans="1:7" ht="12.75">
      <c r="A262" s="112"/>
      <c r="B262" s="115"/>
      <c r="C262" s="99">
        <v>4410</v>
      </c>
      <c r="D262" s="115" t="s">
        <v>76</v>
      </c>
      <c r="E262" s="715">
        <f>2500</f>
        <v>2500</v>
      </c>
      <c r="F262" s="715"/>
      <c r="G262" s="489">
        <f t="shared" si="10"/>
        <v>2500</v>
      </c>
    </row>
    <row r="263" spans="1:7" ht="12.75">
      <c r="A263" s="112"/>
      <c r="B263" s="115"/>
      <c r="C263" s="99">
        <v>4430</v>
      </c>
      <c r="D263" s="115" t="s">
        <v>77</v>
      </c>
      <c r="E263" s="715">
        <v>9700</v>
      </c>
      <c r="F263" s="715"/>
      <c r="G263" s="489">
        <f t="shared" si="10"/>
        <v>9700</v>
      </c>
    </row>
    <row r="264" spans="1:7" ht="12.75">
      <c r="A264" s="112"/>
      <c r="B264" s="115"/>
      <c r="C264" s="99">
        <v>4440</v>
      </c>
      <c r="D264" s="115" t="s">
        <v>78</v>
      </c>
      <c r="E264" s="715">
        <f>84128+13586</f>
        <v>97714</v>
      </c>
      <c r="F264" s="715"/>
      <c r="G264" s="489">
        <f t="shared" si="10"/>
        <v>97714</v>
      </c>
    </row>
    <row r="265" spans="1:7" ht="12.75">
      <c r="A265" s="112"/>
      <c r="B265" s="115"/>
      <c r="C265" s="99">
        <v>4700</v>
      </c>
      <c r="D265" s="115" t="s">
        <v>97</v>
      </c>
      <c r="E265" s="715">
        <f>1000</f>
        <v>1000</v>
      </c>
      <c r="F265" s="715"/>
      <c r="G265" s="489">
        <f t="shared" si="10"/>
        <v>1000</v>
      </c>
    </row>
    <row r="266" spans="1:7" ht="12.75">
      <c r="A266" s="112"/>
      <c r="B266" s="115"/>
      <c r="C266" s="99">
        <v>4740</v>
      </c>
      <c r="D266" s="115" t="s">
        <v>106</v>
      </c>
      <c r="E266" s="715">
        <v>9120</v>
      </c>
      <c r="F266" s="715"/>
      <c r="G266" s="489">
        <f t="shared" si="10"/>
        <v>9120</v>
      </c>
    </row>
    <row r="267" spans="1:7" ht="12.75">
      <c r="A267" s="112"/>
      <c r="B267" s="115"/>
      <c r="C267" s="99">
        <v>4750</v>
      </c>
      <c r="D267" s="115" t="s">
        <v>107</v>
      </c>
      <c r="E267" s="715">
        <f>550</f>
        <v>550</v>
      </c>
      <c r="F267" s="715"/>
      <c r="G267" s="489">
        <f t="shared" si="10"/>
        <v>550</v>
      </c>
    </row>
    <row r="268" spans="1:7" ht="12.75">
      <c r="A268" s="112"/>
      <c r="B268" s="99"/>
      <c r="C268" s="99"/>
      <c r="D268" s="115"/>
      <c r="E268" s="715"/>
      <c r="F268" s="715"/>
      <c r="G268" s="489"/>
    </row>
    <row r="269" spans="1:7" ht="12.75">
      <c r="A269" s="112"/>
      <c r="B269" s="69">
        <v>80130</v>
      </c>
      <c r="C269" s="69"/>
      <c r="D269" s="119" t="s">
        <v>129</v>
      </c>
      <c r="E269" s="714">
        <f>SUM(E270:E291)</f>
        <v>3909983</v>
      </c>
      <c r="F269" s="714">
        <f>SUM(F270:F291)</f>
        <v>16405</v>
      </c>
      <c r="G269" s="488">
        <f>SUM(G270:G291)</f>
        <v>3926388</v>
      </c>
    </row>
    <row r="270" spans="1:7" ht="12.75">
      <c r="A270" s="112"/>
      <c r="B270" s="115"/>
      <c r="C270" s="99">
        <v>3020</v>
      </c>
      <c r="D270" s="115" t="s">
        <v>63</v>
      </c>
      <c r="E270" s="715">
        <v>34423</v>
      </c>
      <c r="F270" s="715"/>
      <c r="G270" s="489">
        <f>E270+F270</f>
        <v>34423</v>
      </c>
    </row>
    <row r="271" spans="1:9" ht="12.75">
      <c r="A271" s="112"/>
      <c r="B271" s="115"/>
      <c r="C271" s="99">
        <v>4010</v>
      </c>
      <c r="D271" s="115" t="s">
        <v>64</v>
      </c>
      <c r="E271" s="715">
        <v>2343817</v>
      </c>
      <c r="F271" s="715">
        <v>1696</v>
      </c>
      <c r="G271" s="489">
        <f aca="true" t="shared" si="11" ref="G271:G291">E271+F271</f>
        <v>2345513</v>
      </c>
      <c r="I271" s="80">
        <f>SUM(F271:F274)</f>
        <v>-4689</v>
      </c>
    </row>
    <row r="272" spans="1:7" ht="12.75">
      <c r="A272" s="112"/>
      <c r="B272" s="115"/>
      <c r="C272" s="99">
        <v>4040</v>
      </c>
      <c r="D272" s="115" t="s">
        <v>65</v>
      </c>
      <c r="E272" s="715">
        <v>208008</v>
      </c>
      <c r="F272" s="746">
        <f>-2537-2200-1648</f>
        <v>-6385</v>
      </c>
      <c r="G272" s="489">
        <f t="shared" si="11"/>
        <v>201623</v>
      </c>
    </row>
    <row r="273" spans="1:7" ht="12.75">
      <c r="A273" s="112"/>
      <c r="B273" s="115"/>
      <c r="C273" s="99">
        <v>4110</v>
      </c>
      <c r="D273" s="115" t="s">
        <v>66</v>
      </c>
      <c r="E273" s="715">
        <v>396293</v>
      </c>
      <c r="F273" s="715"/>
      <c r="G273" s="489">
        <f t="shared" si="11"/>
        <v>396293</v>
      </c>
    </row>
    <row r="274" spans="1:7" ht="12.75">
      <c r="A274" s="112"/>
      <c r="B274" s="115"/>
      <c r="C274" s="99">
        <v>4120</v>
      </c>
      <c r="D274" s="115" t="s">
        <v>67</v>
      </c>
      <c r="E274" s="715">
        <v>61303</v>
      </c>
      <c r="F274" s="715"/>
      <c r="G274" s="489">
        <f t="shared" si="11"/>
        <v>61303</v>
      </c>
    </row>
    <row r="275" spans="1:7" ht="12.75">
      <c r="A275" s="112"/>
      <c r="B275" s="115"/>
      <c r="C275" s="99">
        <v>4170</v>
      </c>
      <c r="D275" s="115" t="s">
        <v>68</v>
      </c>
      <c r="E275" s="715">
        <v>0</v>
      </c>
      <c r="F275" s="715">
        <v>2537</v>
      </c>
      <c r="G275" s="489">
        <f t="shared" si="11"/>
        <v>2537</v>
      </c>
    </row>
    <row r="276" spans="1:7" ht="12.75">
      <c r="A276" s="112"/>
      <c r="B276" s="115"/>
      <c r="C276" s="99">
        <v>4210</v>
      </c>
      <c r="D276" s="115" t="s">
        <v>69</v>
      </c>
      <c r="E276" s="715">
        <v>268305</v>
      </c>
      <c r="F276" s="715"/>
      <c r="G276" s="489">
        <f t="shared" si="11"/>
        <v>268305</v>
      </c>
    </row>
    <row r="277" spans="1:7" ht="12.75">
      <c r="A277" s="112"/>
      <c r="B277" s="115"/>
      <c r="C277" s="99">
        <v>4240</v>
      </c>
      <c r="D277" s="115" t="s">
        <v>127</v>
      </c>
      <c r="E277" s="715">
        <v>21560</v>
      </c>
      <c r="F277" s="715"/>
      <c r="G277" s="489">
        <f t="shared" si="11"/>
        <v>21560</v>
      </c>
    </row>
    <row r="278" spans="1:9" ht="12.75">
      <c r="A278" s="112"/>
      <c r="B278" s="115"/>
      <c r="C278" s="99">
        <v>4260</v>
      </c>
      <c r="D278" s="115" t="s">
        <v>70</v>
      </c>
      <c r="E278" s="715">
        <v>135520</v>
      </c>
      <c r="F278" s="715"/>
      <c r="G278" s="489">
        <f t="shared" si="11"/>
        <v>135520</v>
      </c>
      <c r="I278" s="80">
        <f>SUM(F270:F287)</f>
        <v>13059</v>
      </c>
    </row>
    <row r="279" spans="1:7" ht="12.75">
      <c r="A279" s="112"/>
      <c r="B279" s="115"/>
      <c r="C279" s="99">
        <v>4270</v>
      </c>
      <c r="D279" s="115" t="s">
        <v>71</v>
      </c>
      <c r="E279" s="715">
        <v>98000</v>
      </c>
      <c r="F279" s="743">
        <v>15211</v>
      </c>
      <c r="G279" s="489">
        <f t="shared" si="11"/>
        <v>113211</v>
      </c>
    </row>
    <row r="280" spans="1:7" ht="12.75">
      <c r="A280" s="112"/>
      <c r="B280" s="115"/>
      <c r="C280" s="99">
        <v>4280</v>
      </c>
      <c r="D280" s="115" t="s">
        <v>72</v>
      </c>
      <c r="E280" s="715">
        <f>600+100+1000</f>
        <v>1700</v>
      </c>
      <c r="F280" s="715"/>
      <c r="G280" s="489">
        <f t="shared" si="11"/>
        <v>1700</v>
      </c>
    </row>
    <row r="281" spans="1:7" ht="12.75">
      <c r="A281" s="112"/>
      <c r="B281" s="115"/>
      <c r="C281" s="99">
        <v>4300</v>
      </c>
      <c r="D281" s="115" t="s">
        <v>58</v>
      </c>
      <c r="E281" s="715">
        <v>88025</v>
      </c>
      <c r="F281" s="715"/>
      <c r="G281" s="489">
        <f t="shared" si="11"/>
        <v>88025</v>
      </c>
    </row>
    <row r="282" spans="1:7" ht="12.75">
      <c r="A282" s="112"/>
      <c r="B282" s="115"/>
      <c r="C282" s="99">
        <v>4350</v>
      </c>
      <c r="D282" s="115" t="s">
        <v>112</v>
      </c>
      <c r="E282" s="715">
        <v>7649</v>
      </c>
      <c r="F282" s="715"/>
      <c r="G282" s="489">
        <f t="shared" si="11"/>
        <v>7649</v>
      </c>
    </row>
    <row r="283" spans="1:7" ht="12.75">
      <c r="A283" s="112"/>
      <c r="B283" s="115"/>
      <c r="C283" s="99">
        <v>4370</v>
      </c>
      <c r="D283" s="115" t="s">
        <v>75</v>
      </c>
      <c r="E283" s="715">
        <v>14410</v>
      </c>
      <c r="F283" s="715"/>
      <c r="G283" s="489">
        <f t="shared" si="11"/>
        <v>14410</v>
      </c>
    </row>
    <row r="284" spans="1:7" ht="12.75">
      <c r="A284" s="112"/>
      <c r="B284" s="115"/>
      <c r="C284" s="99">
        <v>4400</v>
      </c>
      <c r="D284" s="115" t="s">
        <v>456</v>
      </c>
      <c r="E284" s="715">
        <f>30000</f>
        <v>30000</v>
      </c>
      <c r="F284" s="715"/>
      <c r="G284" s="489">
        <f t="shared" si="11"/>
        <v>30000</v>
      </c>
    </row>
    <row r="285" spans="1:7" ht="12.75">
      <c r="A285" s="112"/>
      <c r="B285" s="115"/>
      <c r="C285" s="99">
        <v>4410</v>
      </c>
      <c r="D285" s="115" t="s">
        <v>76</v>
      </c>
      <c r="E285" s="715">
        <v>1900</v>
      </c>
      <c r="F285" s="715"/>
      <c r="G285" s="489">
        <f t="shared" si="11"/>
        <v>1900</v>
      </c>
    </row>
    <row r="286" spans="1:7" ht="12.75">
      <c r="A286" s="112"/>
      <c r="B286" s="115"/>
      <c r="C286" s="99">
        <v>4430</v>
      </c>
      <c r="D286" s="115" t="s">
        <v>77</v>
      </c>
      <c r="E286" s="715">
        <v>21100</v>
      </c>
      <c r="F286" s="715"/>
      <c r="G286" s="489">
        <f t="shared" si="11"/>
        <v>21100</v>
      </c>
    </row>
    <row r="287" spans="1:7" ht="12.75">
      <c r="A287" s="112"/>
      <c r="B287" s="115"/>
      <c r="C287" s="99">
        <v>4440</v>
      </c>
      <c r="D287" s="115" t="s">
        <v>78</v>
      </c>
      <c r="E287" s="715">
        <v>153427</v>
      </c>
      <c r="F287" s="715"/>
      <c r="G287" s="489">
        <f t="shared" si="11"/>
        <v>153427</v>
      </c>
    </row>
    <row r="288" spans="1:7" ht="12.75">
      <c r="A288" s="112"/>
      <c r="B288" s="115"/>
      <c r="C288" s="99">
        <v>4530</v>
      </c>
      <c r="D288" s="739" t="s">
        <v>651</v>
      </c>
      <c r="E288" s="715">
        <v>0</v>
      </c>
      <c r="F288" s="743">
        <v>3346</v>
      </c>
      <c r="G288" s="489">
        <f t="shared" si="11"/>
        <v>3346</v>
      </c>
    </row>
    <row r="289" spans="1:7" ht="12.75">
      <c r="A289" s="112"/>
      <c r="B289" s="115"/>
      <c r="C289" s="99">
        <v>4700</v>
      </c>
      <c r="D289" s="115" t="s">
        <v>97</v>
      </c>
      <c r="E289" s="715">
        <v>500</v>
      </c>
      <c r="F289" s="715"/>
      <c r="G289" s="489">
        <f t="shared" si="11"/>
        <v>500</v>
      </c>
    </row>
    <row r="290" spans="1:7" ht="12.75">
      <c r="A290" s="112"/>
      <c r="B290" s="115"/>
      <c r="C290" s="99">
        <v>4740</v>
      </c>
      <c r="D290" s="115" t="s">
        <v>106</v>
      </c>
      <c r="E290" s="715">
        <v>12679</v>
      </c>
      <c r="F290" s="715"/>
      <c r="G290" s="489">
        <f t="shared" si="11"/>
        <v>12679</v>
      </c>
    </row>
    <row r="291" spans="1:7" ht="12.75">
      <c r="A291" s="112"/>
      <c r="B291" s="115"/>
      <c r="C291" s="99">
        <v>4750</v>
      </c>
      <c r="D291" s="115" t="s">
        <v>107</v>
      </c>
      <c r="E291" s="715">
        <v>11364</v>
      </c>
      <c r="F291" s="715"/>
      <c r="G291" s="489">
        <f t="shared" si="11"/>
        <v>11364</v>
      </c>
    </row>
    <row r="292" spans="1:7" ht="12.75">
      <c r="A292" s="112"/>
      <c r="B292" s="115"/>
      <c r="C292" s="99"/>
      <c r="D292" s="115"/>
      <c r="E292" s="715"/>
      <c r="F292" s="715"/>
      <c r="G292" s="489"/>
    </row>
    <row r="293" spans="1:7" ht="12.75">
      <c r="A293" s="112"/>
      <c r="B293" s="69">
        <v>80146</v>
      </c>
      <c r="C293" s="69"/>
      <c r="D293" s="119" t="s">
        <v>130</v>
      </c>
      <c r="E293" s="714">
        <f>SUM(E294:E294)</f>
        <v>55000</v>
      </c>
      <c r="F293" s="714">
        <f>SUM(F294:F294)</f>
        <v>0</v>
      </c>
      <c r="G293" s="488">
        <f>SUM(G294:G294)</f>
        <v>55000</v>
      </c>
    </row>
    <row r="294" spans="1:7" ht="12.75">
      <c r="A294" s="112"/>
      <c r="B294" s="99"/>
      <c r="C294" s="99">
        <v>4300</v>
      </c>
      <c r="D294" s="115" t="s">
        <v>58</v>
      </c>
      <c r="E294" s="715">
        <v>55000</v>
      </c>
      <c r="F294" s="715"/>
      <c r="G294" s="489">
        <f>E294+F294</f>
        <v>55000</v>
      </c>
    </row>
    <row r="295" spans="1:7" ht="12.75">
      <c r="A295" s="112"/>
      <c r="B295" s="99"/>
      <c r="C295" s="99"/>
      <c r="D295" s="115"/>
      <c r="E295" s="715"/>
      <c r="F295" s="715"/>
      <c r="G295" s="489"/>
    </row>
    <row r="296" spans="1:7" ht="12.75">
      <c r="A296" s="112"/>
      <c r="B296" s="69">
        <v>80195</v>
      </c>
      <c r="C296" s="69"/>
      <c r="D296" s="119" t="s">
        <v>44</v>
      </c>
      <c r="E296" s="714">
        <f>SUM(E297:E302)</f>
        <v>131002</v>
      </c>
      <c r="F296" s="714">
        <f>SUM(F297:F302)</f>
        <v>0</v>
      </c>
      <c r="G296" s="488">
        <f>SUM(G297:G302)</f>
        <v>131002</v>
      </c>
    </row>
    <row r="297" spans="1:7" ht="12.75">
      <c r="A297" s="112"/>
      <c r="B297" s="99"/>
      <c r="C297" s="99">
        <v>2820</v>
      </c>
      <c r="D297" s="115" t="s">
        <v>131</v>
      </c>
      <c r="E297" s="715">
        <v>18500</v>
      </c>
      <c r="F297" s="715"/>
      <c r="G297" s="489">
        <f>E297+F297</f>
        <v>18500</v>
      </c>
    </row>
    <row r="298" spans="1:7" ht="12.75">
      <c r="A298" s="112"/>
      <c r="B298" s="99"/>
      <c r="C298" s="99"/>
      <c r="D298" s="115" t="s">
        <v>132</v>
      </c>
      <c r="E298" s="715"/>
      <c r="F298" s="715"/>
      <c r="G298" s="489"/>
    </row>
    <row r="299" spans="1:7" ht="12.75">
      <c r="A299" s="112"/>
      <c r="B299" s="99"/>
      <c r="C299" s="99">
        <v>4010</v>
      </c>
      <c r="D299" s="115" t="s">
        <v>64</v>
      </c>
      <c r="E299" s="715">
        <f>38300+0</f>
        <v>38300</v>
      </c>
      <c r="F299" s="715"/>
      <c r="G299" s="489">
        <f>E299+F299</f>
        <v>38300</v>
      </c>
    </row>
    <row r="300" spans="1:7" ht="12.75">
      <c r="A300" s="112"/>
      <c r="B300" s="99"/>
      <c r="C300" s="99">
        <v>4110</v>
      </c>
      <c r="D300" s="115" t="s">
        <v>66</v>
      </c>
      <c r="E300" s="715">
        <f>5937+0</f>
        <v>5937</v>
      </c>
      <c r="F300" s="715"/>
      <c r="G300" s="489">
        <f>E300+F300</f>
        <v>5937</v>
      </c>
    </row>
    <row r="301" spans="1:7" ht="12.75">
      <c r="A301" s="112"/>
      <c r="B301" s="99"/>
      <c r="C301" s="99">
        <v>4120</v>
      </c>
      <c r="D301" s="115" t="s">
        <v>67</v>
      </c>
      <c r="E301" s="715">
        <f>938+0</f>
        <v>938</v>
      </c>
      <c r="F301" s="715"/>
      <c r="G301" s="489">
        <f>E301+F301</f>
        <v>938</v>
      </c>
    </row>
    <row r="302" spans="1:7" ht="12.75">
      <c r="A302" s="112"/>
      <c r="B302" s="99"/>
      <c r="C302" s="99">
        <v>4440</v>
      </c>
      <c r="D302" s="115" t="s">
        <v>78</v>
      </c>
      <c r="E302" s="715">
        <f>1639+28517+14206+22965</f>
        <v>67327</v>
      </c>
      <c r="F302" s="715"/>
      <c r="G302" s="489">
        <f>E302+F302</f>
        <v>67327</v>
      </c>
    </row>
    <row r="303" spans="1:7" ht="12.75">
      <c r="A303" s="112"/>
      <c r="B303" s="99"/>
      <c r="C303" s="99"/>
      <c r="D303" s="115"/>
      <c r="E303" s="715"/>
      <c r="F303" s="715"/>
      <c r="G303" s="489"/>
    </row>
    <row r="304" spans="1:7" ht="12.75">
      <c r="A304" s="112"/>
      <c r="B304" s="69">
        <v>80197</v>
      </c>
      <c r="C304" s="69"/>
      <c r="D304" s="119" t="s">
        <v>375</v>
      </c>
      <c r="E304" s="714">
        <f>E305</f>
        <v>23305</v>
      </c>
      <c r="F304" s="714">
        <f>F305</f>
        <v>0</v>
      </c>
      <c r="G304" s="488">
        <f>G305</f>
        <v>23305</v>
      </c>
    </row>
    <row r="305" spans="1:7" ht="12.75">
      <c r="A305" s="112"/>
      <c r="B305" s="99"/>
      <c r="C305" s="99">
        <v>4160</v>
      </c>
      <c r="D305" s="115" t="s">
        <v>495</v>
      </c>
      <c r="E305" s="715">
        <v>23305</v>
      </c>
      <c r="F305" s="715"/>
      <c r="G305" s="489">
        <f>E305+F305</f>
        <v>23305</v>
      </c>
    </row>
    <row r="306" spans="1:7" ht="12.75">
      <c r="A306" s="112"/>
      <c r="B306" s="99"/>
      <c r="C306" s="99"/>
      <c r="D306" s="115" t="s">
        <v>496</v>
      </c>
      <c r="E306" s="715"/>
      <c r="F306" s="715"/>
      <c r="G306" s="489"/>
    </row>
    <row r="307" spans="1:7" ht="12.75">
      <c r="A307" s="112"/>
      <c r="B307" s="99"/>
      <c r="C307" s="99"/>
      <c r="D307" s="115"/>
      <c r="E307" s="715"/>
      <c r="F307" s="715"/>
      <c r="G307" s="489"/>
    </row>
    <row r="308" spans="1:7" ht="13.5" thickBot="1">
      <c r="A308" s="68">
        <v>851</v>
      </c>
      <c r="B308" s="117"/>
      <c r="C308" s="117"/>
      <c r="D308" s="75" t="s">
        <v>133</v>
      </c>
      <c r="E308" s="93">
        <f>E312+E318+E309</f>
        <v>108000</v>
      </c>
      <c r="F308" s="93">
        <f>F312+F318+F309</f>
        <v>0</v>
      </c>
      <c r="G308" s="132">
        <f>G312+G318+G309</f>
        <v>108000</v>
      </c>
    </row>
    <row r="309" spans="1:7" ht="12.75">
      <c r="A309" s="94"/>
      <c r="B309" s="69">
        <v>85149</v>
      </c>
      <c r="C309" s="69"/>
      <c r="D309" s="119" t="s">
        <v>135</v>
      </c>
      <c r="E309" s="714">
        <f>SUM(E310:E310)</f>
        <v>3000</v>
      </c>
      <c r="F309" s="714">
        <f>SUM(F310:F310)</f>
        <v>0</v>
      </c>
      <c r="G309" s="488">
        <f>SUM(G310:G310)</f>
        <v>3000</v>
      </c>
    </row>
    <row r="310" spans="1:7" ht="12.75">
      <c r="A310" s="94"/>
      <c r="B310" s="120"/>
      <c r="C310" s="99">
        <v>4300</v>
      </c>
      <c r="D310" s="115" t="s">
        <v>58</v>
      </c>
      <c r="E310" s="715">
        <v>3000</v>
      </c>
      <c r="F310" s="715"/>
      <c r="G310" s="489">
        <f>E310+F310</f>
        <v>3000</v>
      </c>
    </row>
    <row r="311" spans="1:7" ht="12.75">
      <c r="A311" s="94"/>
      <c r="B311" s="120"/>
      <c r="C311" s="120"/>
      <c r="D311" s="121"/>
      <c r="E311" s="715"/>
      <c r="F311" s="715"/>
      <c r="G311" s="489"/>
    </row>
    <row r="312" spans="1:7" ht="12.75">
      <c r="A312" s="94"/>
      <c r="B312" s="69">
        <v>85154</v>
      </c>
      <c r="C312" s="69"/>
      <c r="D312" s="119" t="s">
        <v>262</v>
      </c>
      <c r="E312" s="714">
        <f>SUM(E313:E316)</f>
        <v>10000</v>
      </c>
      <c r="F312" s="714">
        <f>SUM(F313:F316)</f>
        <v>0</v>
      </c>
      <c r="G312" s="488">
        <f>SUM(G313:G316)</f>
        <v>10000</v>
      </c>
    </row>
    <row r="313" spans="1:7" ht="12.75">
      <c r="A313" s="94"/>
      <c r="B313" s="99"/>
      <c r="C313" s="99">
        <v>4110</v>
      </c>
      <c r="D313" s="115" t="s">
        <v>66</v>
      </c>
      <c r="E313" s="715">
        <v>813</v>
      </c>
      <c r="F313" s="715"/>
      <c r="G313" s="489">
        <f>E313+F313</f>
        <v>813</v>
      </c>
    </row>
    <row r="314" spans="1:7" ht="12.75">
      <c r="A314" s="94"/>
      <c r="B314" s="99"/>
      <c r="C314" s="99">
        <v>4120</v>
      </c>
      <c r="D314" s="115" t="s">
        <v>67</v>
      </c>
      <c r="E314" s="715">
        <v>123</v>
      </c>
      <c r="F314" s="715"/>
      <c r="G314" s="489">
        <f>E314+F314</f>
        <v>123</v>
      </c>
    </row>
    <row r="315" spans="1:7" ht="12.75">
      <c r="A315" s="94"/>
      <c r="B315" s="99"/>
      <c r="C315" s="99">
        <v>4170</v>
      </c>
      <c r="D315" s="115" t="s">
        <v>68</v>
      </c>
      <c r="E315" s="715">
        <v>5000</v>
      </c>
      <c r="F315" s="715"/>
      <c r="G315" s="489">
        <f>E315+F315</f>
        <v>5000</v>
      </c>
    </row>
    <row r="316" spans="1:7" ht="12.75">
      <c r="A316" s="94"/>
      <c r="B316" s="99"/>
      <c r="C316" s="99">
        <v>4300</v>
      </c>
      <c r="D316" s="115" t="s">
        <v>58</v>
      </c>
      <c r="E316" s="715">
        <v>4064</v>
      </c>
      <c r="F316" s="715"/>
      <c r="G316" s="489">
        <f>E316+F316</f>
        <v>4064</v>
      </c>
    </row>
    <row r="317" spans="1:7" ht="12.75">
      <c r="A317" s="94"/>
      <c r="B317" s="99"/>
      <c r="C317" s="99"/>
      <c r="D317" s="115"/>
      <c r="E317" s="715"/>
      <c r="F317" s="715"/>
      <c r="G317" s="489"/>
    </row>
    <row r="318" spans="1:7" ht="12.75">
      <c r="A318" s="112"/>
      <c r="B318" s="99">
        <v>85156</v>
      </c>
      <c r="C318" s="99"/>
      <c r="D318" s="115" t="s">
        <v>440</v>
      </c>
      <c r="E318" s="715">
        <f>SUM(E320:E320)</f>
        <v>95000</v>
      </c>
      <c r="F318" s="715">
        <f>SUM(F320:F320)</f>
        <v>0</v>
      </c>
      <c r="G318" s="489">
        <f>SUM(G320:G320)</f>
        <v>95000</v>
      </c>
    </row>
    <row r="319" spans="1:7" ht="12.75">
      <c r="A319" s="112"/>
      <c r="B319" s="69"/>
      <c r="C319" s="69"/>
      <c r="D319" s="119" t="s">
        <v>441</v>
      </c>
      <c r="E319" s="714"/>
      <c r="F319" s="714"/>
      <c r="G319" s="488"/>
    </row>
    <row r="320" spans="1:7" ht="12.75">
      <c r="A320" s="112"/>
      <c r="B320" s="115"/>
      <c r="C320" s="127" t="s">
        <v>137</v>
      </c>
      <c r="D320" s="115" t="s">
        <v>138</v>
      </c>
      <c r="E320" s="715">
        <v>95000</v>
      </c>
      <c r="F320" s="715"/>
      <c r="G320" s="489">
        <f>E320+F320</f>
        <v>95000</v>
      </c>
    </row>
    <row r="321" spans="1:7" ht="12.75">
      <c r="A321" s="112"/>
      <c r="B321" s="121"/>
      <c r="C321" s="447"/>
      <c r="D321" s="121"/>
      <c r="E321" s="715"/>
      <c r="F321" s="715"/>
      <c r="G321" s="489"/>
    </row>
    <row r="322" spans="1:7" ht="13.5" thickBot="1">
      <c r="A322" s="68">
        <v>852</v>
      </c>
      <c r="B322" s="75"/>
      <c r="C322" s="306"/>
      <c r="D322" s="75" t="s">
        <v>139</v>
      </c>
      <c r="E322" s="93">
        <f>E323+E350+E403+E411+E434+E379</f>
        <v>9002681</v>
      </c>
      <c r="F322" s="93">
        <f>F323+F350+F403+F411+F434+F379</f>
        <v>-4855</v>
      </c>
      <c r="G322" s="132">
        <f>G323+G350+G403+G411+G434+G379</f>
        <v>8997826</v>
      </c>
    </row>
    <row r="323" spans="1:7" ht="12.75">
      <c r="A323" s="112"/>
      <c r="B323" s="69">
        <v>85201</v>
      </c>
      <c r="C323" s="69"/>
      <c r="D323" s="119" t="s">
        <v>140</v>
      </c>
      <c r="E323" s="714">
        <f>SUM(E324:E348)</f>
        <v>2037385</v>
      </c>
      <c r="F323" s="714">
        <f>SUM(F324:F348)</f>
        <v>-10400</v>
      </c>
      <c r="G323" s="488">
        <f>SUM(G324:G348)</f>
        <v>2026985</v>
      </c>
    </row>
    <row r="324" spans="1:7" ht="12.75">
      <c r="A324" s="112"/>
      <c r="B324" s="99"/>
      <c r="C324" s="99">
        <v>2310</v>
      </c>
      <c r="D324" s="115" t="s">
        <v>134</v>
      </c>
      <c r="E324" s="715">
        <f>40000+401472</f>
        <v>441472</v>
      </c>
      <c r="F324" s="715">
        <v>20000</v>
      </c>
      <c r="G324" s="489">
        <f>E324+F324</f>
        <v>461472</v>
      </c>
    </row>
    <row r="325" spans="1:7" ht="12.75">
      <c r="A325" s="112"/>
      <c r="B325" s="115"/>
      <c r="C325" s="99">
        <v>3020</v>
      </c>
      <c r="D325" s="115" t="s">
        <v>63</v>
      </c>
      <c r="E325" s="715">
        <v>17662</v>
      </c>
      <c r="F325" s="715"/>
      <c r="G325" s="489">
        <f aca="true" t="shared" si="12" ref="G325:G348">E325+F325</f>
        <v>17662</v>
      </c>
    </row>
    <row r="326" spans="1:9" ht="12.75">
      <c r="A326" s="112"/>
      <c r="B326" s="115"/>
      <c r="C326" s="99">
        <v>3110</v>
      </c>
      <c r="D326" s="115" t="s">
        <v>141</v>
      </c>
      <c r="E326" s="715">
        <v>71434</v>
      </c>
      <c r="F326" s="715"/>
      <c r="G326" s="489">
        <f t="shared" si="12"/>
        <v>71434</v>
      </c>
      <c r="I326" s="80" t="e">
        <f>SUM(#REF!)</f>
        <v>#REF!</v>
      </c>
    </row>
    <row r="327" spans="1:7" ht="12.75">
      <c r="A327" s="112"/>
      <c r="B327" s="115"/>
      <c r="C327" s="99">
        <v>4010</v>
      </c>
      <c r="D327" s="115" t="s">
        <v>64</v>
      </c>
      <c r="E327" s="715">
        <v>706000</v>
      </c>
      <c r="F327" s="715">
        <v>-2529</v>
      </c>
      <c r="G327" s="489">
        <f t="shared" si="12"/>
        <v>703471</v>
      </c>
    </row>
    <row r="328" spans="1:7" ht="12.75">
      <c r="A328" s="112"/>
      <c r="B328" s="115"/>
      <c r="C328" s="99">
        <v>4040</v>
      </c>
      <c r="D328" s="115" t="s">
        <v>65</v>
      </c>
      <c r="E328" s="715">
        <v>47700</v>
      </c>
      <c r="F328" s="715">
        <v>2529</v>
      </c>
      <c r="G328" s="489">
        <f t="shared" si="12"/>
        <v>50229</v>
      </c>
    </row>
    <row r="329" spans="1:9" ht="12.75">
      <c r="A329" s="112"/>
      <c r="B329" s="115"/>
      <c r="C329" s="99">
        <v>4110</v>
      </c>
      <c r="D329" s="115" t="s">
        <v>66</v>
      </c>
      <c r="E329" s="715">
        <v>118792</v>
      </c>
      <c r="F329" s="715"/>
      <c r="G329" s="489">
        <f t="shared" si="12"/>
        <v>118792</v>
      </c>
      <c r="I329" s="80">
        <f>SUM(F332:F345)+F325+F326</f>
        <v>8200</v>
      </c>
    </row>
    <row r="330" spans="1:7" ht="12.75">
      <c r="A330" s="112"/>
      <c r="B330" s="115"/>
      <c r="C330" s="99">
        <v>4120</v>
      </c>
      <c r="D330" s="115" t="s">
        <v>67</v>
      </c>
      <c r="E330" s="715">
        <v>18488</v>
      </c>
      <c r="F330" s="715"/>
      <c r="G330" s="489">
        <f t="shared" si="12"/>
        <v>18488</v>
      </c>
    </row>
    <row r="331" spans="1:7" ht="12.75">
      <c r="A331" s="112"/>
      <c r="B331" s="115"/>
      <c r="C331" s="99">
        <v>4170</v>
      </c>
      <c r="D331" s="115" t="s">
        <v>68</v>
      </c>
      <c r="E331" s="715">
        <f>800</f>
        <v>800</v>
      </c>
      <c r="F331" s="715"/>
      <c r="G331" s="489">
        <f t="shared" si="12"/>
        <v>800</v>
      </c>
    </row>
    <row r="332" spans="1:7" ht="12.75">
      <c r="A332" s="112"/>
      <c r="B332" s="115"/>
      <c r="C332" s="99">
        <v>4210</v>
      </c>
      <c r="D332" s="115" t="s">
        <v>69</v>
      </c>
      <c r="E332" s="715">
        <v>118266</v>
      </c>
      <c r="F332" s="715">
        <v>5000</v>
      </c>
      <c r="G332" s="489">
        <f t="shared" si="12"/>
        <v>123266</v>
      </c>
    </row>
    <row r="333" spans="1:7" ht="12.75">
      <c r="A333" s="112"/>
      <c r="B333" s="115"/>
      <c r="C333" s="99">
        <v>4220</v>
      </c>
      <c r="D333" s="115" t="s">
        <v>142</v>
      </c>
      <c r="E333" s="715">
        <v>87200</v>
      </c>
      <c r="F333" s="715"/>
      <c r="G333" s="489">
        <f t="shared" si="12"/>
        <v>87200</v>
      </c>
    </row>
    <row r="334" spans="1:7" ht="12.75">
      <c r="A334" s="112"/>
      <c r="B334" s="115"/>
      <c r="C334" s="99">
        <v>4240</v>
      </c>
      <c r="D334" s="115" t="s">
        <v>127</v>
      </c>
      <c r="E334" s="715">
        <v>10000</v>
      </c>
      <c r="F334" s="715"/>
      <c r="G334" s="489">
        <f t="shared" si="12"/>
        <v>10000</v>
      </c>
    </row>
    <row r="335" spans="1:7" ht="12.75">
      <c r="A335" s="112"/>
      <c r="B335" s="115"/>
      <c r="C335" s="99">
        <v>4260</v>
      </c>
      <c r="D335" s="115" t="s">
        <v>70</v>
      </c>
      <c r="E335" s="715">
        <v>51000</v>
      </c>
      <c r="F335" s="715"/>
      <c r="G335" s="489">
        <f t="shared" si="12"/>
        <v>51000</v>
      </c>
    </row>
    <row r="336" spans="1:7" ht="12.75">
      <c r="A336" s="112"/>
      <c r="B336" s="115"/>
      <c r="C336" s="99">
        <v>4270</v>
      </c>
      <c r="D336" s="115" t="s">
        <v>71</v>
      </c>
      <c r="E336" s="715">
        <v>7200</v>
      </c>
      <c r="F336" s="715"/>
      <c r="G336" s="489">
        <f t="shared" si="12"/>
        <v>7200</v>
      </c>
    </row>
    <row r="337" spans="1:7" ht="12.75">
      <c r="A337" s="112"/>
      <c r="B337" s="115"/>
      <c r="C337" s="99">
        <v>4280</v>
      </c>
      <c r="D337" s="115" t="s">
        <v>72</v>
      </c>
      <c r="E337" s="715">
        <v>1100</v>
      </c>
      <c r="F337" s="715"/>
      <c r="G337" s="489">
        <f t="shared" si="12"/>
        <v>1100</v>
      </c>
    </row>
    <row r="338" spans="1:7" ht="12.75">
      <c r="A338" s="112"/>
      <c r="B338" s="115"/>
      <c r="C338" s="99">
        <v>4300</v>
      </c>
      <c r="D338" s="115" t="s">
        <v>58</v>
      </c>
      <c r="E338" s="715">
        <v>110300</v>
      </c>
      <c r="F338" s="715">
        <v>3200</v>
      </c>
      <c r="G338" s="489">
        <f t="shared" si="12"/>
        <v>113500</v>
      </c>
    </row>
    <row r="339" spans="1:7" ht="12.75">
      <c r="A339" s="112"/>
      <c r="B339" s="115"/>
      <c r="C339" s="99">
        <v>4350</v>
      </c>
      <c r="D339" s="115" t="s">
        <v>112</v>
      </c>
      <c r="E339" s="715">
        <v>1800</v>
      </c>
      <c r="F339" s="715"/>
      <c r="G339" s="489">
        <f t="shared" si="12"/>
        <v>1800</v>
      </c>
    </row>
    <row r="340" spans="1:7" ht="12.75">
      <c r="A340" s="112"/>
      <c r="B340" s="115"/>
      <c r="C340" s="99">
        <v>4360</v>
      </c>
      <c r="D340" s="115" t="s">
        <v>74</v>
      </c>
      <c r="E340" s="715">
        <v>7600</v>
      </c>
      <c r="F340" s="715"/>
      <c r="G340" s="489">
        <f t="shared" si="12"/>
        <v>7600</v>
      </c>
    </row>
    <row r="341" spans="1:7" ht="12.75">
      <c r="A341" s="112"/>
      <c r="B341" s="115"/>
      <c r="C341" s="99">
        <v>4370</v>
      </c>
      <c r="D341" s="115" t="s">
        <v>75</v>
      </c>
      <c r="E341" s="715">
        <v>9600</v>
      </c>
      <c r="F341" s="715"/>
      <c r="G341" s="489">
        <f t="shared" si="12"/>
        <v>9600</v>
      </c>
    </row>
    <row r="342" spans="1:7" ht="12.75">
      <c r="A342" s="112"/>
      <c r="B342" s="115"/>
      <c r="C342" s="99">
        <v>4410</v>
      </c>
      <c r="D342" s="115" t="s">
        <v>76</v>
      </c>
      <c r="E342" s="715">
        <v>2000</v>
      </c>
      <c r="F342" s="715"/>
      <c r="G342" s="489">
        <f t="shared" si="12"/>
        <v>2000</v>
      </c>
    </row>
    <row r="343" spans="1:7" ht="12.75">
      <c r="A343" s="112"/>
      <c r="B343" s="115"/>
      <c r="C343" s="99">
        <v>4430</v>
      </c>
      <c r="D343" s="115" t="s">
        <v>77</v>
      </c>
      <c r="E343" s="715">
        <v>7600</v>
      </c>
      <c r="F343" s="715"/>
      <c r="G343" s="489">
        <f t="shared" si="12"/>
        <v>7600</v>
      </c>
    </row>
    <row r="344" spans="1:7" ht="12.75">
      <c r="A344" s="112"/>
      <c r="B344" s="115"/>
      <c r="C344" s="99">
        <v>4440</v>
      </c>
      <c r="D344" s="115" t="s">
        <v>78</v>
      </c>
      <c r="E344" s="715">
        <v>37987</v>
      </c>
      <c r="F344" s="715"/>
      <c r="G344" s="489">
        <f t="shared" si="12"/>
        <v>37987</v>
      </c>
    </row>
    <row r="345" spans="1:7" ht="12.75">
      <c r="A345" s="112"/>
      <c r="B345" s="115"/>
      <c r="C345" s="99">
        <v>4480</v>
      </c>
      <c r="D345" s="115" t="s">
        <v>79</v>
      </c>
      <c r="E345" s="715">
        <v>2784</v>
      </c>
      <c r="F345" s="715"/>
      <c r="G345" s="489">
        <f t="shared" si="12"/>
        <v>2784</v>
      </c>
    </row>
    <row r="346" spans="1:7" ht="12.75">
      <c r="A346" s="112"/>
      <c r="B346" s="115"/>
      <c r="C346" s="99">
        <v>4740</v>
      </c>
      <c r="D346" s="115" t="s">
        <v>106</v>
      </c>
      <c r="E346" s="715">
        <f>200+800</f>
        <v>1000</v>
      </c>
      <c r="F346" s="715"/>
      <c r="G346" s="489">
        <f t="shared" si="12"/>
        <v>1000</v>
      </c>
    </row>
    <row r="347" spans="1:7" ht="12.75">
      <c r="A347" s="112"/>
      <c r="B347" s="115"/>
      <c r="C347" s="99">
        <v>4750</v>
      </c>
      <c r="D347" s="115" t="s">
        <v>107</v>
      </c>
      <c r="E347" s="715">
        <v>1000</v>
      </c>
      <c r="F347" s="715"/>
      <c r="G347" s="489">
        <f t="shared" si="12"/>
        <v>1000</v>
      </c>
    </row>
    <row r="348" spans="1:7" ht="12.75">
      <c r="A348" s="112"/>
      <c r="B348" s="115"/>
      <c r="C348" s="99">
        <v>6050</v>
      </c>
      <c r="D348" s="115" t="s">
        <v>85</v>
      </c>
      <c r="E348" s="715">
        <v>158600</v>
      </c>
      <c r="F348" s="715">
        <v>-38600</v>
      </c>
      <c r="G348" s="489">
        <f t="shared" si="12"/>
        <v>120000</v>
      </c>
    </row>
    <row r="349" spans="1:7" ht="12.75">
      <c r="A349" s="112"/>
      <c r="B349" s="115"/>
      <c r="C349" s="99"/>
      <c r="D349" s="115"/>
      <c r="E349" s="715"/>
      <c r="F349" s="715"/>
      <c r="G349" s="489"/>
    </row>
    <row r="350" spans="1:7" ht="12.75">
      <c r="A350" s="112"/>
      <c r="B350" s="69">
        <v>85202</v>
      </c>
      <c r="C350" s="69"/>
      <c r="D350" s="119" t="s">
        <v>143</v>
      </c>
      <c r="E350" s="714">
        <f>SUM(E351:E377)</f>
        <v>4635311</v>
      </c>
      <c r="F350" s="714">
        <f>SUM(F351:F377)</f>
        <v>5545</v>
      </c>
      <c r="G350" s="488">
        <f>SUM(G351:G377)</f>
        <v>4640856</v>
      </c>
    </row>
    <row r="351" spans="1:7" ht="12.75">
      <c r="A351" s="112"/>
      <c r="B351" s="99"/>
      <c r="C351" s="99">
        <v>3020</v>
      </c>
      <c r="D351" s="115" t="s">
        <v>63</v>
      </c>
      <c r="E351" s="715">
        <f>2250+500+25000</f>
        <v>27750</v>
      </c>
      <c r="F351" s="715"/>
      <c r="G351" s="489">
        <f>E351+F351</f>
        <v>27750</v>
      </c>
    </row>
    <row r="352" spans="1:9" ht="12.75">
      <c r="A352" s="112"/>
      <c r="B352" s="99"/>
      <c r="C352" s="99">
        <v>4010</v>
      </c>
      <c r="D352" s="115" t="s">
        <v>64</v>
      </c>
      <c r="E352" s="715">
        <f>443173+544586+1092739</f>
        <v>2080498</v>
      </c>
      <c r="F352" s="715">
        <f>54250+21102+5545+24482</f>
        <v>105379</v>
      </c>
      <c r="G352" s="489">
        <f aca="true" t="shared" si="13" ref="G352:G377">E352+F352</f>
        <v>2185877</v>
      </c>
      <c r="I352" s="80" t="e">
        <f>SUM(#REF!)</f>
        <v>#REF!</v>
      </c>
    </row>
    <row r="353" spans="1:7" ht="12.75">
      <c r="A353" s="112"/>
      <c r="B353" s="99"/>
      <c r="C353" s="99">
        <v>4040</v>
      </c>
      <c r="D353" s="115" t="s">
        <v>65</v>
      </c>
      <c r="E353" s="715">
        <f>35828+41618+92232</f>
        <v>169678</v>
      </c>
      <c r="F353" s="715">
        <v>-2401</v>
      </c>
      <c r="G353" s="489">
        <f t="shared" si="13"/>
        <v>167277</v>
      </c>
    </row>
    <row r="354" spans="1:7" ht="12.75">
      <c r="A354" s="112"/>
      <c r="B354" s="99"/>
      <c r="C354" s="99">
        <v>4110</v>
      </c>
      <c r="D354" s="115" t="s">
        <v>66</v>
      </c>
      <c r="E354" s="715">
        <f>80602+86077+208738</f>
        <v>375417</v>
      </c>
      <c r="F354" s="715">
        <f>8530+2887+3780-2294</f>
        <v>12903</v>
      </c>
      <c r="G354" s="489">
        <f t="shared" si="13"/>
        <v>388320</v>
      </c>
    </row>
    <row r="355" spans="1:7" ht="12.75">
      <c r="A355" s="112"/>
      <c r="B355" s="99"/>
      <c r="C355" s="99">
        <v>4120</v>
      </c>
      <c r="D355" s="115" t="s">
        <v>67</v>
      </c>
      <c r="E355" s="715">
        <f>11323+12000+28844</f>
        <v>52167</v>
      </c>
      <c r="F355" s="715">
        <f>1330+458+600</f>
        <v>2388</v>
      </c>
      <c r="G355" s="489">
        <f t="shared" si="13"/>
        <v>54555</v>
      </c>
    </row>
    <row r="356" spans="1:7" ht="12.75">
      <c r="A356" s="112"/>
      <c r="B356" s="99"/>
      <c r="C356" s="99">
        <v>4170</v>
      </c>
      <c r="D356" s="115" t="s">
        <v>68</v>
      </c>
      <c r="E356" s="715">
        <f>500+9200</f>
        <v>9700</v>
      </c>
      <c r="F356" s="715"/>
      <c r="G356" s="489">
        <f t="shared" si="13"/>
        <v>9700</v>
      </c>
    </row>
    <row r="357" spans="1:7" ht="12.75">
      <c r="A357" s="112"/>
      <c r="B357" s="99"/>
      <c r="C357" s="99">
        <v>4210</v>
      </c>
      <c r="D357" s="115" t="s">
        <v>69</v>
      </c>
      <c r="E357" s="715">
        <v>485715</v>
      </c>
      <c r="F357" s="715">
        <f>-54250-15000-10568</f>
        <v>-79818</v>
      </c>
      <c r="G357" s="489">
        <f t="shared" si="13"/>
        <v>405897</v>
      </c>
    </row>
    <row r="358" spans="1:7" ht="12.75">
      <c r="A358" s="112"/>
      <c r="B358" s="99"/>
      <c r="C358" s="99">
        <v>4220</v>
      </c>
      <c r="D358" s="115" t="s">
        <v>142</v>
      </c>
      <c r="E358" s="715">
        <v>471828</v>
      </c>
      <c r="F358" s="715">
        <f>-9860-6000</f>
        <v>-15860</v>
      </c>
      <c r="G358" s="489">
        <f t="shared" si="13"/>
        <v>455968</v>
      </c>
    </row>
    <row r="359" spans="1:7" ht="12.75">
      <c r="A359" s="112"/>
      <c r="B359" s="99"/>
      <c r="C359" s="99">
        <v>4230</v>
      </c>
      <c r="D359" s="115" t="s">
        <v>455</v>
      </c>
      <c r="E359" s="715">
        <f>7500+5900+30000</f>
        <v>43400</v>
      </c>
      <c r="F359" s="715"/>
      <c r="G359" s="489">
        <f t="shared" si="13"/>
        <v>43400</v>
      </c>
    </row>
    <row r="360" spans="1:7" ht="12.75">
      <c r="A360" s="112"/>
      <c r="B360" s="99"/>
      <c r="C360" s="99">
        <v>4260</v>
      </c>
      <c r="D360" s="115" t="s">
        <v>70</v>
      </c>
      <c r="E360" s="715">
        <f>45778+24873+85200</f>
        <v>155851</v>
      </c>
      <c r="F360" s="715"/>
      <c r="G360" s="489">
        <f t="shared" si="13"/>
        <v>155851</v>
      </c>
    </row>
    <row r="361" spans="1:7" ht="12.75">
      <c r="A361" s="112"/>
      <c r="B361" s="99"/>
      <c r="C361" s="99">
        <v>4270</v>
      </c>
      <c r="D361" s="115" t="s">
        <v>71</v>
      </c>
      <c r="E361" s="715">
        <v>240758</v>
      </c>
      <c r="F361" s="715">
        <v>-3046</v>
      </c>
      <c r="G361" s="489">
        <f t="shared" si="13"/>
        <v>237712</v>
      </c>
    </row>
    <row r="362" spans="1:7" ht="12.75">
      <c r="A362" s="112"/>
      <c r="B362" s="99"/>
      <c r="C362" s="99">
        <v>4280</v>
      </c>
      <c r="D362" s="115" t="s">
        <v>72</v>
      </c>
      <c r="E362" s="715">
        <f>750+300+1000</f>
        <v>2050</v>
      </c>
      <c r="F362" s="715"/>
      <c r="G362" s="489">
        <f t="shared" si="13"/>
        <v>2050</v>
      </c>
    </row>
    <row r="363" spans="1:7" ht="12.75">
      <c r="A363" s="112"/>
      <c r="B363" s="99"/>
      <c r="C363" s="99">
        <v>4300</v>
      </c>
      <c r="D363" s="115" t="s">
        <v>58</v>
      </c>
      <c r="E363" s="715">
        <v>143940</v>
      </c>
      <c r="F363" s="715">
        <f>-4000-10000</f>
        <v>-14000</v>
      </c>
      <c r="G363" s="489">
        <f t="shared" si="13"/>
        <v>129940</v>
      </c>
    </row>
    <row r="364" spans="1:7" ht="12.75">
      <c r="A364" s="112"/>
      <c r="B364" s="99"/>
      <c r="C364" s="99">
        <v>4350</v>
      </c>
      <c r="D364" s="115" t="s">
        <v>112</v>
      </c>
      <c r="E364" s="715">
        <f>1500+792+1000</f>
        <v>3292</v>
      </c>
      <c r="F364" s="715"/>
      <c r="G364" s="489">
        <f t="shared" si="13"/>
        <v>3292</v>
      </c>
    </row>
    <row r="365" spans="1:7" ht="12.75">
      <c r="A365" s="112"/>
      <c r="B365" s="99"/>
      <c r="C365" s="99">
        <v>4360</v>
      </c>
      <c r="D365" s="115" t="s">
        <v>113</v>
      </c>
      <c r="E365" s="715">
        <f>1500</f>
        <v>1500</v>
      </c>
      <c r="F365" s="715"/>
      <c r="G365" s="489">
        <f t="shared" si="13"/>
        <v>1500</v>
      </c>
    </row>
    <row r="366" spans="1:7" ht="12.75">
      <c r="A366" s="112"/>
      <c r="B366" s="99"/>
      <c r="C366" s="99">
        <v>4370</v>
      </c>
      <c r="D366" s="115" t="s">
        <v>75</v>
      </c>
      <c r="E366" s="715">
        <f>2500+6000+10000</f>
        <v>18500</v>
      </c>
      <c r="F366" s="715"/>
      <c r="G366" s="489">
        <f>E366+F366</f>
        <v>18500</v>
      </c>
    </row>
    <row r="367" spans="1:7" ht="12.75">
      <c r="A367" s="112"/>
      <c r="B367" s="99"/>
      <c r="C367" s="99">
        <v>4390</v>
      </c>
      <c r="D367" s="115" t="s">
        <v>144</v>
      </c>
      <c r="E367" s="715">
        <f>1000</f>
        <v>1000</v>
      </c>
      <c r="F367" s="715"/>
      <c r="G367" s="489">
        <f t="shared" si="13"/>
        <v>1000</v>
      </c>
    </row>
    <row r="368" spans="1:7" ht="12.75">
      <c r="A368" s="112"/>
      <c r="B368" s="99"/>
      <c r="C368" s="99">
        <v>4410</v>
      </c>
      <c r="D368" s="115" t="s">
        <v>76</v>
      </c>
      <c r="E368" s="715">
        <f>3000+2800+5000</f>
        <v>10800</v>
      </c>
      <c r="F368" s="715"/>
      <c r="G368" s="489">
        <f t="shared" si="13"/>
        <v>10800</v>
      </c>
    </row>
    <row r="369" spans="1:7" ht="12.75">
      <c r="A369" s="112"/>
      <c r="B369" s="99"/>
      <c r="C369" s="99">
        <v>4430</v>
      </c>
      <c r="D369" s="115" t="s">
        <v>77</v>
      </c>
      <c r="E369" s="715">
        <f>2323+3800+25000</f>
        <v>31123</v>
      </c>
      <c r="F369" s="715"/>
      <c r="G369" s="489">
        <f t="shared" si="13"/>
        <v>31123</v>
      </c>
    </row>
    <row r="370" spans="1:7" ht="12.75">
      <c r="A370" s="112"/>
      <c r="B370" s="99"/>
      <c r="C370" s="99">
        <v>4440</v>
      </c>
      <c r="D370" s="115" t="s">
        <v>78</v>
      </c>
      <c r="E370" s="715">
        <f>19377+20316+48477</f>
        <v>88170</v>
      </c>
      <c r="F370" s="715"/>
      <c r="G370" s="489">
        <f t="shared" si="13"/>
        <v>88170</v>
      </c>
    </row>
    <row r="371" spans="1:7" ht="12.75">
      <c r="A371" s="112"/>
      <c r="B371" s="99"/>
      <c r="C371" s="99">
        <v>4480</v>
      </c>
      <c r="D371" s="115" t="s">
        <v>79</v>
      </c>
      <c r="E371" s="715">
        <f>7244+1400+10000</f>
        <v>18644</v>
      </c>
      <c r="F371" s="715"/>
      <c r="G371" s="489">
        <f t="shared" si="13"/>
        <v>18644</v>
      </c>
    </row>
    <row r="372" spans="1:7" ht="12.75">
      <c r="A372" s="112"/>
      <c r="B372" s="99"/>
      <c r="C372" s="99">
        <v>4520</v>
      </c>
      <c r="D372" s="115" t="s">
        <v>145</v>
      </c>
      <c r="E372" s="715">
        <f>50</f>
        <v>50</v>
      </c>
      <c r="F372" s="715"/>
      <c r="G372" s="489">
        <f t="shared" si="13"/>
        <v>50</v>
      </c>
    </row>
    <row r="373" spans="1:7" ht="12.75">
      <c r="A373" s="112"/>
      <c r="B373" s="99"/>
      <c r="C373" s="99">
        <v>4700</v>
      </c>
      <c r="D373" s="115" t="s">
        <v>97</v>
      </c>
      <c r="E373" s="715">
        <f>2500+3000</f>
        <v>5500</v>
      </c>
      <c r="F373" s="715"/>
      <c r="G373" s="489">
        <f t="shared" si="13"/>
        <v>5500</v>
      </c>
    </row>
    <row r="374" spans="1:7" ht="12.75">
      <c r="A374" s="112"/>
      <c r="B374" s="99"/>
      <c r="C374" s="99">
        <v>4740</v>
      </c>
      <c r="D374" s="115" t="s">
        <v>106</v>
      </c>
      <c r="E374" s="715">
        <f>800+780+1000</f>
        <v>2580</v>
      </c>
      <c r="F374" s="715"/>
      <c r="G374" s="489">
        <f t="shared" si="13"/>
        <v>2580</v>
      </c>
    </row>
    <row r="375" spans="1:7" ht="12.75">
      <c r="A375" s="112"/>
      <c r="B375" s="99"/>
      <c r="C375" s="99">
        <v>4750</v>
      </c>
      <c r="D375" s="115" t="s">
        <v>107</v>
      </c>
      <c r="E375" s="715">
        <f>5900+3000</f>
        <v>8900</v>
      </c>
      <c r="F375" s="715"/>
      <c r="G375" s="489">
        <f t="shared" si="13"/>
        <v>8900</v>
      </c>
    </row>
    <row r="376" spans="1:9" ht="12.75">
      <c r="A376" s="112"/>
      <c r="B376" s="99"/>
      <c r="C376" s="99">
        <v>6050</v>
      </c>
      <c r="D376" s="115" t="s">
        <v>85</v>
      </c>
      <c r="E376" s="715">
        <v>180000</v>
      </c>
      <c r="F376" s="715"/>
      <c r="G376" s="489">
        <f t="shared" si="13"/>
        <v>180000</v>
      </c>
      <c r="I376" s="80"/>
    </row>
    <row r="377" spans="1:9" ht="12.75">
      <c r="A377" s="112"/>
      <c r="B377" s="99"/>
      <c r="C377" s="99">
        <v>6060</v>
      </c>
      <c r="D377" s="115" t="s">
        <v>86</v>
      </c>
      <c r="E377" s="715">
        <v>6500</v>
      </c>
      <c r="F377" s="715"/>
      <c r="G377" s="489">
        <f t="shared" si="13"/>
        <v>6500</v>
      </c>
      <c r="I377" s="80"/>
    </row>
    <row r="378" spans="1:9" ht="12.75">
      <c r="A378" s="112"/>
      <c r="B378" s="99"/>
      <c r="C378" s="99"/>
      <c r="D378" s="115"/>
      <c r="E378" s="715"/>
      <c r="F378" s="715"/>
      <c r="G378" s="489"/>
      <c r="I378" s="80"/>
    </row>
    <row r="379" spans="1:9" ht="12.75">
      <c r="A379" s="112"/>
      <c r="B379" s="69">
        <v>85203</v>
      </c>
      <c r="C379" s="69"/>
      <c r="D379" s="119" t="s">
        <v>146</v>
      </c>
      <c r="E379" s="714">
        <f>SUM(E380:E401)</f>
        <v>340000</v>
      </c>
      <c r="F379" s="714">
        <f>SUM(F380:F401)</f>
        <v>0</v>
      </c>
      <c r="G379" s="488">
        <f>SUM(G380:G401)</f>
        <v>340000</v>
      </c>
      <c r="I379" s="80"/>
    </row>
    <row r="380" spans="1:9" ht="12.75">
      <c r="A380" s="112"/>
      <c r="B380" s="99"/>
      <c r="C380" s="99">
        <v>3020</v>
      </c>
      <c r="D380" s="115" t="s">
        <v>435</v>
      </c>
      <c r="E380" s="715">
        <v>1000</v>
      </c>
      <c r="F380" s="715"/>
      <c r="G380" s="489">
        <f>E380+F380</f>
        <v>1000</v>
      </c>
      <c r="I380" s="80"/>
    </row>
    <row r="381" spans="1:9" ht="12.75">
      <c r="A381" s="112"/>
      <c r="B381" s="99"/>
      <c r="C381" s="99">
        <v>4010</v>
      </c>
      <c r="D381" s="115" t="s">
        <v>64</v>
      </c>
      <c r="E381" s="715">
        <v>126732</v>
      </c>
      <c r="F381" s="715"/>
      <c r="G381" s="489">
        <f aca="true" t="shared" si="14" ref="G381:G401">E381+F381</f>
        <v>126732</v>
      </c>
      <c r="I381" s="80" t="e">
        <f>SUM(#REF!)</f>
        <v>#REF!</v>
      </c>
    </row>
    <row r="382" spans="1:9" ht="12.75">
      <c r="A382" s="112"/>
      <c r="B382" s="99"/>
      <c r="C382" s="99">
        <v>4040</v>
      </c>
      <c r="D382" s="115" t="s">
        <v>65</v>
      </c>
      <c r="E382" s="715">
        <v>10068</v>
      </c>
      <c r="F382" s="715"/>
      <c r="G382" s="489">
        <f t="shared" si="14"/>
        <v>10068</v>
      </c>
      <c r="I382" s="80"/>
    </row>
    <row r="383" spans="1:9" ht="12.75">
      <c r="A383" s="112"/>
      <c r="B383" s="99"/>
      <c r="C383" s="99">
        <v>4110</v>
      </c>
      <c r="D383" s="115" t="s">
        <v>66</v>
      </c>
      <c r="E383" s="715">
        <v>23745</v>
      </c>
      <c r="F383" s="715"/>
      <c r="G383" s="489">
        <f t="shared" si="14"/>
        <v>23745</v>
      </c>
      <c r="I383" s="80"/>
    </row>
    <row r="384" spans="1:9" ht="12.75">
      <c r="A384" s="112"/>
      <c r="B384" s="99"/>
      <c r="C384" s="99">
        <v>4120</v>
      </c>
      <c r="D384" s="115" t="s">
        <v>67</v>
      </c>
      <c r="E384" s="715">
        <v>3336</v>
      </c>
      <c r="F384" s="715"/>
      <c r="G384" s="489">
        <f t="shared" si="14"/>
        <v>3336</v>
      </c>
      <c r="I384" s="80"/>
    </row>
    <row r="385" spans="1:9" ht="12.75">
      <c r="A385" s="112"/>
      <c r="B385" s="99"/>
      <c r="C385" s="99">
        <v>4170</v>
      </c>
      <c r="D385" s="115" t="s">
        <v>68</v>
      </c>
      <c r="E385" s="715">
        <v>3000</v>
      </c>
      <c r="F385" s="715"/>
      <c r="G385" s="489">
        <f t="shared" si="14"/>
        <v>3000</v>
      </c>
      <c r="I385" s="80"/>
    </row>
    <row r="386" spans="1:9" ht="12.75">
      <c r="A386" s="112"/>
      <c r="B386" s="99"/>
      <c r="C386" s="99">
        <v>4210</v>
      </c>
      <c r="D386" s="115" t="s">
        <v>69</v>
      </c>
      <c r="E386" s="715">
        <v>83227</v>
      </c>
      <c r="F386" s="715"/>
      <c r="G386" s="489">
        <f t="shared" si="14"/>
        <v>83227</v>
      </c>
      <c r="I386" s="80"/>
    </row>
    <row r="387" spans="1:9" ht="12.75">
      <c r="A387" s="112"/>
      <c r="B387" s="99"/>
      <c r="C387" s="99">
        <v>4220</v>
      </c>
      <c r="D387" s="115" t="s">
        <v>142</v>
      </c>
      <c r="E387" s="715">
        <v>25000</v>
      </c>
      <c r="F387" s="715"/>
      <c r="G387" s="489">
        <f t="shared" si="14"/>
        <v>25000</v>
      </c>
      <c r="I387" s="80"/>
    </row>
    <row r="388" spans="1:9" ht="12.75">
      <c r="A388" s="112"/>
      <c r="B388" s="99"/>
      <c r="C388" s="99">
        <v>4230</v>
      </c>
      <c r="D388" s="115" t="s">
        <v>455</v>
      </c>
      <c r="E388" s="715">
        <v>1000</v>
      </c>
      <c r="F388" s="715"/>
      <c r="G388" s="489">
        <f t="shared" si="14"/>
        <v>1000</v>
      </c>
      <c r="I388" s="80"/>
    </row>
    <row r="389" spans="1:9" ht="12.75">
      <c r="A389" s="112"/>
      <c r="B389" s="99"/>
      <c r="C389" s="99">
        <v>4260</v>
      </c>
      <c r="D389" s="115" t="s">
        <v>70</v>
      </c>
      <c r="E389" s="715">
        <v>12500</v>
      </c>
      <c r="F389" s="715"/>
      <c r="G389" s="489">
        <f t="shared" si="14"/>
        <v>12500</v>
      </c>
      <c r="I389" s="80"/>
    </row>
    <row r="390" spans="1:9" ht="12.75">
      <c r="A390" s="112"/>
      <c r="B390" s="99"/>
      <c r="C390" s="99">
        <v>4270</v>
      </c>
      <c r="D390" s="115" t="s">
        <v>71</v>
      </c>
      <c r="E390" s="715">
        <v>20000</v>
      </c>
      <c r="F390" s="715"/>
      <c r="G390" s="489">
        <f t="shared" si="14"/>
        <v>20000</v>
      </c>
      <c r="I390" s="80"/>
    </row>
    <row r="391" spans="1:9" ht="12.75">
      <c r="A391" s="112"/>
      <c r="B391" s="99"/>
      <c r="C391" s="99">
        <v>4280</v>
      </c>
      <c r="D391" s="115" t="s">
        <v>72</v>
      </c>
      <c r="E391" s="715">
        <v>400</v>
      </c>
      <c r="F391" s="715"/>
      <c r="G391" s="489">
        <f t="shared" si="14"/>
        <v>400</v>
      </c>
      <c r="I391" s="80"/>
    </row>
    <row r="392" spans="1:9" ht="12.75">
      <c r="A392" s="112"/>
      <c r="B392" s="99"/>
      <c r="C392" s="99">
        <v>4300</v>
      </c>
      <c r="D392" s="115" t="s">
        <v>58</v>
      </c>
      <c r="E392" s="715">
        <v>13400</v>
      </c>
      <c r="F392" s="715"/>
      <c r="G392" s="489">
        <f t="shared" si="14"/>
        <v>13400</v>
      </c>
      <c r="I392" s="80"/>
    </row>
    <row r="393" spans="1:9" ht="12.75">
      <c r="A393" s="112"/>
      <c r="B393" s="99"/>
      <c r="C393" s="99">
        <v>4350</v>
      </c>
      <c r="D393" s="115" t="s">
        <v>73</v>
      </c>
      <c r="E393" s="715">
        <v>660</v>
      </c>
      <c r="F393" s="715"/>
      <c r="G393" s="489">
        <f t="shared" si="14"/>
        <v>660</v>
      </c>
      <c r="I393" s="80"/>
    </row>
    <row r="394" spans="1:9" ht="12.75">
      <c r="A394" s="112"/>
      <c r="B394" s="99"/>
      <c r="C394" s="99">
        <v>4360</v>
      </c>
      <c r="D394" s="115" t="s">
        <v>74</v>
      </c>
      <c r="E394" s="715">
        <v>1500</v>
      </c>
      <c r="F394" s="715"/>
      <c r="G394" s="489">
        <f t="shared" si="14"/>
        <v>1500</v>
      </c>
      <c r="I394" s="80"/>
    </row>
    <row r="395" spans="1:9" ht="12.75">
      <c r="A395" s="112"/>
      <c r="B395" s="99"/>
      <c r="C395" s="99">
        <v>4370</v>
      </c>
      <c r="D395" s="115" t="s">
        <v>75</v>
      </c>
      <c r="E395" s="715">
        <v>1300</v>
      </c>
      <c r="F395" s="715"/>
      <c r="G395" s="489">
        <f t="shared" si="14"/>
        <v>1300</v>
      </c>
      <c r="I395" s="80"/>
    </row>
    <row r="396" spans="1:9" ht="12.75">
      <c r="A396" s="112"/>
      <c r="B396" s="99"/>
      <c r="C396" s="99">
        <v>4410</v>
      </c>
      <c r="D396" s="115" t="s">
        <v>76</v>
      </c>
      <c r="E396" s="715">
        <v>1500</v>
      </c>
      <c r="F396" s="715"/>
      <c r="G396" s="489">
        <f t="shared" si="14"/>
        <v>1500</v>
      </c>
      <c r="I396" s="80"/>
    </row>
    <row r="397" spans="1:9" ht="12.75">
      <c r="A397" s="112"/>
      <c r="B397" s="99"/>
      <c r="C397" s="99">
        <v>4430</v>
      </c>
      <c r="D397" s="115" t="s">
        <v>77</v>
      </c>
      <c r="E397" s="715">
        <v>2000</v>
      </c>
      <c r="F397" s="715"/>
      <c r="G397" s="489">
        <f t="shared" si="14"/>
        <v>2000</v>
      </c>
      <c r="I397" s="80"/>
    </row>
    <row r="398" spans="1:9" ht="12.75">
      <c r="A398" s="112"/>
      <c r="B398" s="99"/>
      <c r="C398" s="99">
        <v>4440</v>
      </c>
      <c r="D398" s="115" t="s">
        <v>78</v>
      </c>
      <c r="E398" s="715">
        <v>5632</v>
      </c>
      <c r="F398" s="715"/>
      <c r="G398" s="489">
        <f t="shared" si="14"/>
        <v>5632</v>
      </c>
      <c r="I398" s="80"/>
    </row>
    <row r="399" spans="1:9" ht="12.75">
      <c r="A399" s="112"/>
      <c r="B399" s="99"/>
      <c r="C399" s="99">
        <v>4700</v>
      </c>
      <c r="D399" s="115" t="s">
        <v>97</v>
      </c>
      <c r="E399" s="715">
        <v>3000</v>
      </c>
      <c r="F399" s="715"/>
      <c r="G399" s="489">
        <f t="shared" si="14"/>
        <v>3000</v>
      </c>
      <c r="I399" s="80"/>
    </row>
    <row r="400" spans="1:9" ht="12.75">
      <c r="A400" s="112"/>
      <c r="B400" s="99"/>
      <c r="C400" s="99">
        <v>4740</v>
      </c>
      <c r="D400" s="115" t="s">
        <v>106</v>
      </c>
      <c r="E400" s="715">
        <v>500</v>
      </c>
      <c r="F400" s="715"/>
      <c r="G400" s="489">
        <f t="shared" si="14"/>
        <v>500</v>
      </c>
      <c r="I400" s="80"/>
    </row>
    <row r="401" spans="1:9" ht="12.75">
      <c r="A401" s="112"/>
      <c r="B401" s="99"/>
      <c r="C401" s="99">
        <v>4750</v>
      </c>
      <c r="D401" s="115" t="s">
        <v>107</v>
      </c>
      <c r="E401" s="715">
        <v>500</v>
      </c>
      <c r="F401" s="715"/>
      <c r="G401" s="489">
        <f t="shared" si="14"/>
        <v>500</v>
      </c>
      <c r="I401" s="80"/>
    </row>
    <row r="402" spans="1:7" ht="12.75">
      <c r="A402" s="112"/>
      <c r="B402" s="99"/>
      <c r="C402" s="99"/>
      <c r="D402" s="115"/>
      <c r="E402" s="715"/>
      <c r="F402" s="715"/>
      <c r="G402" s="489"/>
    </row>
    <row r="403" spans="1:7" ht="12.75">
      <c r="A403" s="112"/>
      <c r="B403" s="69">
        <v>85204</v>
      </c>
      <c r="C403" s="69"/>
      <c r="D403" s="119" t="s">
        <v>148</v>
      </c>
      <c r="E403" s="714">
        <f>SUM(E404:E409)</f>
        <v>1386733</v>
      </c>
      <c r="F403" s="714">
        <f>SUM(F404:F409)</f>
        <v>0</v>
      </c>
      <c r="G403" s="488">
        <f>SUM(G404:G409)</f>
        <v>1386733</v>
      </c>
    </row>
    <row r="404" spans="1:7" ht="12.75">
      <c r="A404" s="112"/>
      <c r="B404" s="99"/>
      <c r="C404" s="99">
        <v>2310</v>
      </c>
      <c r="D404" s="115" t="s">
        <v>134</v>
      </c>
      <c r="E404" s="715">
        <v>70092</v>
      </c>
      <c r="F404" s="715"/>
      <c r="G404" s="489">
        <f aca="true" t="shared" si="15" ref="G404:G409">E404+F404</f>
        <v>70092</v>
      </c>
    </row>
    <row r="405" spans="1:7" ht="12.75">
      <c r="A405" s="112"/>
      <c r="B405" s="99"/>
      <c r="C405" s="99">
        <v>3110</v>
      </c>
      <c r="D405" s="115" t="s">
        <v>141</v>
      </c>
      <c r="E405" s="715">
        <v>1239532</v>
      </c>
      <c r="F405" s="715"/>
      <c r="G405" s="489">
        <f t="shared" si="15"/>
        <v>1239532</v>
      </c>
    </row>
    <row r="406" spans="1:7" ht="12.75">
      <c r="A406" s="112"/>
      <c r="B406" s="99"/>
      <c r="C406" s="99">
        <v>4110</v>
      </c>
      <c r="D406" s="115" t="s">
        <v>66</v>
      </c>
      <c r="E406" s="715">
        <v>5241</v>
      </c>
      <c r="F406" s="715"/>
      <c r="G406" s="489">
        <f t="shared" si="15"/>
        <v>5241</v>
      </c>
    </row>
    <row r="407" spans="1:7" ht="12.75">
      <c r="A407" s="112"/>
      <c r="B407" s="99"/>
      <c r="C407" s="99">
        <v>4120</v>
      </c>
      <c r="D407" s="115" t="s">
        <v>67</v>
      </c>
      <c r="E407" s="715">
        <v>968</v>
      </c>
      <c r="F407" s="715"/>
      <c r="G407" s="489">
        <f t="shared" si="15"/>
        <v>968</v>
      </c>
    </row>
    <row r="408" spans="1:7" ht="12.75">
      <c r="A408" s="112"/>
      <c r="B408" s="99"/>
      <c r="C408" s="99">
        <v>4170</v>
      </c>
      <c r="D408" s="115" t="s">
        <v>436</v>
      </c>
      <c r="E408" s="715">
        <v>39528</v>
      </c>
      <c r="F408" s="715"/>
      <c r="G408" s="489">
        <f t="shared" si="15"/>
        <v>39528</v>
      </c>
    </row>
    <row r="409" spans="1:7" ht="12.75">
      <c r="A409" s="112"/>
      <c r="B409" s="99"/>
      <c r="C409" s="99">
        <v>4300</v>
      </c>
      <c r="D409" s="115" t="s">
        <v>58</v>
      </c>
      <c r="E409" s="715">
        <v>31372</v>
      </c>
      <c r="F409" s="715"/>
      <c r="G409" s="489">
        <f t="shared" si="15"/>
        <v>31372</v>
      </c>
    </row>
    <row r="410" spans="1:7" ht="12.75">
      <c r="A410" s="112"/>
      <c r="B410" s="99"/>
      <c r="C410" s="99"/>
      <c r="D410" s="115"/>
      <c r="E410" s="715"/>
      <c r="F410" s="715"/>
      <c r="G410" s="489"/>
    </row>
    <row r="411" spans="1:7" ht="12.75">
      <c r="A411" s="112"/>
      <c r="B411" s="69">
        <v>85218</v>
      </c>
      <c r="C411" s="69"/>
      <c r="D411" s="119" t="s">
        <v>149</v>
      </c>
      <c r="E411" s="714">
        <f>SUM(E412:E432)</f>
        <v>593919</v>
      </c>
      <c r="F411" s="714">
        <f>SUM(F412:F432)</f>
        <v>0</v>
      </c>
      <c r="G411" s="488">
        <f>SUM(G412:G432)</f>
        <v>593919</v>
      </c>
    </row>
    <row r="412" spans="1:9" ht="12.75">
      <c r="A412" s="112"/>
      <c r="B412" s="99"/>
      <c r="C412" s="99">
        <v>4010</v>
      </c>
      <c r="D412" s="115" t="s">
        <v>64</v>
      </c>
      <c r="E412" s="715">
        <v>346812</v>
      </c>
      <c r="F412" s="715"/>
      <c r="G412" s="489">
        <f>E412+F412</f>
        <v>346812</v>
      </c>
      <c r="I412" s="80" t="e">
        <f>SUM(#REF!)</f>
        <v>#REF!</v>
      </c>
    </row>
    <row r="413" spans="1:7" ht="12.75">
      <c r="A413" s="112"/>
      <c r="B413" s="99"/>
      <c r="C413" s="99">
        <v>4040</v>
      </c>
      <c r="D413" s="115" t="s">
        <v>65</v>
      </c>
      <c r="E413" s="715">
        <v>26460</v>
      </c>
      <c r="F413" s="715"/>
      <c r="G413" s="489">
        <f aca="true" t="shared" si="16" ref="G413:G432">E413+F413</f>
        <v>26460</v>
      </c>
    </row>
    <row r="414" spans="1:7" ht="12.75">
      <c r="A414" s="112"/>
      <c r="B414" s="99"/>
      <c r="C414" s="99">
        <v>4110</v>
      </c>
      <c r="D414" s="115" t="s">
        <v>66</v>
      </c>
      <c r="E414" s="715">
        <v>66248</v>
      </c>
      <c r="F414" s="715"/>
      <c r="G414" s="489">
        <f t="shared" si="16"/>
        <v>66248</v>
      </c>
    </row>
    <row r="415" spans="1:7" ht="12.75">
      <c r="A415" s="112"/>
      <c r="B415" s="99"/>
      <c r="C415" s="99">
        <v>4120</v>
      </c>
      <c r="D415" s="115" t="s">
        <v>67</v>
      </c>
      <c r="E415" s="715">
        <v>8817</v>
      </c>
      <c r="F415" s="715"/>
      <c r="G415" s="489">
        <f t="shared" si="16"/>
        <v>8817</v>
      </c>
    </row>
    <row r="416" spans="1:7" ht="12.75">
      <c r="A416" s="112"/>
      <c r="B416" s="99"/>
      <c r="C416" s="99">
        <v>4170</v>
      </c>
      <c r="D416" s="115" t="s">
        <v>436</v>
      </c>
      <c r="E416" s="715">
        <v>24440</v>
      </c>
      <c r="F416" s="715"/>
      <c r="G416" s="489">
        <f t="shared" si="16"/>
        <v>24440</v>
      </c>
    </row>
    <row r="417" spans="1:7" ht="12.75">
      <c r="A417" s="112"/>
      <c r="B417" s="99"/>
      <c r="C417" s="99">
        <v>4210</v>
      </c>
      <c r="D417" s="115" t="s">
        <v>69</v>
      </c>
      <c r="E417" s="715">
        <v>32620</v>
      </c>
      <c r="F417" s="715"/>
      <c r="G417" s="489">
        <f t="shared" si="16"/>
        <v>32620</v>
      </c>
    </row>
    <row r="418" spans="1:7" ht="12.75">
      <c r="A418" s="112"/>
      <c r="B418" s="99"/>
      <c r="C418" s="99">
        <v>4260</v>
      </c>
      <c r="D418" s="115" t="s">
        <v>70</v>
      </c>
      <c r="E418" s="715">
        <v>24100</v>
      </c>
      <c r="F418" s="715"/>
      <c r="G418" s="489">
        <f t="shared" si="16"/>
        <v>24100</v>
      </c>
    </row>
    <row r="419" spans="1:7" ht="12.75">
      <c r="A419" s="112"/>
      <c r="B419" s="99"/>
      <c r="C419" s="99">
        <v>4270</v>
      </c>
      <c r="D419" s="115" t="s">
        <v>71</v>
      </c>
      <c r="E419" s="715">
        <v>6400</v>
      </c>
      <c r="F419" s="715"/>
      <c r="G419" s="489">
        <f t="shared" si="16"/>
        <v>6400</v>
      </c>
    </row>
    <row r="420" spans="1:7" ht="12.75">
      <c r="A420" s="112"/>
      <c r="B420" s="99"/>
      <c r="C420" s="99">
        <v>4280</v>
      </c>
      <c r="D420" s="115" t="s">
        <v>72</v>
      </c>
      <c r="E420" s="715">
        <v>900</v>
      </c>
      <c r="F420" s="715"/>
      <c r="G420" s="489">
        <f t="shared" si="16"/>
        <v>900</v>
      </c>
    </row>
    <row r="421" spans="1:7" ht="12.75">
      <c r="A421" s="112"/>
      <c r="B421" s="99"/>
      <c r="C421" s="99">
        <v>4300</v>
      </c>
      <c r="D421" s="115" t="s">
        <v>58</v>
      </c>
      <c r="E421" s="715">
        <v>23134</v>
      </c>
      <c r="F421" s="715"/>
      <c r="G421" s="489">
        <f t="shared" si="16"/>
        <v>23134</v>
      </c>
    </row>
    <row r="422" spans="1:7" ht="12.75">
      <c r="A422" s="112"/>
      <c r="B422" s="99"/>
      <c r="C422" s="99">
        <v>4350</v>
      </c>
      <c r="D422" s="115" t="s">
        <v>112</v>
      </c>
      <c r="E422" s="715">
        <v>2035</v>
      </c>
      <c r="F422" s="715"/>
      <c r="G422" s="489">
        <f t="shared" si="16"/>
        <v>2035</v>
      </c>
    </row>
    <row r="423" spans="1:7" ht="12.75">
      <c r="A423" s="112"/>
      <c r="B423" s="99"/>
      <c r="C423" s="99">
        <v>4360</v>
      </c>
      <c r="D423" s="115" t="s">
        <v>74</v>
      </c>
      <c r="E423" s="715">
        <v>600</v>
      </c>
      <c r="F423" s="715"/>
      <c r="G423" s="489">
        <f t="shared" si="16"/>
        <v>600</v>
      </c>
    </row>
    <row r="424" spans="1:7" ht="12.75">
      <c r="A424" s="112"/>
      <c r="B424" s="99"/>
      <c r="C424" s="99">
        <v>4370</v>
      </c>
      <c r="D424" s="115" t="s">
        <v>75</v>
      </c>
      <c r="E424" s="715">
        <v>6000</v>
      </c>
      <c r="F424" s="715"/>
      <c r="G424" s="489">
        <f t="shared" si="16"/>
        <v>6000</v>
      </c>
    </row>
    <row r="425" spans="1:7" ht="12.75">
      <c r="A425" s="112"/>
      <c r="B425" s="99"/>
      <c r="C425" s="99">
        <v>4410</v>
      </c>
      <c r="D425" s="115" t="s">
        <v>76</v>
      </c>
      <c r="E425" s="715">
        <v>2500</v>
      </c>
      <c r="F425" s="715"/>
      <c r="G425" s="489">
        <f t="shared" si="16"/>
        <v>2500</v>
      </c>
    </row>
    <row r="426" spans="1:7" ht="12.75">
      <c r="A426" s="112"/>
      <c r="B426" s="99"/>
      <c r="C426" s="99">
        <v>4430</v>
      </c>
      <c r="D426" s="115" t="s">
        <v>77</v>
      </c>
      <c r="E426" s="715">
        <v>3000</v>
      </c>
      <c r="F426" s="715"/>
      <c r="G426" s="489">
        <f t="shared" si="16"/>
        <v>3000</v>
      </c>
    </row>
    <row r="427" spans="1:7" ht="12.75">
      <c r="A427" s="112"/>
      <c r="B427" s="99"/>
      <c r="C427" s="99">
        <v>4440</v>
      </c>
      <c r="D427" s="115" t="s">
        <v>78</v>
      </c>
      <c r="E427" s="715">
        <v>9253</v>
      </c>
      <c r="F427" s="715"/>
      <c r="G427" s="489">
        <f t="shared" si="16"/>
        <v>9253</v>
      </c>
    </row>
    <row r="428" spans="1:7" ht="12.75">
      <c r="A428" s="112"/>
      <c r="B428" s="99"/>
      <c r="C428" s="99">
        <v>4480</v>
      </c>
      <c r="D428" s="115" t="s">
        <v>79</v>
      </c>
      <c r="E428" s="715">
        <v>1700</v>
      </c>
      <c r="F428" s="715"/>
      <c r="G428" s="489">
        <f t="shared" si="16"/>
        <v>1700</v>
      </c>
    </row>
    <row r="429" spans="1:7" ht="12.75">
      <c r="A429" s="112"/>
      <c r="B429" s="99"/>
      <c r="C429" s="99">
        <v>4510</v>
      </c>
      <c r="D429" s="115" t="s">
        <v>81</v>
      </c>
      <c r="E429" s="715">
        <v>500</v>
      </c>
      <c r="F429" s="715"/>
      <c r="G429" s="489">
        <f t="shared" si="16"/>
        <v>500</v>
      </c>
    </row>
    <row r="430" spans="1:7" ht="12.75">
      <c r="A430" s="112"/>
      <c r="B430" s="99"/>
      <c r="C430" s="99">
        <v>4700</v>
      </c>
      <c r="D430" s="115" t="s">
        <v>97</v>
      </c>
      <c r="E430" s="715">
        <v>2500</v>
      </c>
      <c r="F430" s="715"/>
      <c r="G430" s="489">
        <f t="shared" si="16"/>
        <v>2500</v>
      </c>
    </row>
    <row r="431" spans="1:7" ht="12.75">
      <c r="A431" s="112"/>
      <c r="B431" s="99"/>
      <c r="C431" s="99">
        <v>4740</v>
      </c>
      <c r="D431" s="115" t="s">
        <v>106</v>
      </c>
      <c r="E431" s="715">
        <v>2500</v>
      </c>
      <c r="F431" s="715"/>
      <c r="G431" s="489">
        <f t="shared" si="16"/>
        <v>2500</v>
      </c>
    </row>
    <row r="432" spans="1:7" ht="12.75">
      <c r="A432" s="112"/>
      <c r="B432" s="99"/>
      <c r="C432" s="99">
        <v>4750</v>
      </c>
      <c r="D432" s="115" t="s">
        <v>107</v>
      </c>
      <c r="E432" s="715">
        <v>3400</v>
      </c>
      <c r="F432" s="715"/>
      <c r="G432" s="489">
        <f t="shared" si="16"/>
        <v>3400</v>
      </c>
    </row>
    <row r="433" spans="1:7" ht="12.75">
      <c r="A433" s="112"/>
      <c r="B433" s="115"/>
      <c r="C433" s="127"/>
      <c r="D433" s="115"/>
      <c r="E433" s="715"/>
      <c r="F433" s="715"/>
      <c r="G433" s="489"/>
    </row>
    <row r="434" spans="1:7" ht="12.75">
      <c r="A434" s="112"/>
      <c r="B434" s="69">
        <v>85220</v>
      </c>
      <c r="C434" s="69"/>
      <c r="D434" s="119" t="s">
        <v>150</v>
      </c>
      <c r="E434" s="714">
        <f>SUM(E435:E441)</f>
        <v>9333</v>
      </c>
      <c r="F434" s="714">
        <f>SUM(F435:F441)</f>
        <v>0</v>
      </c>
      <c r="G434" s="488">
        <f>SUM(G435:G441)</f>
        <v>9333</v>
      </c>
    </row>
    <row r="435" spans="1:7" ht="12.75">
      <c r="A435" s="112"/>
      <c r="B435" s="99"/>
      <c r="C435" s="99">
        <v>4210</v>
      </c>
      <c r="D435" s="115" t="s">
        <v>69</v>
      </c>
      <c r="E435" s="715">
        <v>1459</v>
      </c>
      <c r="F435" s="715"/>
      <c r="G435" s="489">
        <f>E435+F435</f>
        <v>1459</v>
      </c>
    </row>
    <row r="436" spans="1:7" ht="12.75">
      <c r="A436" s="112"/>
      <c r="B436" s="99"/>
      <c r="C436" s="99">
        <v>4220</v>
      </c>
      <c r="D436" s="115" t="s">
        <v>142</v>
      </c>
      <c r="E436" s="715">
        <v>5096</v>
      </c>
      <c r="F436" s="715"/>
      <c r="G436" s="489">
        <f aca="true" t="shared" si="17" ref="G436:G441">E436+F436</f>
        <v>5096</v>
      </c>
    </row>
    <row r="437" spans="1:7" ht="12.75">
      <c r="A437" s="112"/>
      <c r="B437" s="99"/>
      <c r="C437" s="99">
        <v>4230</v>
      </c>
      <c r="D437" s="115" t="s">
        <v>455</v>
      </c>
      <c r="E437" s="715">
        <v>0</v>
      </c>
      <c r="F437" s="715"/>
      <c r="G437" s="489">
        <f t="shared" si="17"/>
        <v>0</v>
      </c>
    </row>
    <row r="438" spans="1:7" ht="12.75">
      <c r="A438" s="112"/>
      <c r="B438" s="115"/>
      <c r="C438" s="127" t="s">
        <v>151</v>
      </c>
      <c r="D438" s="115" t="s">
        <v>70</v>
      </c>
      <c r="E438" s="715">
        <v>2268</v>
      </c>
      <c r="F438" s="715"/>
      <c r="G438" s="489">
        <f t="shared" si="17"/>
        <v>2268</v>
      </c>
    </row>
    <row r="439" spans="1:7" ht="12.75">
      <c r="A439" s="112"/>
      <c r="B439" s="115"/>
      <c r="C439" s="127" t="s">
        <v>152</v>
      </c>
      <c r="D439" s="115" t="s">
        <v>71</v>
      </c>
      <c r="E439" s="715">
        <v>0</v>
      </c>
      <c r="F439" s="715"/>
      <c r="G439" s="489">
        <f t="shared" si="17"/>
        <v>0</v>
      </c>
    </row>
    <row r="440" spans="1:7" ht="12.75">
      <c r="A440" s="112"/>
      <c r="B440" s="115"/>
      <c r="C440" s="127" t="s">
        <v>57</v>
      </c>
      <c r="D440" s="115" t="s">
        <v>58</v>
      </c>
      <c r="E440" s="715">
        <v>360</v>
      </c>
      <c r="F440" s="715"/>
      <c r="G440" s="489">
        <f t="shared" si="17"/>
        <v>360</v>
      </c>
    </row>
    <row r="441" spans="1:7" ht="12.75">
      <c r="A441" s="112"/>
      <c r="B441" s="115"/>
      <c r="C441" s="127" t="s">
        <v>442</v>
      </c>
      <c r="D441" s="115" t="s">
        <v>74</v>
      </c>
      <c r="E441" s="715">
        <v>150</v>
      </c>
      <c r="F441" s="715"/>
      <c r="G441" s="489">
        <f t="shared" si="17"/>
        <v>150</v>
      </c>
    </row>
    <row r="442" spans="1:7" ht="12.75">
      <c r="A442" s="112"/>
      <c r="B442" s="115"/>
      <c r="C442" s="127"/>
      <c r="D442" s="115"/>
      <c r="E442" s="715"/>
      <c r="F442" s="715"/>
      <c r="G442" s="489"/>
    </row>
    <row r="443" spans="1:7" ht="13.5" thickBot="1">
      <c r="A443" s="68">
        <v>853</v>
      </c>
      <c r="B443" s="117"/>
      <c r="C443" s="117"/>
      <c r="D443" s="75" t="s">
        <v>153</v>
      </c>
      <c r="E443" s="93">
        <f>E448+E470+E444</f>
        <v>1439160</v>
      </c>
      <c r="F443" s="93">
        <f>F448+F470+F444</f>
        <v>-35054</v>
      </c>
      <c r="G443" s="132">
        <f>G448+G470+G444</f>
        <v>1404106</v>
      </c>
    </row>
    <row r="444" spans="1:7" ht="12.75">
      <c r="A444" s="94"/>
      <c r="B444" s="110">
        <v>85311</v>
      </c>
      <c r="C444" s="110"/>
      <c r="D444" s="496" t="s">
        <v>491</v>
      </c>
      <c r="E444" s="446">
        <f>E445</f>
        <v>245160</v>
      </c>
      <c r="F444" s="717">
        <f>F445</f>
        <v>-35054</v>
      </c>
      <c r="G444" s="704">
        <f>G445</f>
        <v>210106</v>
      </c>
    </row>
    <row r="445" spans="1:7" ht="12.75">
      <c r="A445" s="94"/>
      <c r="B445" s="99"/>
      <c r="C445" s="99">
        <v>2580</v>
      </c>
      <c r="D445" s="115" t="s">
        <v>492</v>
      </c>
      <c r="E445" s="715">
        <v>245160</v>
      </c>
      <c r="F445" s="745">
        <v>-35054</v>
      </c>
      <c r="G445" s="705">
        <f>E445+F445</f>
        <v>210106</v>
      </c>
    </row>
    <row r="446" spans="1:7" ht="12.75">
      <c r="A446" s="94"/>
      <c r="B446" s="99"/>
      <c r="C446" s="99"/>
      <c r="D446" s="115" t="s">
        <v>493</v>
      </c>
      <c r="E446" s="715"/>
      <c r="F446" s="715"/>
      <c r="G446" s="492"/>
    </row>
    <row r="447" spans="1:7" ht="12.75">
      <c r="A447" s="94"/>
      <c r="B447" s="99"/>
      <c r="C447" s="99"/>
      <c r="D447" s="115"/>
      <c r="E447" s="715"/>
      <c r="F447" s="715"/>
      <c r="G447" s="492"/>
    </row>
    <row r="448" spans="1:7" ht="12.75">
      <c r="A448" s="94"/>
      <c r="B448" s="69">
        <v>85321</v>
      </c>
      <c r="C448" s="69"/>
      <c r="D448" s="119" t="s">
        <v>154</v>
      </c>
      <c r="E448" s="714">
        <f>SUM(E449:E468)</f>
        <v>381000</v>
      </c>
      <c r="F448" s="714">
        <f>SUM(F449:F468)</f>
        <v>0</v>
      </c>
      <c r="G448" s="488">
        <f>SUM(G449:G468)</f>
        <v>381000</v>
      </c>
    </row>
    <row r="449" spans="1:9" ht="12.75">
      <c r="A449" s="94"/>
      <c r="B449" s="99"/>
      <c r="C449" s="99">
        <v>4010</v>
      </c>
      <c r="D449" s="115" t="s">
        <v>64</v>
      </c>
      <c r="E449" s="715">
        <v>97697</v>
      </c>
      <c r="F449" s="715"/>
      <c r="G449" s="489">
        <f>E449+F449</f>
        <v>97697</v>
      </c>
      <c r="I449" s="80" t="e">
        <f>SUM(#REF!)</f>
        <v>#REF!</v>
      </c>
    </row>
    <row r="450" spans="1:7" ht="12.75">
      <c r="A450" s="94"/>
      <c r="B450" s="99"/>
      <c r="C450" s="99">
        <v>4040</v>
      </c>
      <c r="D450" s="115" t="s">
        <v>65</v>
      </c>
      <c r="E450" s="715">
        <v>6815</v>
      </c>
      <c r="F450" s="715"/>
      <c r="G450" s="489">
        <f aca="true" t="shared" si="18" ref="G450:G468">E450+F450</f>
        <v>6815</v>
      </c>
    </row>
    <row r="451" spans="1:7" ht="12.75">
      <c r="A451" s="94"/>
      <c r="B451" s="99"/>
      <c r="C451" s="99">
        <v>4110</v>
      </c>
      <c r="D451" s="115" t="s">
        <v>66</v>
      </c>
      <c r="E451" s="715">
        <v>19788</v>
      </c>
      <c r="F451" s="715"/>
      <c r="G451" s="489">
        <f t="shared" si="18"/>
        <v>19788</v>
      </c>
    </row>
    <row r="452" spans="1:7" ht="12.75">
      <c r="A452" s="94"/>
      <c r="B452" s="99"/>
      <c r="C452" s="99">
        <v>4120</v>
      </c>
      <c r="D452" s="115" t="s">
        <v>67</v>
      </c>
      <c r="E452" s="715">
        <v>2747</v>
      </c>
      <c r="F452" s="715"/>
      <c r="G452" s="489">
        <f t="shared" si="18"/>
        <v>2747</v>
      </c>
    </row>
    <row r="453" spans="1:7" ht="12.75">
      <c r="A453" s="94"/>
      <c r="B453" s="99"/>
      <c r="C453" s="99">
        <v>4170</v>
      </c>
      <c r="D453" s="115" t="s">
        <v>68</v>
      </c>
      <c r="E453" s="715">
        <v>60710</v>
      </c>
      <c r="F453" s="715"/>
      <c r="G453" s="489">
        <f t="shared" si="18"/>
        <v>60710</v>
      </c>
    </row>
    <row r="454" spans="1:7" ht="12.75">
      <c r="A454" s="94"/>
      <c r="B454" s="99"/>
      <c r="C454" s="99">
        <v>4210</v>
      </c>
      <c r="D454" s="115" t="s">
        <v>69</v>
      </c>
      <c r="E454" s="715">
        <v>21446</v>
      </c>
      <c r="F454" s="715"/>
      <c r="G454" s="489">
        <f t="shared" si="18"/>
        <v>21446</v>
      </c>
    </row>
    <row r="455" spans="1:7" ht="12.75">
      <c r="A455" s="94"/>
      <c r="B455" s="99"/>
      <c r="C455" s="99">
        <v>4260</v>
      </c>
      <c r="D455" s="115" t="s">
        <v>70</v>
      </c>
      <c r="E455" s="715">
        <v>11640</v>
      </c>
      <c r="F455" s="715"/>
      <c r="G455" s="489">
        <f t="shared" si="18"/>
        <v>11640</v>
      </c>
    </row>
    <row r="456" spans="1:7" ht="12.75">
      <c r="A456" s="94"/>
      <c r="B456" s="99"/>
      <c r="C456" s="99">
        <v>4270</v>
      </c>
      <c r="D456" s="115" t="s">
        <v>71</v>
      </c>
      <c r="E456" s="715">
        <v>2254</v>
      </c>
      <c r="F456" s="715"/>
      <c r="G456" s="489">
        <f t="shared" si="18"/>
        <v>2254</v>
      </c>
    </row>
    <row r="457" spans="1:7" ht="12.75">
      <c r="A457" s="94"/>
      <c r="B457" s="99"/>
      <c r="C457" s="99">
        <v>4280</v>
      </c>
      <c r="D457" s="115" t="s">
        <v>72</v>
      </c>
      <c r="E457" s="715">
        <v>100</v>
      </c>
      <c r="F457" s="715"/>
      <c r="G457" s="489">
        <f t="shared" si="18"/>
        <v>100</v>
      </c>
    </row>
    <row r="458" spans="1:7" ht="12.75">
      <c r="A458" s="94"/>
      <c r="B458" s="99"/>
      <c r="C458" s="99">
        <v>4300</v>
      </c>
      <c r="D458" s="115" t="s">
        <v>58</v>
      </c>
      <c r="E458" s="715">
        <v>134294</v>
      </c>
      <c r="F458" s="715">
        <v>-4500</v>
      </c>
      <c r="G458" s="489">
        <f t="shared" si="18"/>
        <v>129794</v>
      </c>
    </row>
    <row r="459" spans="1:7" ht="12.75">
      <c r="A459" s="94"/>
      <c r="B459" s="99"/>
      <c r="C459" s="99">
        <v>4350</v>
      </c>
      <c r="D459" s="115" t="s">
        <v>112</v>
      </c>
      <c r="E459" s="715">
        <v>0</v>
      </c>
      <c r="F459" s="715">
        <v>4500</v>
      </c>
      <c r="G459" s="489">
        <f t="shared" si="18"/>
        <v>4500</v>
      </c>
    </row>
    <row r="460" spans="1:7" ht="12.75">
      <c r="A460" s="94"/>
      <c r="B460" s="99"/>
      <c r="C460" s="99">
        <v>4370</v>
      </c>
      <c r="D460" s="115" t="s">
        <v>75</v>
      </c>
      <c r="E460" s="715">
        <v>6000</v>
      </c>
      <c r="F460" s="715"/>
      <c r="G460" s="489">
        <f t="shared" si="18"/>
        <v>6000</v>
      </c>
    </row>
    <row r="461" spans="1:7" ht="12.75">
      <c r="A461" s="94"/>
      <c r="B461" s="99"/>
      <c r="C461" s="99">
        <v>4410</v>
      </c>
      <c r="D461" s="115" t="s">
        <v>76</v>
      </c>
      <c r="E461" s="715">
        <v>3000</v>
      </c>
      <c r="F461" s="715"/>
      <c r="G461" s="489">
        <f t="shared" si="18"/>
        <v>3000</v>
      </c>
    </row>
    <row r="462" spans="1:7" ht="12.75">
      <c r="A462" s="94"/>
      <c r="B462" s="99"/>
      <c r="C462" s="99">
        <v>4430</v>
      </c>
      <c r="D462" s="115" t="s">
        <v>77</v>
      </c>
      <c r="E462" s="715">
        <v>700</v>
      </c>
      <c r="F462" s="715"/>
      <c r="G462" s="489">
        <f t="shared" si="18"/>
        <v>700</v>
      </c>
    </row>
    <row r="463" spans="1:7" ht="12.75">
      <c r="A463" s="94"/>
      <c r="B463" s="99"/>
      <c r="C463" s="99">
        <v>4440</v>
      </c>
      <c r="D463" s="115" t="s">
        <v>78</v>
      </c>
      <c r="E463" s="715">
        <v>2897</v>
      </c>
      <c r="F463" s="715"/>
      <c r="G463" s="489">
        <f t="shared" si="18"/>
        <v>2897</v>
      </c>
    </row>
    <row r="464" spans="1:7" ht="12.75">
      <c r="A464" s="94"/>
      <c r="B464" s="99"/>
      <c r="C464" s="99">
        <v>4480</v>
      </c>
      <c r="D464" s="115" t="s">
        <v>79</v>
      </c>
      <c r="E464" s="715">
        <v>462</v>
      </c>
      <c r="F464" s="715"/>
      <c r="G464" s="489">
        <f>E464+F464</f>
        <v>462</v>
      </c>
    </row>
    <row r="465" spans="1:7" ht="12.75">
      <c r="A465" s="94"/>
      <c r="B465" s="99"/>
      <c r="C465" s="99">
        <v>4510</v>
      </c>
      <c r="D465" s="115" t="s">
        <v>81</v>
      </c>
      <c r="E465" s="715">
        <v>150</v>
      </c>
      <c r="F465" s="715"/>
      <c r="G465" s="489">
        <f t="shared" si="18"/>
        <v>150</v>
      </c>
    </row>
    <row r="466" spans="1:7" ht="12.75">
      <c r="A466" s="94"/>
      <c r="B466" s="99"/>
      <c r="C466" s="99">
        <v>4700</v>
      </c>
      <c r="D466" s="115" t="s">
        <v>97</v>
      </c>
      <c r="E466" s="715">
        <v>2000</v>
      </c>
      <c r="F466" s="715"/>
      <c r="G466" s="489">
        <f t="shared" si="18"/>
        <v>2000</v>
      </c>
    </row>
    <row r="467" spans="1:7" ht="12.75">
      <c r="A467" s="94"/>
      <c r="B467" s="99"/>
      <c r="C467" s="99">
        <v>4740</v>
      </c>
      <c r="D467" s="115" t="s">
        <v>106</v>
      </c>
      <c r="E467" s="715">
        <v>2500</v>
      </c>
      <c r="F467" s="715"/>
      <c r="G467" s="489">
        <f t="shared" si="18"/>
        <v>2500</v>
      </c>
    </row>
    <row r="468" spans="1:7" ht="12.75">
      <c r="A468" s="94"/>
      <c r="B468" s="99"/>
      <c r="C468" s="99">
        <v>4750</v>
      </c>
      <c r="D468" s="115" t="s">
        <v>107</v>
      </c>
      <c r="E468" s="715">
        <v>5800</v>
      </c>
      <c r="F468" s="715"/>
      <c r="G468" s="489">
        <f t="shared" si="18"/>
        <v>5800</v>
      </c>
    </row>
    <row r="469" spans="1:7" ht="12.75">
      <c r="A469" s="94"/>
      <c r="B469" s="99"/>
      <c r="C469" s="99"/>
      <c r="D469" s="115"/>
      <c r="E469" s="715"/>
      <c r="F469" s="715"/>
      <c r="G469" s="489"/>
    </row>
    <row r="470" spans="1:7" ht="12.75">
      <c r="A470" s="103"/>
      <c r="B470" s="69">
        <v>85333</v>
      </c>
      <c r="C470" s="69"/>
      <c r="D470" s="119" t="s">
        <v>155</v>
      </c>
      <c r="E470" s="714">
        <f>SUM(E471:E472)</f>
        <v>813000</v>
      </c>
      <c r="F470" s="714">
        <f>SUM(F471:F472)</f>
        <v>0</v>
      </c>
      <c r="G470" s="488">
        <f>SUM(G471:G472)</f>
        <v>813000</v>
      </c>
    </row>
    <row r="471" spans="1:7" ht="12.75">
      <c r="A471" s="103"/>
      <c r="B471" s="99"/>
      <c r="C471" s="99">
        <v>2310</v>
      </c>
      <c r="D471" s="115" t="s">
        <v>134</v>
      </c>
      <c r="E471" s="715">
        <v>638361</v>
      </c>
      <c r="F471" s="715"/>
      <c r="G471" s="489">
        <f>E471+F471</f>
        <v>638361</v>
      </c>
    </row>
    <row r="472" spans="1:7" ht="12.75">
      <c r="A472" s="103"/>
      <c r="B472" s="99"/>
      <c r="C472" s="99">
        <v>4300</v>
      </c>
      <c r="D472" s="115" t="s">
        <v>58</v>
      </c>
      <c r="E472" s="715">
        <v>174639</v>
      </c>
      <c r="F472" s="715"/>
      <c r="G472" s="489">
        <f>E472+F472</f>
        <v>174639</v>
      </c>
    </row>
    <row r="473" spans="1:7" ht="12.75">
      <c r="A473" s="103"/>
      <c r="B473" s="99"/>
      <c r="C473" s="99"/>
      <c r="D473" s="115"/>
      <c r="E473" s="715"/>
      <c r="F473" s="715"/>
      <c r="G473" s="489"/>
    </row>
    <row r="474" spans="1:7" ht="13.5" thickBot="1">
      <c r="A474" s="68">
        <v>854</v>
      </c>
      <c r="B474" s="117"/>
      <c r="C474" s="117"/>
      <c r="D474" s="75" t="s">
        <v>156</v>
      </c>
      <c r="E474" s="93">
        <f>E475+E487+E510+E526+E557+E529</f>
        <v>3162197</v>
      </c>
      <c r="F474" s="93">
        <f>F475+F487+F510+F526+F557+F529</f>
        <v>115</v>
      </c>
      <c r="G474" s="132">
        <f>G475+G487+G510+G526+G557+G529</f>
        <v>3162312</v>
      </c>
    </row>
    <row r="475" spans="1:7" ht="12.75">
      <c r="A475" s="103"/>
      <c r="B475" s="69">
        <v>85401</v>
      </c>
      <c r="C475" s="69"/>
      <c r="D475" s="119" t="s">
        <v>157</v>
      </c>
      <c r="E475" s="714">
        <f>SUM(E476:E485)</f>
        <v>53790</v>
      </c>
      <c r="F475" s="714">
        <f>SUM(F476:F485)</f>
        <v>115</v>
      </c>
      <c r="G475" s="488">
        <f>SUM(G476:G485)</f>
        <v>53905</v>
      </c>
    </row>
    <row r="476" spans="1:7" ht="12.75">
      <c r="A476" s="103"/>
      <c r="B476" s="99"/>
      <c r="C476" s="99">
        <v>3020</v>
      </c>
      <c r="D476" s="115" t="s">
        <v>63</v>
      </c>
      <c r="E476" s="715">
        <f>83</f>
        <v>83</v>
      </c>
      <c r="F476" s="715"/>
      <c r="G476" s="489">
        <f>E476+F476</f>
        <v>83</v>
      </c>
    </row>
    <row r="477" spans="1:9" ht="12.75">
      <c r="A477" s="103"/>
      <c r="B477" s="99"/>
      <c r="C477" s="99">
        <v>4010</v>
      </c>
      <c r="D477" s="115" t="s">
        <v>64</v>
      </c>
      <c r="E477" s="715">
        <v>35879</v>
      </c>
      <c r="F477" s="715">
        <v>320</v>
      </c>
      <c r="G477" s="489">
        <f aca="true" t="shared" si="19" ref="G477:G485">E477+F477</f>
        <v>36199</v>
      </c>
      <c r="I477" s="80" t="e">
        <f>SUM(#REF!)</f>
        <v>#REF!</v>
      </c>
    </row>
    <row r="478" spans="1:7" ht="12.75">
      <c r="A478" s="103"/>
      <c r="B478" s="99"/>
      <c r="C478" s="99">
        <v>4040</v>
      </c>
      <c r="D478" s="115" t="s">
        <v>65</v>
      </c>
      <c r="E478" s="715">
        <f>1003+2371</f>
        <v>3374</v>
      </c>
      <c r="F478" s="715">
        <f>-320+115</f>
        <v>-205</v>
      </c>
      <c r="G478" s="489">
        <f t="shared" si="19"/>
        <v>3169</v>
      </c>
    </row>
    <row r="479" spans="1:7" ht="12.75">
      <c r="A479" s="103"/>
      <c r="B479" s="99"/>
      <c r="C479" s="99">
        <v>4110</v>
      </c>
      <c r="D479" s="115" t="s">
        <v>66</v>
      </c>
      <c r="E479" s="715">
        <v>6044</v>
      </c>
      <c r="F479" s="715"/>
      <c r="G479" s="489">
        <f t="shared" si="19"/>
        <v>6044</v>
      </c>
    </row>
    <row r="480" spans="1:7" ht="12.75">
      <c r="A480" s="103"/>
      <c r="B480" s="99"/>
      <c r="C480" s="99">
        <v>4120</v>
      </c>
      <c r="D480" s="115" t="s">
        <v>67</v>
      </c>
      <c r="E480" s="715">
        <v>962</v>
      </c>
      <c r="F480" s="715"/>
      <c r="G480" s="489">
        <f t="shared" si="19"/>
        <v>962</v>
      </c>
    </row>
    <row r="481" spans="1:7" ht="12.75">
      <c r="A481" s="103"/>
      <c r="B481" s="99"/>
      <c r="C481" s="99">
        <v>4210</v>
      </c>
      <c r="D481" s="115" t="s">
        <v>69</v>
      </c>
      <c r="E481" s="715">
        <f>2000</f>
        <v>2000</v>
      </c>
      <c r="F481" s="715"/>
      <c r="G481" s="489">
        <f t="shared" si="19"/>
        <v>2000</v>
      </c>
    </row>
    <row r="482" spans="1:7" ht="12.75">
      <c r="A482" s="103"/>
      <c r="B482" s="99"/>
      <c r="C482" s="99">
        <v>4260</v>
      </c>
      <c r="D482" s="115" t="s">
        <v>70</v>
      </c>
      <c r="E482" s="715">
        <f>800</f>
        <v>800</v>
      </c>
      <c r="F482" s="715"/>
      <c r="G482" s="489">
        <f t="shared" si="19"/>
        <v>800</v>
      </c>
    </row>
    <row r="483" spans="1:7" ht="12.75">
      <c r="A483" s="103"/>
      <c r="B483" s="99"/>
      <c r="C483" s="99">
        <v>4440</v>
      </c>
      <c r="D483" s="115" t="s">
        <v>78</v>
      </c>
      <c r="E483" s="715">
        <f>2074+2074</f>
        <v>4148</v>
      </c>
      <c r="F483" s="715"/>
      <c r="G483" s="489">
        <f t="shared" si="19"/>
        <v>4148</v>
      </c>
    </row>
    <row r="484" spans="1:7" ht="12.75">
      <c r="A484" s="103"/>
      <c r="B484" s="99"/>
      <c r="C484" s="99">
        <v>4740</v>
      </c>
      <c r="D484" s="115" t="s">
        <v>106</v>
      </c>
      <c r="E484" s="715">
        <v>300</v>
      </c>
      <c r="F484" s="715"/>
      <c r="G484" s="489">
        <f t="shared" si="19"/>
        <v>300</v>
      </c>
    </row>
    <row r="485" spans="1:7" ht="12.75">
      <c r="A485" s="103"/>
      <c r="B485" s="99"/>
      <c r="C485" s="99">
        <v>4750</v>
      </c>
      <c r="D485" s="115" t="s">
        <v>107</v>
      </c>
      <c r="E485" s="715">
        <v>200</v>
      </c>
      <c r="F485" s="715"/>
      <c r="G485" s="489">
        <f t="shared" si="19"/>
        <v>200</v>
      </c>
    </row>
    <row r="486" spans="1:7" ht="14.25" customHeight="1">
      <c r="A486" s="103"/>
      <c r="B486" s="99"/>
      <c r="C486" s="99"/>
      <c r="D486" s="115"/>
      <c r="E486" s="715"/>
      <c r="F486" s="715"/>
      <c r="G486" s="489"/>
    </row>
    <row r="487" spans="1:7" ht="12.75">
      <c r="A487" s="103"/>
      <c r="B487" s="69">
        <v>85406</v>
      </c>
      <c r="C487" s="69"/>
      <c r="D487" s="119" t="s">
        <v>158</v>
      </c>
      <c r="E487" s="714">
        <f>SUM(E488:E508)</f>
        <v>630726</v>
      </c>
      <c r="F487" s="714">
        <f>SUM(F488:F508)</f>
        <v>0</v>
      </c>
      <c r="G487" s="488">
        <f>SUM(G488:G508)</f>
        <v>630726</v>
      </c>
    </row>
    <row r="488" spans="1:8" ht="12.75">
      <c r="A488" s="103"/>
      <c r="B488" s="99"/>
      <c r="C488" s="99">
        <v>2310</v>
      </c>
      <c r="D488" s="115" t="s">
        <v>134</v>
      </c>
      <c r="E488" s="715">
        <v>120000</v>
      </c>
      <c r="F488" s="715"/>
      <c r="G488" s="489">
        <f>E488+F488</f>
        <v>120000</v>
      </c>
      <c r="H488" s="80"/>
    </row>
    <row r="489" spans="1:7" ht="12.75">
      <c r="A489" s="103"/>
      <c r="B489" s="99"/>
      <c r="C489" s="99">
        <v>3020</v>
      </c>
      <c r="D489" s="115" t="s">
        <v>63</v>
      </c>
      <c r="E489" s="715">
        <v>1103</v>
      </c>
      <c r="F489" s="715"/>
      <c r="G489" s="489">
        <f aca="true" t="shared" si="20" ref="G489:G508">E489+F489</f>
        <v>1103</v>
      </c>
    </row>
    <row r="490" spans="1:9" ht="12.75">
      <c r="A490" s="103"/>
      <c r="B490" s="99"/>
      <c r="C490" s="99">
        <v>4010</v>
      </c>
      <c r="D490" s="115" t="s">
        <v>64</v>
      </c>
      <c r="E490" s="715">
        <v>353735</v>
      </c>
      <c r="F490" s="715"/>
      <c r="G490" s="489">
        <f t="shared" si="20"/>
        <v>353735</v>
      </c>
      <c r="I490" s="80" t="e">
        <f>SUM(#REF!)</f>
        <v>#REF!</v>
      </c>
    </row>
    <row r="491" spans="1:7" ht="12.75">
      <c r="A491" s="103"/>
      <c r="B491" s="99"/>
      <c r="C491" s="99">
        <v>4040</v>
      </c>
      <c r="D491" s="115" t="s">
        <v>65</v>
      </c>
      <c r="E491" s="715">
        <v>27444</v>
      </c>
      <c r="F491" s="715"/>
      <c r="G491" s="489">
        <f t="shared" si="20"/>
        <v>27444</v>
      </c>
    </row>
    <row r="492" spans="1:7" ht="12.75">
      <c r="A492" s="103"/>
      <c r="B492" s="99"/>
      <c r="C492" s="99">
        <v>4110</v>
      </c>
      <c r="D492" s="115" t="s">
        <v>66</v>
      </c>
      <c r="E492" s="715">
        <v>53930</v>
      </c>
      <c r="F492" s="715"/>
      <c r="G492" s="489">
        <f t="shared" si="20"/>
        <v>53930</v>
      </c>
    </row>
    <row r="493" spans="1:7" ht="12.75">
      <c r="A493" s="103"/>
      <c r="B493" s="99"/>
      <c r="C493" s="99">
        <v>4120</v>
      </c>
      <c r="D493" s="115" t="s">
        <v>67</v>
      </c>
      <c r="E493" s="715">
        <v>9274</v>
      </c>
      <c r="F493" s="715"/>
      <c r="G493" s="489">
        <f t="shared" si="20"/>
        <v>9274</v>
      </c>
    </row>
    <row r="494" spans="1:7" ht="12.75">
      <c r="A494" s="103"/>
      <c r="B494" s="99"/>
      <c r="C494" s="99">
        <v>4210</v>
      </c>
      <c r="D494" s="115" t="s">
        <v>69</v>
      </c>
      <c r="E494" s="715">
        <v>5044</v>
      </c>
      <c r="F494" s="715"/>
      <c r="G494" s="489">
        <f t="shared" si="20"/>
        <v>5044</v>
      </c>
    </row>
    <row r="495" spans="1:7" ht="12.75">
      <c r="A495" s="103"/>
      <c r="B495" s="99"/>
      <c r="C495" s="99">
        <v>4240</v>
      </c>
      <c r="D495" s="115" t="s">
        <v>127</v>
      </c>
      <c r="E495" s="715">
        <v>1500</v>
      </c>
      <c r="F495" s="715"/>
      <c r="G495" s="489">
        <f t="shared" si="20"/>
        <v>1500</v>
      </c>
    </row>
    <row r="496" spans="1:7" ht="12.75">
      <c r="A496" s="103"/>
      <c r="B496" s="99"/>
      <c r="C496" s="99">
        <v>4260</v>
      </c>
      <c r="D496" s="115" t="s">
        <v>70</v>
      </c>
      <c r="E496" s="715">
        <v>9528</v>
      </c>
      <c r="F496" s="715"/>
      <c r="G496" s="489">
        <f t="shared" si="20"/>
        <v>9528</v>
      </c>
    </row>
    <row r="497" spans="1:7" ht="12.75">
      <c r="A497" s="103"/>
      <c r="B497" s="99"/>
      <c r="C497" s="99">
        <v>4270</v>
      </c>
      <c r="D497" s="115" t="s">
        <v>71</v>
      </c>
      <c r="E497" s="715">
        <v>2000</v>
      </c>
      <c r="F497" s="715"/>
      <c r="G497" s="489">
        <f t="shared" si="20"/>
        <v>2000</v>
      </c>
    </row>
    <row r="498" spans="1:7" ht="12.75">
      <c r="A498" s="103"/>
      <c r="B498" s="115"/>
      <c r="C498" s="99">
        <v>4280</v>
      </c>
      <c r="D498" s="115" t="s">
        <v>72</v>
      </c>
      <c r="E498" s="715">
        <v>240</v>
      </c>
      <c r="F498" s="715"/>
      <c r="G498" s="489">
        <f t="shared" si="20"/>
        <v>240</v>
      </c>
    </row>
    <row r="499" spans="1:7" ht="12.75">
      <c r="A499" s="103"/>
      <c r="B499" s="115"/>
      <c r="C499" s="99">
        <v>4300</v>
      </c>
      <c r="D499" s="115" t="s">
        <v>58</v>
      </c>
      <c r="E499" s="715">
        <v>6100</v>
      </c>
      <c r="F499" s="715"/>
      <c r="G499" s="489">
        <f t="shared" si="20"/>
        <v>6100</v>
      </c>
    </row>
    <row r="500" spans="1:7" ht="12.75">
      <c r="A500" s="103"/>
      <c r="B500" s="115"/>
      <c r="C500" s="99">
        <v>4350</v>
      </c>
      <c r="D500" s="115" t="s">
        <v>112</v>
      </c>
      <c r="E500" s="715">
        <v>1200</v>
      </c>
      <c r="F500" s="715"/>
      <c r="G500" s="489">
        <f t="shared" si="20"/>
        <v>1200</v>
      </c>
    </row>
    <row r="501" spans="1:7" ht="12.75">
      <c r="A501" s="103"/>
      <c r="B501" s="115"/>
      <c r="C501" s="99">
        <v>4370</v>
      </c>
      <c r="D501" s="115" t="s">
        <v>75</v>
      </c>
      <c r="E501" s="715">
        <v>4500</v>
      </c>
      <c r="F501" s="715"/>
      <c r="G501" s="489">
        <f t="shared" si="20"/>
        <v>4500</v>
      </c>
    </row>
    <row r="502" spans="1:7" ht="12.75">
      <c r="A502" s="103"/>
      <c r="B502" s="115"/>
      <c r="C502" s="99">
        <v>4400</v>
      </c>
      <c r="D502" s="115" t="s">
        <v>456</v>
      </c>
      <c r="E502" s="715">
        <v>2158</v>
      </c>
      <c r="F502" s="715"/>
      <c r="G502" s="489">
        <f t="shared" si="20"/>
        <v>2158</v>
      </c>
    </row>
    <row r="503" spans="1:7" ht="12.75">
      <c r="A503" s="103"/>
      <c r="B503" s="115"/>
      <c r="C503" s="99">
        <v>4410</v>
      </c>
      <c r="D503" s="115" t="s">
        <v>76</v>
      </c>
      <c r="E503" s="715">
        <v>2800</v>
      </c>
      <c r="F503" s="715"/>
      <c r="G503" s="489">
        <f t="shared" si="20"/>
        <v>2800</v>
      </c>
    </row>
    <row r="504" spans="1:7" ht="12.75">
      <c r="A504" s="103"/>
      <c r="B504" s="115"/>
      <c r="C504" s="99">
        <v>4430</v>
      </c>
      <c r="D504" s="115" t="s">
        <v>77</v>
      </c>
      <c r="E504" s="715">
        <v>2400</v>
      </c>
      <c r="F504" s="715"/>
      <c r="G504" s="489">
        <f t="shared" si="20"/>
        <v>2400</v>
      </c>
    </row>
    <row r="505" spans="1:7" ht="12.75">
      <c r="A505" s="103"/>
      <c r="B505" s="115"/>
      <c r="C505" s="99">
        <v>4440</v>
      </c>
      <c r="D505" s="115" t="s">
        <v>78</v>
      </c>
      <c r="E505" s="715">
        <v>22570</v>
      </c>
      <c r="F505" s="715"/>
      <c r="G505" s="489">
        <f t="shared" si="20"/>
        <v>22570</v>
      </c>
    </row>
    <row r="506" spans="1:7" ht="12.75">
      <c r="A506" s="103"/>
      <c r="B506" s="115"/>
      <c r="C506" s="99">
        <v>4700</v>
      </c>
      <c r="D506" s="115" t="s">
        <v>97</v>
      </c>
      <c r="E506" s="715">
        <v>500</v>
      </c>
      <c r="F506" s="715"/>
      <c r="G506" s="489">
        <f t="shared" si="20"/>
        <v>500</v>
      </c>
    </row>
    <row r="507" spans="1:7" ht="12.75">
      <c r="A507" s="103"/>
      <c r="B507" s="115"/>
      <c r="C507" s="99">
        <v>4740</v>
      </c>
      <c r="D507" s="115" t="s">
        <v>106</v>
      </c>
      <c r="E507" s="715">
        <v>1500</v>
      </c>
      <c r="F507" s="715"/>
      <c r="G507" s="489">
        <f t="shared" si="20"/>
        <v>1500</v>
      </c>
    </row>
    <row r="508" spans="1:7" ht="12.75">
      <c r="A508" s="103"/>
      <c r="B508" s="115"/>
      <c r="C508" s="99">
        <v>4750</v>
      </c>
      <c r="D508" s="115" t="s">
        <v>107</v>
      </c>
      <c r="E508" s="715">
        <v>3200</v>
      </c>
      <c r="F508" s="715"/>
      <c r="G508" s="489">
        <f t="shared" si="20"/>
        <v>3200</v>
      </c>
    </row>
    <row r="509" spans="1:7" ht="12.75">
      <c r="A509" s="103"/>
      <c r="B509" s="115"/>
      <c r="C509" s="99"/>
      <c r="D509" s="115"/>
      <c r="E509" s="715"/>
      <c r="F509" s="715"/>
      <c r="G509" s="489"/>
    </row>
    <row r="510" spans="1:7" ht="12.75">
      <c r="A510" s="112"/>
      <c r="B510" s="69">
        <v>85410</v>
      </c>
      <c r="C510" s="69"/>
      <c r="D510" s="119" t="s">
        <v>159</v>
      </c>
      <c r="E510" s="714">
        <f>SUM(E511:E524)</f>
        <v>250291</v>
      </c>
      <c r="F510" s="714">
        <f>SUM(F511:F524)</f>
        <v>0</v>
      </c>
      <c r="G510" s="488">
        <f>SUM(G511:G524)</f>
        <v>250291</v>
      </c>
    </row>
    <row r="511" spans="1:7" ht="12.75">
      <c r="A511" s="112"/>
      <c r="B511" s="115"/>
      <c r="C511" s="99">
        <v>3020</v>
      </c>
      <c r="D511" s="115" t="s">
        <v>63</v>
      </c>
      <c r="E511" s="715">
        <v>152</v>
      </c>
      <c r="F511" s="715"/>
      <c r="G511" s="489">
        <f>E511+F511</f>
        <v>152</v>
      </c>
    </row>
    <row r="512" spans="1:9" ht="12.75">
      <c r="A512" s="112"/>
      <c r="B512" s="115"/>
      <c r="C512" s="99">
        <v>4010</v>
      </c>
      <c r="D512" s="115" t="s">
        <v>64</v>
      </c>
      <c r="E512" s="715">
        <v>91879</v>
      </c>
      <c r="F512" s="715">
        <v>1109</v>
      </c>
      <c r="G512" s="489">
        <f aca="true" t="shared" si="21" ref="G512:G524">E512+F512</f>
        <v>92988</v>
      </c>
      <c r="I512" s="80" t="e">
        <f>SUM(#REF!)</f>
        <v>#REF!</v>
      </c>
    </row>
    <row r="513" spans="1:7" ht="12.75">
      <c r="A513" s="112"/>
      <c r="B513" s="115"/>
      <c r="C513" s="99">
        <v>4040</v>
      </c>
      <c r="D513" s="115" t="s">
        <v>65</v>
      </c>
      <c r="E513" s="715">
        <v>8084</v>
      </c>
      <c r="F513" s="715">
        <v>-1109</v>
      </c>
      <c r="G513" s="489">
        <f t="shared" si="21"/>
        <v>6975</v>
      </c>
    </row>
    <row r="514" spans="1:7" ht="12.75">
      <c r="A514" s="112"/>
      <c r="B514" s="115"/>
      <c r="C514" s="99">
        <v>4110</v>
      </c>
      <c r="D514" s="115" t="s">
        <v>66</v>
      </c>
      <c r="E514" s="715">
        <v>15454</v>
      </c>
      <c r="F514" s="715"/>
      <c r="G514" s="489">
        <f t="shared" si="21"/>
        <v>15454</v>
      </c>
    </row>
    <row r="515" spans="1:7" ht="12.75">
      <c r="A515" s="112"/>
      <c r="B515" s="115"/>
      <c r="C515" s="99">
        <v>4120</v>
      </c>
      <c r="D515" s="115" t="s">
        <v>67</v>
      </c>
      <c r="E515" s="715">
        <v>2449</v>
      </c>
      <c r="F515" s="715"/>
      <c r="G515" s="489">
        <f t="shared" si="21"/>
        <v>2449</v>
      </c>
    </row>
    <row r="516" spans="1:7" ht="12.75">
      <c r="A516" s="112"/>
      <c r="B516" s="115"/>
      <c r="C516" s="99">
        <v>4210</v>
      </c>
      <c r="D516" s="115" t="s">
        <v>69</v>
      </c>
      <c r="E516" s="715">
        <v>44388</v>
      </c>
      <c r="F516" s="715"/>
      <c r="G516" s="489">
        <f t="shared" si="21"/>
        <v>44388</v>
      </c>
    </row>
    <row r="517" spans="1:7" ht="12.75">
      <c r="A517" s="112"/>
      <c r="B517" s="115"/>
      <c r="C517" s="99">
        <v>4220</v>
      </c>
      <c r="D517" s="115" t="s">
        <v>142</v>
      </c>
      <c r="E517" s="715">
        <v>65550</v>
      </c>
      <c r="F517" s="715"/>
      <c r="G517" s="489">
        <f t="shared" si="21"/>
        <v>65550</v>
      </c>
    </row>
    <row r="518" spans="1:7" ht="12.75">
      <c r="A518" s="112"/>
      <c r="B518" s="115"/>
      <c r="C518" s="99">
        <v>4260</v>
      </c>
      <c r="D518" s="115" t="s">
        <v>70</v>
      </c>
      <c r="E518" s="715">
        <v>10500</v>
      </c>
      <c r="F518" s="715"/>
      <c r="G518" s="489">
        <f t="shared" si="21"/>
        <v>10500</v>
      </c>
    </row>
    <row r="519" spans="1:7" ht="12.75">
      <c r="A519" s="112"/>
      <c r="B519" s="115"/>
      <c r="C519" s="99">
        <v>4270</v>
      </c>
      <c r="D519" s="115" t="s">
        <v>71</v>
      </c>
      <c r="E519" s="715">
        <v>500</v>
      </c>
      <c r="F519" s="715"/>
      <c r="G519" s="489">
        <f t="shared" si="21"/>
        <v>500</v>
      </c>
    </row>
    <row r="520" spans="1:7" ht="12.75">
      <c r="A520" s="112"/>
      <c r="B520" s="115"/>
      <c r="C520" s="99">
        <v>4280</v>
      </c>
      <c r="D520" s="115" t="s">
        <v>72</v>
      </c>
      <c r="E520" s="715">
        <v>150</v>
      </c>
      <c r="F520" s="715"/>
      <c r="G520" s="489">
        <f t="shared" si="21"/>
        <v>150</v>
      </c>
    </row>
    <row r="521" spans="1:7" ht="12.75">
      <c r="A521" s="112"/>
      <c r="B521" s="115"/>
      <c r="C521" s="99">
        <v>4300</v>
      </c>
      <c r="D521" s="115" t="s">
        <v>58</v>
      </c>
      <c r="E521" s="715">
        <f>3000</f>
        <v>3000</v>
      </c>
      <c r="F521" s="715"/>
      <c r="G521" s="489">
        <f t="shared" si="21"/>
        <v>3000</v>
      </c>
    </row>
    <row r="522" spans="1:7" ht="12.75">
      <c r="A522" s="112"/>
      <c r="B522" s="115"/>
      <c r="C522" s="99">
        <v>4370</v>
      </c>
      <c r="D522" s="115" t="s">
        <v>75</v>
      </c>
      <c r="E522" s="715">
        <f>1500</f>
        <v>1500</v>
      </c>
      <c r="F522" s="715"/>
      <c r="G522" s="489">
        <f t="shared" si="21"/>
        <v>1500</v>
      </c>
    </row>
    <row r="523" spans="1:7" ht="12.75">
      <c r="A523" s="112"/>
      <c r="B523" s="115"/>
      <c r="C523" s="99">
        <v>4440</v>
      </c>
      <c r="D523" s="115" t="s">
        <v>78</v>
      </c>
      <c r="E523" s="715">
        <v>6160</v>
      </c>
      <c r="F523" s="715"/>
      <c r="G523" s="489">
        <f t="shared" si="21"/>
        <v>6160</v>
      </c>
    </row>
    <row r="524" spans="1:7" ht="12.75">
      <c r="A524" s="112"/>
      <c r="B524" s="115"/>
      <c r="C524" s="99">
        <v>4530</v>
      </c>
      <c r="D524" s="115" t="s">
        <v>160</v>
      </c>
      <c r="E524" s="715">
        <f>525</f>
        <v>525</v>
      </c>
      <c r="F524" s="715"/>
      <c r="G524" s="489">
        <f t="shared" si="21"/>
        <v>525</v>
      </c>
    </row>
    <row r="525" spans="1:7" ht="12.75">
      <c r="A525" s="112"/>
      <c r="B525" s="115"/>
      <c r="C525" s="99"/>
      <c r="D525" s="115"/>
      <c r="E525" s="715"/>
      <c r="F525" s="715"/>
      <c r="G525" s="489"/>
    </row>
    <row r="526" spans="1:7" ht="12.75">
      <c r="A526" s="112"/>
      <c r="B526" s="119">
        <v>85415</v>
      </c>
      <c r="C526" s="69"/>
      <c r="D526" s="119" t="s">
        <v>161</v>
      </c>
      <c r="E526" s="714">
        <f>SUM(E527:E527)</f>
        <v>50000</v>
      </c>
      <c r="F526" s="714">
        <f>SUM(F527:F527)</f>
        <v>0</v>
      </c>
      <c r="G526" s="488">
        <f>SUM(G527:G527)</f>
        <v>50000</v>
      </c>
    </row>
    <row r="527" spans="1:7" ht="12.75">
      <c r="A527" s="112"/>
      <c r="B527" s="115"/>
      <c r="C527" s="99">
        <v>3240</v>
      </c>
      <c r="D527" s="115" t="s">
        <v>162</v>
      </c>
      <c r="E527" s="715">
        <v>50000</v>
      </c>
      <c r="F527" s="715"/>
      <c r="G527" s="489">
        <f>E527+F527</f>
        <v>50000</v>
      </c>
    </row>
    <row r="528" spans="1:7" ht="12.75">
      <c r="A528" s="112"/>
      <c r="B528" s="115"/>
      <c r="C528" s="99"/>
      <c r="D528" s="115"/>
      <c r="E528" s="715"/>
      <c r="F528" s="715"/>
      <c r="G528" s="489"/>
    </row>
    <row r="529" spans="1:7" ht="12.75">
      <c r="A529" s="112"/>
      <c r="B529" s="119">
        <v>85420</v>
      </c>
      <c r="C529" s="69"/>
      <c r="D529" s="119" t="s">
        <v>163</v>
      </c>
      <c r="E529" s="714">
        <f>SUM(E530:E555)</f>
        <v>2169247</v>
      </c>
      <c r="F529" s="714">
        <f>SUM(F530:F555)</f>
        <v>0</v>
      </c>
      <c r="G529" s="488">
        <f>SUM(G530:G555)</f>
        <v>2169247</v>
      </c>
    </row>
    <row r="530" spans="1:7" ht="12.75">
      <c r="A530" s="112"/>
      <c r="B530" s="115"/>
      <c r="C530" s="99">
        <v>3020</v>
      </c>
      <c r="D530" s="115" t="s">
        <v>63</v>
      </c>
      <c r="E530" s="715">
        <v>62990</v>
      </c>
      <c r="F530" s="715"/>
      <c r="G530" s="489">
        <f>E530+F530</f>
        <v>62990</v>
      </c>
    </row>
    <row r="531" spans="1:7" ht="12.75">
      <c r="A531" s="112"/>
      <c r="B531" s="115"/>
      <c r="C531" s="99">
        <v>3110</v>
      </c>
      <c r="D531" s="115" t="s">
        <v>141</v>
      </c>
      <c r="E531" s="715">
        <v>1000</v>
      </c>
      <c r="F531" s="715"/>
      <c r="G531" s="489">
        <f aca="true" t="shared" si="22" ref="G531:G555">E531+F531</f>
        <v>1000</v>
      </c>
    </row>
    <row r="532" spans="1:9" ht="12.75">
      <c r="A532" s="112"/>
      <c r="B532" s="115"/>
      <c r="C532" s="99">
        <v>4010</v>
      </c>
      <c r="D532" s="115" t="s">
        <v>64</v>
      </c>
      <c r="E532" s="715">
        <v>1060857</v>
      </c>
      <c r="F532" s="715"/>
      <c r="G532" s="489">
        <f t="shared" si="22"/>
        <v>1060857</v>
      </c>
      <c r="I532" s="80" t="e">
        <f>SUM(#REF!)</f>
        <v>#REF!</v>
      </c>
    </row>
    <row r="533" spans="1:7" ht="12.75">
      <c r="A533" s="112"/>
      <c r="B533" s="115"/>
      <c r="C533" s="99">
        <v>4040</v>
      </c>
      <c r="D533" s="115" t="s">
        <v>65</v>
      </c>
      <c r="E533" s="715">
        <v>82789</v>
      </c>
      <c r="F533" s="715"/>
      <c r="G533" s="489">
        <f t="shared" si="22"/>
        <v>82789</v>
      </c>
    </row>
    <row r="534" spans="1:7" ht="12.75">
      <c r="A534" s="112"/>
      <c r="B534" s="115"/>
      <c r="C534" s="99">
        <v>4110</v>
      </c>
      <c r="D534" s="115" t="s">
        <v>66</v>
      </c>
      <c r="E534" s="715">
        <v>207694</v>
      </c>
      <c r="F534" s="715"/>
      <c r="G534" s="489">
        <f t="shared" si="22"/>
        <v>207694</v>
      </c>
    </row>
    <row r="535" spans="1:7" ht="12.75">
      <c r="A535" s="112"/>
      <c r="B535" s="115"/>
      <c r="C535" s="99">
        <v>4120</v>
      </c>
      <c r="D535" s="115" t="s">
        <v>67</v>
      </c>
      <c r="E535" s="715">
        <v>28700</v>
      </c>
      <c r="F535" s="715"/>
      <c r="G535" s="489">
        <f t="shared" si="22"/>
        <v>28700</v>
      </c>
    </row>
    <row r="536" spans="1:7" ht="12.75">
      <c r="A536" s="112"/>
      <c r="B536" s="115"/>
      <c r="C536" s="99">
        <v>4170</v>
      </c>
      <c r="D536" s="115" t="s">
        <v>68</v>
      </c>
      <c r="E536" s="715">
        <v>1764</v>
      </c>
      <c r="F536" s="715"/>
      <c r="G536" s="489">
        <f t="shared" si="22"/>
        <v>1764</v>
      </c>
    </row>
    <row r="537" spans="1:7" ht="12.75">
      <c r="A537" s="112"/>
      <c r="B537" s="115"/>
      <c r="C537" s="99">
        <v>4210</v>
      </c>
      <c r="D537" s="115" t="s">
        <v>69</v>
      </c>
      <c r="E537" s="715">
        <v>260300</v>
      </c>
      <c r="F537" s="715"/>
      <c r="G537" s="489">
        <f t="shared" si="22"/>
        <v>260300</v>
      </c>
    </row>
    <row r="538" spans="1:7" ht="12.75">
      <c r="A538" s="112"/>
      <c r="B538" s="115"/>
      <c r="C538" s="99">
        <v>4220</v>
      </c>
      <c r="D538" s="115" t="s">
        <v>142</v>
      </c>
      <c r="E538" s="715">
        <v>2000</v>
      </c>
      <c r="F538" s="715"/>
      <c r="G538" s="489">
        <f t="shared" si="22"/>
        <v>2000</v>
      </c>
    </row>
    <row r="539" spans="1:7" ht="12.75">
      <c r="A539" s="112"/>
      <c r="B539" s="115"/>
      <c r="C539" s="99">
        <v>4240</v>
      </c>
      <c r="D539" s="115" t="s">
        <v>499</v>
      </c>
      <c r="E539" s="715">
        <v>1000</v>
      </c>
      <c r="F539" s="715"/>
      <c r="G539" s="489">
        <f t="shared" si="22"/>
        <v>1000</v>
      </c>
    </row>
    <row r="540" spans="1:7" ht="12.75">
      <c r="A540" s="112"/>
      <c r="B540" s="115"/>
      <c r="C540" s="99">
        <v>4260</v>
      </c>
      <c r="D540" s="115" t="s">
        <v>70</v>
      </c>
      <c r="E540" s="715">
        <v>43000</v>
      </c>
      <c r="F540" s="715"/>
      <c r="G540" s="489">
        <f t="shared" si="22"/>
        <v>43000</v>
      </c>
    </row>
    <row r="541" spans="1:7" ht="12.75">
      <c r="A541" s="112"/>
      <c r="B541" s="115"/>
      <c r="C541" s="99">
        <v>4270</v>
      </c>
      <c r="D541" s="115" t="s">
        <v>71</v>
      </c>
      <c r="E541" s="715">
        <v>1000</v>
      </c>
      <c r="F541" s="715"/>
      <c r="G541" s="489">
        <f t="shared" si="22"/>
        <v>1000</v>
      </c>
    </row>
    <row r="542" spans="1:7" ht="12.75">
      <c r="A542" s="112"/>
      <c r="B542" s="115"/>
      <c r="C542" s="99">
        <v>4280</v>
      </c>
      <c r="D542" s="115" t="s">
        <v>72</v>
      </c>
      <c r="E542" s="715">
        <v>500</v>
      </c>
      <c r="F542" s="715"/>
      <c r="G542" s="489">
        <f t="shared" si="22"/>
        <v>500</v>
      </c>
    </row>
    <row r="543" spans="1:7" ht="12.75">
      <c r="A543" s="112"/>
      <c r="B543" s="115"/>
      <c r="C543" s="99">
        <v>4300</v>
      </c>
      <c r="D543" s="115" t="s">
        <v>58</v>
      </c>
      <c r="E543" s="715">
        <v>293000</v>
      </c>
      <c r="F543" s="715"/>
      <c r="G543" s="489">
        <f t="shared" si="22"/>
        <v>293000</v>
      </c>
    </row>
    <row r="544" spans="1:7" ht="12.75">
      <c r="A544" s="112"/>
      <c r="B544" s="115"/>
      <c r="C544" s="99">
        <v>4350</v>
      </c>
      <c r="D544" s="115" t="s">
        <v>112</v>
      </c>
      <c r="E544" s="715">
        <v>1300</v>
      </c>
      <c r="F544" s="715"/>
      <c r="G544" s="489">
        <f t="shared" si="22"/>
        <v>1300</v>
      </c>
    </row>
    <row r="545" spans="1:7" ht="12.75">
      <c r="A545" s="112"/>
      <c r="B545" s="115"/>
      <c r="C545" s="99">
        <v>4360</v>
      </c>
      <c r="D545" s="115" t="s">
        <v>74</v>
      </c>
      <c r="E545" s="715">
        <v>1800</v>
      </c>
      <c r="F545" s="715"/>
      <c r="G545" s="489">
        <f t="shared" si="22"/>
        <v>1800</v>
      </c>
    </row>
    <row r="546" spans="1:7" ht="12.75">
      <c r="A546" s="112"/>
      <c r="B546" s="115"/>
      <c r="C546" s="99">
        <v>4370</v>
      </c>
      <c r="D546" s="115" t="s">
        <v>75</v>
      </c>
      <c r="E546" s="715">
        <v>7000</v>
      </c>
      <c r="F546" s="715"/>
      <c r="G546" s="489">
        <f t="shared" si="22"/>
        <v>7000</v>
      </c>
    </row>
    <row r="547" spans="1:7" ht="12.75">
      <c r="A547" s="112"/>
      <c r="B547" s="115"/>
      <c r="C547" s="99">
        <v>4390</v>
      </c>
      <c r="D547" s="115" t="s">
        <v>102</v>
      </c>
      <c r="E547" s="715">
        <v>2000</v>
      </c>
      <c r="F547" s="715"/>
      <c r="G547" s="489">
        <f t="shared" si="22"/>
        <v>2000</v>
      </c>
    </row>
    <row r="548" spans="1:7" ht="12.75">
      <c r="A548" s="112"/>
      <c r="B548" s="115"/>
      <c r="C548" s="99">
        <v>4410</v>
      </c>
      <c r="D548" s="115" t="s">
        <v>76</v>
      </c>
      <c r="E548" s="715">
        <v>3000</v>
      </c>
      <c r="F548" s="715"/>
      <c r="G548" s="489">
        <f t="shared" si="22"/>
        <v>3000</v>
      </c>
    </row>
    <row r="549" spans="1:7" ht="12.75">
      <c r="A549" s="112"/>
      <c r="B549" s="115"/>
      <c r="C549" s="99">
        <v>4420</v>
      </c>
      <c r="D549" s="115" t="s">
        <v>110</v>
      </c>
      <c r="E549" s="715">
        <v>500</v>
      </c>
      <c r="F549" s="715"/>
      <c r="G549" s="489">
        <f t="shared" si="22"/>
        <v>500</v>
      </c>
    </row>
    <row r="550" spans="1:7" ht="12.75">
      <c r="A550" s="112"/>
      <c r="B550" s="115"/>
      <c r="C550" s="99">
        <v>4430</v>
      </c>
      <c r="D550" s="115" t="s">
        <v>77</v>
      </c>
      <c r="E550" s="715">
        <v>8000</v>
      </c>
      <c r="F550" s="715"/>
      <c r="G550" s="489">
        <f t="shared" si="22"/>
        <v>8000</v>
      </c>
    </row>
    <row r="551" spans="1:7" ht="12.75">
      <c r="A551" s="112"/>
      <c r="B551" s="115"/>
      <c r="C551" s="99">
        <v>4440</v>
      </c>
      <c r="D551" s="115" t="s">
        <v>78</v>
      </c>
      <c r="E551" s="715">
        <v>91847</v>
      </c>
      <c r="F551" s="715"/>
      <c r="G551" s="489">
        <f t="shared" si="22"/>
        <v>91847</v>
      </c>
    </row>
    <row r="552" spans="1:7" ht="12.75">
      <c r="A552" s="112"/>
      <c r="B552" s="115"/>
      <c r="C552" s="99">
        <v>4530</v>
      </c>
      <c r="D552" s="115" t="s">
        <v>83</v>
      </c>
      <c r="E552" s="715">
        <v>3306</v>
      </c>
      <c r="F552" s="715"/>
      <c r="G552" s="489">
        <f t="shared" si="22"/>
        <v>3306</v>
      </c>
    </row>
    <row r="553" spans="1:7" ht="12.75">
      <c r="A553" s="112"/>
      <c r="B553" s="115"/>
      <c r="C553" s="99">
        <v>4700</v>
      </c>
      <c r="D553" s="115" t="s">
        <v>446</v>
      </c>
      <c r="E553" s="715">
        <v>1300</v>
      </c>
      <c r="F553" s="715"/>
      <c r="G553" s="489">
        <f t="shared" si="22"/>
        <v>1300</v>
      </c>
    </row>
    <row r="554" spans="1:7" ht="12.75">
      <c r="A554" s="112"/>
      <c r="B554" s="115"/>
      <c r="C554" s="99">
        <v>4740</v>
      </c>
      <c r="D554" s="115" t="s">
        <v>106</v>
      </c>
      <c r="E554" s="715">
        <v>600</v>
      </c>
      <c r="F554" s="715"/>
      <c r="G554" s="489">
        <f t="shared" si="22"/>
        <v>600</v>
      </c>
    </row>
    <row r="555" spans="1:7" ht="12.75">
      <c r="A555" s="112"/>
      <c r="B555" s="115"/>
      <c r="C555" s="99">
        <v>4750</v>
      </c>
      <c r="D555" s="115" t="s">
        <v>107</v>
      </c>
      <c r="E555" s="715">
        <v>2000</v>
      </c>
      <c r="F555" s="715"/>
      <c r="G555" s="489">
        <f t="shared" si="22"/>
        <v>2000</v>
      </c>
    </row>
    <row r="556" spans="1:7" ht="12.75">
      <c r="A556" s="112"/>
      <c r="B556" s="115"/>
      <c r="C556" s="99"/>
      <c r="D556" s="115"/>
      <c r="E556" s="715"/>
      <c r="F556" s="715"/>
      <c r="G556" s="489"/>
    </row>
    <row r="557" spans="1:7" ht="12.75">
      <c r="A557" s="112"/>
      <c r="B557" s="119">
        <v>85495</v>
      </c>
      <c r="C557" s="69"/>
      <c r="D557" s="119" t="s">
        <v>44</v>
      </c>
      <c r="E557" s="714">
        <f>SUM(E558)</f>
        <v>8143</v>
      </c>
      <c r="F557" s="714">
        <f>SUM(F558)</f>
        <v>0</v>
      </c>
      <c r="G557" s="488">
        <f>SUM(G558)</f>
        <v>8143</v>
      </c>
    </row>
    <row r="558" spans="1:7" ht="12.75">
      <c r="A558" s="112"/>
      <c r="B558" s="115"/>
      <c r="C558" s="99">
        <v>4440</v>
      </c>
      <c r="D558" s="115" t="s">
        <v>78</v>
      </c>
      <c r="E558" s="715">
        <f>2115+2828+3200</f>
        <v>8143</v>
      </c>
      <c r="F558" s="715"/>
      <c r="G558" s="489">
        <f>E558+F558</f>
        <v>8143</v>
      </c>
    </row>
    <row r="559" spans="1:7" ht="12.75">
      <c r="A559" s="103"/>
      <c r="B559" s="99"/>
      <c r="C559" s="99"/>
      <c r="D559" s="115"/>
      <c r="E559" s="715"/>
      <c r="F559" s="715"/>
      <c r="G559" s="489"/>
    </row>
    <row r="560" spans="1:7" ht="13.5" thickBot="1">
      <c r="A560" s="68">
        <v>921</v>
      </c>
      <c r="B560" s="117"/>
      <c r="C560" s="117"/>
      <c r="D560" s="75" t="s">
        <v>164</v>
      </c>
      <c r="E560" s="93">
        <f>E561+E568</f>
        <v>63000</v>
      </c>
      <c r="F560" s="93">
        <f>F561+F568</f>
        <v>0</v>
      </c>
      <c r="G560" s="132">
        <f>G561+G568</f>
        <v>63000</v>
      </c>
    </row>
    <row r="561" spans="1:7" ht="12.75">
      <c r="A561" s="103"/>
      <c r="B561" s="69">
        <v>92105</v>
      </c>
      <c r="C561" s="69"/>
      <c r="D561" s="119" t="s">
        <v>165</v>
      </c>
      <c r="E561" s="714">
        <f>SUM(E562:E566)</f>
        <v>27000</v>
      </c>
      <c r="F561" s="714">
        <f>SUM(F562:F566)</f>
        <v>0</v>
      </c>
      <c r="G561" s="488">
        <f>SUM(G562:G566)</f>
        <v>27000</v>
      </c>
    </row>
    <row r="562" spans="1:8" ht="12.75">
      <c r="A562" s="103"/>
      <c r="B562" s="99"/>
      <c r="C562" s="127" t="s">
        <v>89</v>
      </c>
      <c r="D562" s="115" t="s">
        <v>90</v>
      </c>
      <c r="E562" s="715">
        <v>10000</v>
      </c>
      <c r="F562" s="715"/>
      <c r="G562" s="489">
        <f>E562+F562</f>
        <v>10000</v>
      </c>
      <c r="H562" s="80"/>
    </row>
    <row r="563" spans="1:8" ht="12.75">
      <c r="A563" s="103"/>
      <c r="B563" s="99"/>
      <c r="C563" s="127"/>
      <c r="D563" s="115" t="s">
        <v>91</v>
      </c>
      <c r="E563" s="715"/>
      <c r="F563" s="715"/>
      <c r="G563" s="489"/>
      <c r="H563" s="80"/>
    </row>
    <row r="564" spans="1:7" ht="12.75">
      <c r="A564" s="103"/>
      <c r="B564" s="99"/>
      <c r="C564" s="99">
        <v>3020</v>
      </c>
      <c r="D564" s="115" t="s">
        <v>63</v>
      </c>
      <c r="E564" s="715">
        <v>5000</v>
      </c>
      <c r="F564" s="715"/>
      <c r="G564" s="489">
        <f>E564+F564</f>
        <v>5000</v>
      </c>
    </row>
    <row r="565" spans="1:7" ht="12.75">
      <c r="A565" s="103"/>
      <c r="B565" s="99"/>
      <c r="C565" s="99">
        <v>4210</v>
      </c>
      <c r="D565" s="115" t="s">
        <v>69</v>
      </c>
      <c r="E565" s="715">
        <v>3000</v>
      </c>
      <c r="F565" s="715"/>
      <c r="G565" s="489">
        <f>E565+F565</f>
        <v>3000</v>
      </c>
    </row>
    <row r="566" spans="1:7" ht="12.75">
      <c r="A566" s="103"/>
      <c r="B566" s="99"/>
      <c r="C566" s="99">
        <v>4300</v>
      </c>
      <c r="D566" s="115" t="s">
        <v>58</v>
      </c>
      <c r="E566" s="715">
        <v>9000</v>
      </c>
      <c r="F566" s="715"/>
      <c r="G566" s="489">
        <f>E566+F566</f>
        <v>9000</v>
      </c>
    </row>
    <row r="567" spans="1:7" ht="12.75">
      <c r="A567" s="103"/>
      <c r="B567" s="99"/>
      <c r="C567" s="99"/>
      <c r="D567" s="115"/>
      <c r="E567" s="715"/>
      <c r="F567" s="715"/>
      <c r="G567" s="489"/>
    </row>
    <row r="568" spans="1:7" ht="12.75">
      <c r="A568" s="103"/>
      <c r="B568" s="69">
        <v>92116</v>
      </c>
      <c r="C568" s="69"/>
      <c r="D568" s="119" t="s">
        <v>166</v>
      </c>
      <c r="E568" s="714">
        <f>E569</f>
        <v>36000</v>
      </c>
      <c r="F568" s="714">
        <f>F569</f>
        <v>0</v>
      </c>
      <c r="G568" s="488">
        <f>G569</f>
        <v>36000</v>
      </c>
    </row>
    <row r="569" spans="1:8" ht="12.75">
      <c r="A569" s="103"/>
      <c r="B569" s="99"/>
      <c r="C569" s="99">
        <v>2310</v>
      </c>
      <c r="D569" s="115" t="s">
        <v>134</v>
      </c>
      <c r="E569" s="715">
        <f>35000+1000</f>
        <v>36000</v>
      </c>
      <c r="F569" s="715"/>
      <c r="G569" s="489">
        <f>E569+F569</f>
        <v>36000</v>
      </c>
      <c r="H569" s="80"/>
    </row>
    <row r="570" spans="1:7" ht="12.75">
      <c r="A570" s="103"/>
      <c r="B570" s="99"/>
      <c r="C570" s="99"/>
      <c r="D570" s="115"/>
      <c r="E570" s="715"/>
      <c r="F570" s="715"/>
      <c r="G570" s="489"/>
    </row>
    <row r="571" spans="1:7" ht="13.5" thickBot="1">
      <c r="A571" s="68">
        <v>926</v>
      </c>
      <c r="B571" s="117"/>
      <c r="C571" s="117"/>
      <c r="D571" s="75" t="s">
        <v>167</v>
      </c>
      <c r="E571" s="93">
        <f>E572</f>
        <v>100000</v>
      </c>
      <c r="F571" s="93">
        <f>F572</f>
        <v>0</v>
      </c>
      <c r="G571" s="132">
        <f>G572</f>
        <v>100000</v>
      </c>
    </row>
    <row r="572" spans="1:7" ht="12.75">
      <c r="A572" s="103"/>
      <c r="B572" s="69">
        <v>92605</v>
      </c>
      <c r="C572" s="69"/>
      <c r="D572" s="119" t="s">
        <v>168</v>
      </c>
      <c r="E572" s="714">
        <f>SUM(E573:E577)</f>
        <v>100000</v>
      </c>
      <c r="F572" s="714">
        <f>SUM(F573:F577)</f>
        <v>0</v>
      </c>
      <c r="G572" s="488">
        <f>SUM(G573:G577)</f>
        <v>100000</v>
      </c>
    </row>
    <row r="573" spans="1:8" ht="12.75">
      <c r="A573" s="103"/>
      <c r="B573" s="99"/>
      <c r="C573" s="127" t="s">
        <v>89</v>
      </c>
      <c r="D573" s="115" t="s">
        <v>90</v>
      </c>
      <c r="E573" s="715">
        <v>70000</v>
      </c>
      <c r="F573" s="715"/>
      <c r="G573" s="489">
        <f>E573+F573</f>
        <v>70000</v>
      </c>
      <c r="H573" s="80"/>
    </row>
    <row r="574" spans="1:8" ht="12.75">
      <c r="A574" s="103"/>
      <c r="B574" s="99"/>
      <c r="C574" s="127"/>
      <c r="D574" s="115" t="s">
        <v>437</v>
      </c>
      <c r="E574" s="715"/>
      <c r="F574" s="715"/>
      <c r="G574" s="489"/>
      <c r="H574" s="80"/>
    </row>
    <row r="575" spans="1:7" ht="12.75">
      <c r="A575" s="103"/>
      <c r="B575" s="99"/>
      <c r="C575" s="99">
        <v>3020</v>
      </c>
      <c r="D575" s="115" t="s">
        <v>169</v>
      </c>
      <c r="E575" s="715">
        <v>10000</v>
      </c>
      <c r="F575" s="715"/>
      <c r="G575" s="489">
        <f>E575+F575</f>
        <v>10000</v>
      </c>
    </row>
    <row r="576" spans="1:7" ht="12.75">
      <c r="A576" s="103"/>
      <c r="B576" s="99"/>
      <c r="C576" s="99">
        <v>4210</v>
      </c>
      <c r="D576" s="115" t="s">
        <v>69</v>
      </c>
      <c r="E576" s="715">
        <v>5000</v>
      </c>
      <c r="F576" s="715"/>
      <c r="G576" s="489">
        <f>E576+F576</f>
        <v>5000</v>
      </c>
    </row>
    <row r="577" spans="1:7" ht="12.75">
      <c r="A577" s="103"/>
      <c r="B577" s="99"/>
      <c r="C577" s="99">
        <v>4300</v>
      </c>
      <c r="D577" s="115" t="s">
        <v>58</v>
      </c>
      <c r="E577" s="715">
        <v>15000</v>
      </c>
      <c r="F577" s="715"/>
      <c r="G577" s="489">
        <f>E577+F577</f>
        <v>15000</v>
      </c>
    </row>
    <row r="578" spans="1:7" ht="13.5" thickBot="1">
      <c r="A578" s="103"/>
      <c r="B578" s="99"/>
      <c r="C578" s="99"/>
      <c r="D578" s="115"/>
      <c r="E578" s="715"/>
      <c r="F578" s="715"/>
      <c r="G578" s="718"/>
    </row>
    <row r="579" spans="1:7" ht="17.25" customHeight="1" thickBot="1">
      <c r="A579" s="819" t="s">
        <v>170</v>
      </c>
      <c r="B579" s="820"/>
      <c r="C579" s="820"/>
      <c r="D579" s="820"/>
      <c r="E579" s="448">
        <f>E571+E560+E474+E443+E322+E308+E210+E206+E197+E183+E109+E78+E65+E58+E30+E23+E15</f>
        <v>32957823</v>
      </c>
      <c r="F579" s="448">
        <f>F571+F560+F474+F443+F322+F308+F210+F206+F197+F183+F109+F78+F65+F58+F30+F23+F15</f>
        <v>-245651</v>
      </c>
      <c r="G579" s="683">
        <f>G571+G560+G474+G443+G322+G308+G210+G206+G197+G183+G109+G78+G65+G58+G30+G23+G15</f>
        <v>32712172</v>
      </c>
    </row>
    <row r="580" spans="5:9" s="91" customFormat="1" ht="12.75">
      <c r="E580" s="449"/>
      <c r="G580" s="449"/>
      <c r="H580" s="98"/>
      <c r="I580" s="98"/>
    </row>
    <row r="581" spans="5:11" s="91" customFormat="1" ht="12.75">
      <c r="E581" s="449" t="s">
        <v>171</v>
      </c>
      <c r="G581" s="449"/>
      <c r="H581" s="118"/>
      <c r="I581" s="118"/>
      <c r="J581" s="118"/>
      <c r="K581" s="118"/>
    </row>
    <row r="582" spans="5:11" s="91" customFormat="1" ht="12.75">
      <c r="E582" s="449" t="s">
        <v>7</v>
      </c>
      <c r="G582" s="449"/>
      <c r="H582" s="720"/>
      <c r="I582" s="98"/>
      <c r="J582" s="118"/>
      <c r="K582" s="118"/>
    </row>
    <row r="583" spans="5:11" s="91" customFormat="1" ht="12.75">
      <c r="E583" s="449" t="s">
        <v>172</v>
      </c>
      <c r="G583" s="449"/>
      <c r="H583" s="721"/>
      <c r="I583" s="722"/>
      <c r="J583" s="118"/>
      <c r="K583" s="118"/>
    </row>
    <row r="584" spans="5:10" s="91" customFormat="1" ht="12.75">
      <c r="E584" s="449" t="s">
        <v>173</v>
      </c>
      <c r="G584" s="449"/>
      <c r="H584" s="721"/>
      <c r="I584" s="722"/>
      <c r="J584" s="98"/>
    </row>
    <row r="585" spans="5:10" s="91" customFormat="1" ht="12.75">
      <c r="E585" s="449" t="s">
        <v>174</v>
      </c>
      <c r="G585" s="449"/>
      <c r="H585" s="721"/>
      <c r="I585" s="722"/>
      <c r="J585" s="98"/>
    </row>
    <row r="586" spans="5:10" s="91" customFormat="1" ht="12.75">
      <c r="E586" s="449"/>
      <c r="G586" s="449"/>
      <c r="H586" s="98"/>
      <c r="I586" s="98"/>
      <c r="J586" s="98"/>
    </row>
    <row r="587" spans="5:9" s="91" customFormat="1" ht="12.75">
      <c r="E587" s="449"/>
      <c r="G587" s="449"/>
      <c r="H587" s="98"/>
      <c r="I587" s="98"/>
    </row>
    <row r="588" spans="5:9" s="91" customFormat="1" ht="12.75">
      <c r="E588" s="449"/>
      <c r="G588" s="449"/>
      <c r="H588" s="98"/>
      <c r="I588" s="98"/>
    </row>
    <row r="589" spans="5:9" s="91" customFormat="1" ht="12.75">
      <c r="E589" s="449"/>
      <c r="G589" s="449"/>
      <c r="H589" s="98"/>
      <c r="I589" s="98"/>
    </row>
    <row r="590" spans="5:9" s="91" customFormat="1" ht="12.75">
      <c r="E590" s="449"/>
      <c r="G590" s="449"/>
      <c r="H590" s="98"/>
      <c r="I590" s="98"/>
    </row>
    <row r="591" spans="5:9" s="91" customFormat="1" ht="12.75">
      <c r="E591" s="449"/>
      <c r="G591" s="449"/>
      <c r="H591" s="98"/>
      <c r="I591" s="98"/>
    </row>
    <row r="592" spans="5:9" s="91" customFormat="1" ht="12.75">
      <c r="E592" s="449"/>
      <c r="G592" s="449"/>
      <c r="H592" s="98"/>
      <c r="I592" s="98"/>
    </row>
    <row r="593" spans="5:9" s="91" customFormat="1" ht="12.75">
      <c r="E593" s="449"/>
      <c r="G593" s="449"/>
      <c r="H593" s="98"/>
      <c r="I593" s="98"/>
    </row>
    <row r="594" spans="5:9" s="91" customFormat="1" ht="12.75">
      <c r="E594" s="449"/>
      <c r="G594" s="449"/>
      <c r="H594" s="98"/>
      <c r="I594" s="98"/>
    </row>
    <row r="595" spans="5:9" s="91" customFormat="1" ht="12.75">
      <c r="E595" s="449"/>
      <c r="G595" s="449"/>
      <c r="H595" s="98"/>
      <c r="I595" s="98"/>
    </row>
    <row r="596" spans="5:9" s="91" customFormat="1" ht="12.75">
      <c r="E596" s="449"/>
      <c r="G596" s="449"/>
      <c r="H596" s="98"/>
      <c r="I596" s="98"/>
    </row>
    <row r="597" spans="5:9" s="91" customFormat="1" ht="12.75">
      <c r="E597" s="449"/>
      <c r="G597" s="449"/>
      <c r="H597" s="98"/>
      <c r="I597" s="98"/>
    </row>
    <row r="598" spans="5:9" s="91" customFormat="1" ht="12.75">
      <c r="E598" s="449"/>
      <c r="G598" s="449"/>
      <c r="H598" s="98"/>
      <c r="I598" s="98"/>
    </row>
    <row r="599" spans="5:9" s="91" customFormat="1" ht="12.75">
      <c r="E599" s="449"/>
      <c r="G599" s="449"/>
      <c r="H599" s="98"/>
      <c r="I599" s="98"/>
    </row>
    <row r="600" spans="5:9" s="91" customFormat="1" ht="12.75">
      <c r="E600" s="449"/>
      <c r="G600" s="449"/>
      <c r="H600" s="98"/>
      <c r="I600" s="98"/>
    </row>
    <row r="601" spans="5:9" s="91" customFormat="1" ht="12.75">
      <c r="E601" s="449"/>
      <c r="G601" s="449"/>
      <c r="H601" s="98"/>
      <c r="I601" s="98"/>
    </row>
    <row r="602" spans="5:9" s="91" customFormat="1" ht="12.75">
      <c r="E602" s="449"/>
      <c r="G602" s="449"/>
      <c r="H602" s="98"/>
      <c r="I602" s="98"/>
    </row>
    <row r="603" spans="5:9" s="91" customFormat="1" ht="12.75">
      <c r="E603" s="449"/>
      <c r="G603" s="449"/>
      <c r="H603" s="98"/>
      <c r="I603" s="98"/>
    </row>
    <row r="604" spans="5:9" s="91" customFormat="1" ht="12.75">
      <c r="E604" s="449"/>
      <c r="G604" s="449"/>
      <c r="H604" s="98"/>
      <c r="I604" s="98"/>
    </row>
    <row r="605" spans="5:9" s="91" customFormat="1" ht="12.75">
      <c r="E605" s="449"/>
      <c r="G605" s="449"/>
      <c r="H605" s="98"/>
      <c r="I605" s="98"/>
    </row>
    <row r="606" spans="5:9" s="91" customFormat="1" ht="12.75">
      <c r="E606" s="449"/>
      <c r="G606" s="449"/>
      <c r="H606" s="98"/>
      <c r="I606" s="98"/>
    </row>
    <row r="607" spans="5:9" s="91" customFormat="1" ht="12.75">
      <c r="E607" s="449"/>
      <c r="G607" s="449"/>
      <c r="H607" s="98"/>
      <c r="I607" s="98"/>
    </row>
    <row r="608" spans="5:9" s="91" customFormat="1" ht="12.75">
      <c r="E608" s="449"/>
      <c r="G608" s="449"/>
      <c r="H608" s="98"/>
      <c r="I608" s="98"/>
    </row>
    <row r="609" spans="5:9" s="91" customFormat="1" ht="12.75">
      <c r="E609" s="449"/>
      <c r="G609" s="449"/>
      <c r="H609" s="98"/>
      <c r="I609" s="98"/>
    </row>
    <row r="610" spans="5:9" s="91" customFormat="1" ht="12.75">
      <c r="E610" s="449"/>
      <c r="G610" s="449"/>
      <c r="H610" s="98"/>
      <c r="I610" s="98"/>
    </row>
    <row r="611" spans="5:9" s="91" customFormat="1" ht="12.75">
      <c r="E611" s="449"/>
      <c r="G611" s="449"/>
      <c r="H611" s="98"/>
      <c r="I611" s="98"/>
    </row>
    <row r="612" spans="5:9" s="91" customFormat="1" ht="12.75">
      <c r="E612" s="449"/>
      <c r="G612" s="449"/>
      <c r="H612" s="98"/>
      <c r="I612" s="98"/>
    </row>
    <row r="613" spans="5:9" s="91" customFormat="1" ht="12.75">
      <c r="E613" s="449"/>
      <c r="G613" s="449"/>
      <c r="H613" s="98"/>
      <c r="I613" s="98"/>
    </row>
    <row r="614" spans="5:9" s="91" customFormat="1" ht="12.75">
      <c r="E614" s="449"/>
      <c r="G614" s="449"/>
      <c r="H614" s="98"/>
      <c r="I614" s="98"/>
    </row>
    <row r="615" spans="5:9" s="91" customFormat="1" ht="12.75">
      <c r="E615" s="449"/>
      <c r="G615" s="449"/>
      <c r="H615" s="98"/>
      <c r="I615" s="98"/>
    </row>
    <row r="616" spans="5:9" s="91" customFormat="1" ht="12.75">
      <c r="E616" s="449"/>
      <c r="G616" s="449"/>
      <c r="H616" s="98"/>
      <c r="I616" s="98"/>
    </row>
    <row r="617" spans="5:9" s="91" customFormat="1" ht="12.75">
      <c r="E617" s="449"/>
      <c r="G617" s="449"/>
      <c r="H617" s="98"/>
      <c r="I617" s="98"/>
    </row>
    <row r="618" spans="5:9" s="91" customFormat="1" ht="12.75">
      <c r="E618" s="449"/>
      <c r="G618" s="449"/>
      <c r="H618" s="98"/>
      <c r="I618" s="98"/>
    </row>
    <row r="619" spans="5:9" s="91" customFormat="1" ht="12.75">
      <c r="E619" s="449"/>
      <c r="G619" s="449"/>
      <c r="H619" s="98"/>
      <c r="I619" s="98"/>
    </row>
    <row r="620" spans="5:9" s="91" customFormat="1" ht="12.75">
      <c r="E620" s="449"/>
      <c r="G620" s="449"/>
      <c r="H620" s="98"/>
      <c r="I620" s="98"/>
    </row>
    <row r="621" spans="5:9" s="91" customFormat="1" ht="12.75">
      <c r="E621" s="449"/>
      <c r="G621" s="449"/>
      <c r="H621" s="98"/>
      <c r="I621" s="98"/>
    </row>
    <row r="622" spans="5:9" s="91" customFormat="1" ht="12.75">
      <c r="E622" s="449"/>
      <c r="G622" s="449"/>
      <c r="H622" s="98"/>
      <c r="I622" s="98"/>
    </row>
    <row r="623" spans="5:9" s="91" customFormat="1" ht="12.75">
      <c r="E623" s="449"/>
      <c r="G623" s="449"/>
      <c r="H623" s="98"/>
      <c r="I623" s="98"/>
    </row>
    <row r="624" spans="5:9" s="91" customFormat="1" ht="12.75">
      <c r="E624" s="449"/>
      <c r="G624" s="449"/>
      <c r="H624" s="98"/>
      <c r="I624" s="98"/>
    </row>
    <row r="625" spans="5:9" s="91" customFormat="1" ht="12.75">
      <c r="E625" s="449"/>
      <c r="G625" s="449"/>
      <c r="H625" s="98"/>
      <c r="I625" s="98"/>
    </row>
    <row r="626" spans="5:9" s="91" customFormat="1" ht="12.75">
      <c r="E626" s="449"/>
      <c r="G626" s="449"/>
      <c r="H626" s="98"/>
      <c r="I626" s="98"/>
    </row>
    <row r="627" spans="5:9" s="91" customFormat="1" ht="12.75">
      <c r="E627" s="449"/>
      <c r="G627" s="449"/>
      <c r="H627" s="98"/>
      <c r="I627" s="98"/>
    </row>
    <row r="628" spans="5:9" s="91" customFormat="1" ht="12.75">
      <c r="E628" s="449"/>
      <c r="G628" s="449"/>
      <c r="H628" s="98"/>
      <c r="I628" s="98"/>
    </row>
    <row r="629" spans="5:9" s="91" customFormat="1" ht="12.75">
      <c r="E629" s="449"/>
      <c r="G629" s="449"/>
      <c r="H629" s="98"/>
      <c r="I629" s="98"/>
    </row>
    <row r="630" spans="5:9" s="91" customFormat="1" ht="12.75">
      <c r="E630" s="449"/>
      <c r="G630" s="449"/>
      <c r="H630" s="98"/>
      <c r="I630" s="98"/>
    </row>
    <row r="631" spans="5:9" s="91" customFormat="1" ht="12.75">
      <c r="E631" s="449"/>
      <c r="G631" s="449"/>
      <c r="H631" s="98"/>
      <c r="I631" s="98"/>
    </row>
    <row r="632" spans="5:9" s="91" customFormat="1" ht="12.75">
      <c r="E632" s="449"/>
      <c r="G632" s="449"/>
      <c r="H632" s="98"/>
      <c r="I632" s="98"/>
    </row>
    <row r="633" spans="5:9" s="91" customFormat="1" ht="12.75">
      <c r="E633" s="449"/>
      <c r="G633" s="449"/>
      <c r="H633" s="98"/>
      <c r="I633" s="98"/>
    </row>
    <row r="634" spans="5:9" s="91" customFormat="1" ht="12.75">
      <c r="E634" s="449"/>
      <c r="G634" s="449"/>
      <c r="H634" s="98"/>
      <c r="I634" s="98"/>
    </row>
    <row r="635" spans="5:9" s="91" customFormat="1" ht="12.75">
      <c r="E635" s="449"/>
      <c r="G635" s="449"/>
      <c r="H635" s="98"/>
      <c r="I635" s="98"/>
    </row>
    <row r="636" spans="5:9" s="91" customFormat="1" ht="12.75">
      <c r="E636" s="449"/>
      <c r="G636" s="449"/>
      <c r="H636" s="98"/>
      <c r="I636" s="98"/>
    </row>
    <row r="637" spans="5:9" s="91" customFormat="1" ht="12.75">
      <c r="E637" s="449"/>
      <c r="G637" s="449"/>
      <c r="H637" s="98"/>
      <c r="I637" s="98"/>
    </row>
    <row r="638" spans="5:9" s="91" customFormat="1" ht="12.75">
      <c r="E638" s="449"/>
      <c r="G638" s="449"/>
      <c r="H638" s="98"/>
      <c r="I638" s="98"/>
    </row>
    <row r="639" spans="5:9" s="91" customFormat="1" ht="12.75">
      <c r="E639" s="449"/>
      <c r="G639" s="449"/>
      <c r="H639" s="98"/>
      <c r="I639" s="98"/>
    </row>
    <row r="640" spans="5:9" s="91" customFormat="1" ht="12.75">
      <c r="E640" s="449"/>
      <c r="G640" s="449"/>
      <c r="H640" s="98"/>
      <c r="I640" s="98"/>
    </row>
    <row r="641" spans="5:9" s="91" customFormat="1" ht="12.75">
      <c r="E641" s="449"/>
      <c r="G641" s="449"/>
      <c r="H641" s="98"/>
      <c r="I641" s="98"/>
    </row>
    <row r="642" spans="5:9" s="91" customFormat="1" ht="12.75">
      <c r="E642" s="449"/>
      <c r="G642" s="449"/>
      <c r="H642" s="98"/>
      <c r="I642" s="98"/>
    </row>
    <row r="643" spans="5:9" s="91" customFormat="1" ht="12.75">
      <c r="E643" s="449"/>
      <c r="G643" s="449"/>
      <c r="H643" s="98"/>
      <c r="I643" s="98"/>
    </row>
    <row r="644" spans="5:9" s="91" customFormat="1" ht="12.75">
      <c r="E644" s="449"/>
      <c r="G644" s="449"/>
      <c r="H644" s="98"/>
      <c r="I644" s="98"/>
    </row>
    <row r="645" spans="5:9" s="91" customFormat="1" ht="12.75">
      <c r="E645" s="449"/>
      <c r="G645" s="449"/>
      <c r="H645" s="98"/>
      <c r="I645" s="98"/>
    </row>
    <row r="646" spans="5:9" s="91" customFormat="1" ht="12.75">
      <c r="E646" s="449"/>
      <c r="G646" s="449"/>
      <c r="H646" s="98"/>
      <c r="I646" s="98"/>
    </row>
    <row r="647" spans="5:9" s="91" customFormat="1" ht="12.75">
      <c r="E647" s="449"/>
      <c r="G647" s="449"/>
      <c r="H647" s="98"/>
      <c r="I647" s="98"/>
    </row>
    <row r="648" spans="5:9" s="91" customFormat="1" ht="12.75">
      <c r="E648" s="449"/>
      <c r="G648" s="449"/>
      <c r="H648" s="98"/>
      <c r="I648" s="98"/>
    </row>
    <row r="649" spans="5:9" s="91" customFormat="1" ht="12.75">
      <c r="E649" s="449"/>
      <c r="G649" s="449"/>
      <c r="H649" s="98"/>
      <c r="I649" s="98"/>
    </row>
    <row r="650" spans="5:9" s="91" customFormat="1" ht="12.75">
      <c r="E650" s="449"/>
      <c r="G650" s="449"/>
      <c r="H650" s="98"/>
      <c r="I650" s="98"/>
    </row>
    <row r="651" spans="5:9" s="91" customFormat="1" ht="12.75">
      <c r="E651" s="449"/>
      <c r="G651" s="449"/>
      <c r="H651" s="98"/>
      <c r="I651" s="98"/>
    </row>
    <row r="652" spans="5:9" s="91" customFormat="1" ht="12.75">
      <c r="E652" s="449"/>
      <c r="G652" s="449"/>
      <c r="H652" s="98"/>
      <c r="I652" s="98"/>
    </row>
    <row r="653" spans="5:9" s="91" customFormat="1" ht="12.75">
      <c r="E653" s="449"/>
      <c r="G653" s="449"/>
      <c r="H653" s="98"/>
      <c r="I653" s="98"/>
    </row>
    <row r="654" spans="5:9" s="91" customFormat="1" ht="12.75">
      <c r="E654" s="449"/>
      <c r="G654" s="449"/>
      <c r="H654" s="98"/>
      <c r="I654" s="98"/>
    </row>
    <row r="655" spans="5:9" s="91" customFormat="1" ht="12.75">
      <c r="E655" s="449"/>
      <c r="G655" s="449"/>
      <c r="H655" s="98"/>
      <c r="I655" s="98"/>
    </row>
    <row r="656" spans="5:9" s="91" customFormat="1" ht="12.75">
      <c r="E656" s="449"/>
      <c r="G656" s="449"/>
      <c r="H656" s="98"/>
      <c r="I656" s="98"/>
    </row>
    <row r="657" spans="5:9" s="91" customFormat="1" ht="12.75">
      <c r="E657" s="449"/>
      <c r="G657" s="449"/>
      <c r="H657" s="98"/>
      <c r="I657" s="98"/>
    </row>
    <row r="658" spans="5:9" s="91" customFormat="1" ht="12.75">
      <c r="E658" s="449"/>
      <c r="G658" s="449"/>
      <c r="H658" s="98"/>
      <c r="I658" s="98"/>
    </row>
    <row r="659" spans="5:9" s="91" customFormat="1" ht="12.75">
      <c r="E659" s="449"/>
      <c r="G659" s="449"/>
      <c r="H659" s="98"/>
      <c r="I659" s="98"/>
    </row>
    <row r="660" spans="5:9" s="91" customFormat="1" ht="12.75">
      <c r="E660" s="449"/>
      <c r="G660" s="449"/>
      <c r="H660" s="98"/>
      <c r="I660" s="98"/>
    </row>
    <row r="661" spans="5:9" s="91" customFormat="1" ht="12.75">
      <c r="E661" s="449"/>
      <c r="G661" s="449"/>
      <c r="H661" s="98"/>
      <c r="I661" s="98"/>
    </row>
    <row r="662" spans="5:9" s="91" customFormat="1" ht="12.75">
      <c r="E662" s="449"/>
      <c r="G662" s="449"/>
      <c r="H662" s="98"/>
      <c r="I662" s="98"/>
    </row>
    <row r="663" spans="5:9" s="91" customFormat="1" ht="12.75">
      <c r="E663" s="449"/>
      <c r="G663" s="449"/>
      <c r="H663" s="98"/>
      <c r="I663" s="98"/>
    </row>
    <row r="664" spans="5:9" s="91" customFormat="1" ht="12.75">
      <c r="E664" s="449"/>
      <c r="G664" s="449"/>
      <c r="H664" s="98"/>
      <c r="I664" s="98"/>
    </row>
    <row r="665" spans="5:9" s="91" customFormat="1" ht="12.75">
      <c r="E665" s="449"/>
      <c r="G665" s="449"/>
      <c r="H665" s="98"/>
      <c r="I665" s="98"/>
    </row>
    <row r="666" spans="5:9" s="91" customFormat="1" ht="12.75">
      <c r="E666" s="449"/>
      <c r="G666" s="449"/>
      <c r="H666" s="98"/>
      <c r="I666" s="98"/>
    </row>
    <row r="667" spans="5:9" s="91" customFormat="1" ht="12.75">
      <c r="E667" s="449"/>
      <c r="G667" s="449"/>
      <c r="H667" s="98"/>
      <c r="I667" s="98"/>
    </row>
    <row r="668" spans="5:9" s="91" customFormat="1" ht="12.75">
      <c r="E668" s="449"/>
      <c r="G668" s="449"/>
      <c r="H668" s="98"/>
      <c r="I668" s="98"/>
    </row>
    <row r="669" spans="5:9" s="91" customFormat="1" ht="12.75">
      <c r="E669" s="449"/>
      <c r="G669" s="449"/>
      <c r="H669" s="98"/>
      <c r="I669" s="98"/>
    </row>
    <row r="670" spans="5:9" s="91" customFormat="1" ht="12.75">
      <c r="E670" s="449"/>
      <c r="G670" s="449"/>
      <c r="H670" s="98"/>
      <c r="I670" s="98"/>
    </row>
    <row r="671" spans="5:9" s="91" customFormat="1" ht="12.75">
      <c r="E671" s="449"/>
      <c r="G671" s="449"/>
      <c r="H671" s="98"/>
      <c r="I671" s="98"/>
    </row>
    <row r="672" spans="5:9" s="91" customFormat="1" ht="12.75">
      <c r="E672" s="449"/>
      <c r="G672" s="449"/>
      <c r="H672" s="98"/>
      <c r="I672" s="98"/>
    </row>
    <row r="673" spans="5:9" s="91" customFormat="1" ht="12.75">
      <c r="E673" s="449"/>
      <c r="G673" s="449"/>
      <c r="H673" s="98"/>
      <c r="I673" s="98"/>
    </row>
    <row r="674" spans="5:9" s="91" customFormat="1" ht="12.75">
      <c r="E674" s="449"/>
      <c r="G674" s="449"/>
      <c r="H674" s="98"/>
      <c r="I674" s="98"/>
    </row>
    <row r="675" spans="5:9" s="91" customFormat="1" ht="12.75">
      <c r="E675" s="449"/>
      <c r="G675" s="449"/>
      <c r="H675" s="98"/>
      <c r="I675" s="98"/>
    </row>
    <row r="676" spans="5:9" s="91" customFormat="1" ht="12.75">
      <c r="E676" s="449"/>
      <c r="G676" s="449"/>
      <c r="H676" s="98"/>
      <c r="I676" s="98"/>
    </row>
    <row r="677" spans="5:9" s="91" customFormat="1" ht="12.75">
      <c r="E677" s="449"/>
      <c r="G677" s="449"/>
      <c r="H677" s="98"/>
      <c r="I677" s="98"/>
    </row>
    <row r="678" spans="5:9" s="91" customFormat="1" ht="12.75">
      <c r="E678" s="449"/>
      <c r="G678" s="449"/>
      <c r="H678" s="98"/>
      <c r="I678" s="98"/>
    </row>
    <row r="679" spans="5:9" s="91" customFormat="1" ht="12.75">
      <c r="E679" s="449"/>
      <c r="G679" s="449"/>
      <c r="H679" s="98"/>
      <c r="I679" s="98"/>
    </row>
    <row r="680" spans="5:9" s="91" customFormat="1" ht="12.75">
      <c r="E680" s="449"/>
      <c r="G680" s="449"/>
      <c r="H680" s="98"/>
      <c r="I680" s="98"/>
    </row>
    <row r="681" spans="5:9" s="91" customFormat="1" ht="12.75">
      <c r="E681" s="449"/>
      <c r="G681" s="449"/>
      <c r="H681" s="98"/>
      <c r="I681" s="98"/>
    </row>
    <row r="682" spans="5:9" s="91" customFormat="1" ht="12.75">
      <c r="E682" s="449"/>
      <c r="G682" s="449"/>
      <c r="H682" s="98"/>
      <c r="I682" s="98"/>
    </row>
    <row r="683" spans="5:9" s="91" customFormat="1" ht="12.75">
      <c r="E683" s="449"/>
      <c r="G683" s="449"/>
      <c r="H683" s="98"/>
      <c r="I683" s="98"/>
    </row>
    <row r="684" spans="5:9" s="91" customFormat="1" ht="12.75">
      <c r="E684" s="449"/>
      <c r="G684" s="449"/>
      <c r="H684" s="98"/>
      <c r="I684" s="98"/>
    </row>
    <row r="685" spans="5:9" s="91" customFormat="1" ht="12.75">
      <c r="E685" s="449"/>
      <c r="G685" s="449"/>
      <c r="H685" s="98"/>
      <c r="I685" s="98"/>
    </row>
    <row r="686" spans="5:9" s="91" customFormat="1" ht="12.75">
      <c r="E686" s="449"/>
      <c r="G686" s="449"/>
      <c r="H686" s="98"/>
      <c r="I686" s="98"/>
    </row>
    <row r="687" spans="5:9" s="91" customFormat="1" ht="12.75">
      <c r="E687" s="449"/>
      <c r="G687" s="449"/>
      <c r="H687" s="98"/>
      <c r="I687" s="98"/>
    </row>
    <row r="688" spans="5:9" s="91" customFormat="1" ht="12.75">
      <c r="E688" s="449"/>
      <c r="G688" s="449"/>
      <c r="H688" s="98"/>
      <c r="I688" s="98"/>
    </row>
    <row r="689" spans="5:9" s="91" customFormat="1" ht="12.75">
      <c r="E689" s="449"/>
      <c r="G689" s="449"/>
      <c r="H689" s="98"/>
      <c r="I689" s="98"/>
    </row>
    <row r="690" spans="5:9" s="91" customFormat="1" ht="12.75">
      <c r="E690" s="449"/>
      <c r="G690" s="449"/>
      <c r="H690" s="98"/>
      <c r="I690" s="98"/>
    </row>
    <row r="691" spans="5:9" s="91" customFormat="1" ht="12.75">
      <c r="E691" s="449"/>
      <c r="G691" s="449"/>
      <c r="H691" s="98"/>
      <c r="I691" s="98"/>
    </row>
    <row r="692" spans="5:9" s="91" customFormat="1" ht="12.75">
      <c r="E692" s="449"/>
      <c r="G692" s="449"/>
      <c r="H692" s="98"/>
      <c r="I692" s="98"/>
    </row>
    <row r="693" spans="5:9" s="91" customFormat="1" ht="12.75">
      <c r="E693" s="449"/>
      <c r="G693" s="449"/>
      <c r="H693" s="98"/>
      <c r="I693" s="98"/>
    </row>
    <row r="694" spans="5:9" s="91" customFormat="1" ht="12.75">
      <c r="E694" s="449"/>
      <c r="G694" s="449"/>
      <c r="H694" s="98"/>
      <c r="I694" s="98"/>
    </row>
    <row r="695" spans="5:9" s="91" customFormat="1" ht="12.75">
      <c r="E695" s="449"/>
      <c r="G695" s="449"/>
      <c r="H695" s="98"/>
      <c r="I695" s="98"/>
    </row>
    <row r="696" spans="5:9" s="91" customFormat="1" ht="12.75">
      <c r="E696" s="449"/>
      <c r="G696" s="449"/>
      <c r="H696" s="98"/>
      <c r="I696" s="98"/>
    </row>
    <row r="697" spans="5:9" s="91" customFormat="1" ht="12.75">
      <c r="E697" s="449"/>
      <c r="G697" s="449"/>
      <c r="H697" s="98"/>
      <c r="I697" s="98"/>
    </row>
    <row r="698" spans="5:9" s="91" customFormat="1" ht="12.75">
      <c r="E698" s="449"/>
      <c r="G698" s="449"/>
      <c r="H698" s="98"/>
      <c r="I698" s="98"/>
    </row>
    <row r="699" spans="5:9" s="91" customFormat="1" ht="12.75">
      <c r="E699" s="449"/>
      <c r="G699" s="449"/>
      <c r="H699" s="98"/>
      <c r="I699" s="98"/>
    </row>
    <row r="700" spans="5:9" s="91" customFormat="1" ht="12.75">
      <c r="E700" s="449"/>
      <c r="G700" s="449"/>
      <c r="H700" s="98"/>
      <c r="I700" s="98"/>
    </row>
    <row r="701" spans="5:9" s="91" customFormat="1" ht="12.75">
      <c r="E701" s="449"/>
      <c r="G701" s="449"/>
      <c r="H701" s="98"/>
      <c r="I701" s="98"/>
    </row>
    <row r="702" spans="5:9" s="91" customFormat="1" ht="12.75">
      <c r="E702" s="449"/>
      <c r="G702" s="449"/>
      <c r="H702" s="98"/>
      <c r="I702" s="98"/>
    </row>
    <row r="703" spans="5:9" s="91" customFormat="1" ht="12.75">
      <c r="E703" s="449"/>
      <c r="G703" s="449"/>
      <c r="H703" s="98"/>
      <c r="I703" s="98"/>
    </row>
    <row r="704" spans="5:9" s="91" customFormat="1" ht="12.75">
      <c r="E704" s="449"/>
      <c r="G704" s="449"/>
      <c r="H704" s="98"/>
      <c r="I704" s="98"/>
    </row>
    <row r="705" spans="5:9" s="91" customFormat="1" ht="12.75">
      <c r="E705" s="449"/>
      <c r="G705" s="449"/>
      <c r="H705" s="98"/>
      <c r="I705" s="98"/>
    </row>
    <row r="706" spans="5:9" s="91" customFormat="1" ht="12.75">
      <c r="E706" s="449"/>
      <c r="G706" s="449"/>
      <c r="H706" s="98"/>
      <c r="I706" s="98"/>
    </row>
    <row r="707" spans="5:9" s="91" customFormat="1" ht="12.75">
      <c r="E707" s="449"/>
      <c r="G707" s="449"/>
      <c r="H707" s="98"/>
      <c r="I707" s="98"/>
    </row>
    <row r="708" spans="5:9" s="91" customFormat="1" ht="12.75">
      <c r="E708" s="449"/>
      <c r="G708" s="449"/>
      <c r="H708" s="98"/>
      <c r="I708" s="98"/>
    </row>
    <row r="709" spans="5:9" s="91" customFormat="1" ht="12.75">
      <c r="E709" s="449"/>
      <c r="G709" s="449"/>
      <c r="H709" s="98"/>
      <c r="I709" s="98"/>
    </row>
    <row r="710" spans="5:9" s="91" customFormat="1" ht="12.75">
      <c r="E710" s="449"/>
      <c r="G710" s="449"/>
      <c r="H710" s="98"/>
      <c r="I710" s="98"/>
    </row>
    <row r="711" spans="5:9" s="91" customFormat="1" ht="12.75">
      <c r="E711" s="449"/>
      <c r="G711" s="449"/>
      <c r="H711" s="98"/>
      <c r="I711" s="98"/>
    </row>
    <row r="712" spans="5:9" s="91" customFormat="1" ht="12.75">
      <c r="E712" s="449"/>
      <c r="G712" s="449"/>
      <c r="H712" s="98"/>
      <c r="I712" s="98"/>
    </row>
    <row r="713" spans="5:9" s="91" customFormat="1" ht="12.75">
      <c r="E713" s="449"/>
      <c r="G713" s="449"/>
      <c r="H713" s="98"/>
      <c r="I713" s="98"/>
    </row>
    <row r="714" spans="5:9" s="91" customFormat="1" ht="12.75">
      <c r="E714" s="449"/>
      <c r="G714" s="449"/>
      <c r="H714" s="98"/>
      <c r="I714" s="98"/>
    </row>
    <row r="715" spans="5:9" s="91" customFormat="1" ht="12.75">
      <c r="E715" s="449"/>
      <c r="G715" s="449"/>
      <c r="H715" s="98"/>
      <c r="I715" s="98"/>
    </row>
    <row r="716" spans="5:9" s="91" customFormat="1" ht="12.75">
      <c r="E716" s="449"/>
      <c r="G716" s="449"/>
      <c r="H716" s="98"/>
      <c r="I716" s="98"/>
    </row>
    <row r="717" spans="5:9" s="91" customFormat="1" ht="12.75">
      <c r="E717" s="449"/>
      <c r="G717" s="449"/>
      <c r="H717" s="98"/>
      <c r="I717" s="98"/>
    </row>
    <row r="718" spans="5:9" s="91" customFormat="1" ht="12.75">
      <c r="E718" s="449"/>
      <c r="G718" s="449"/>
      <c r="H718" s="98"/>
      <c r="I718" s="98"/>
    </row>
    <row r="719" spans="5:9" s="91" customFormat="1" ht="12.75">
      <c r="E719" s="449"/>
      <c r="G719" s="449"/>
      <c r="H719" s="98"/>
      <c r="I719" s="98"/>
    </row>
    <row r="720" spans="5:9" s="91" customFormat="1" ht="12.75">
      <c r="E720" s="449"/>
      <c r="G720" s="449"/>
      <c r="H720" s="98"/>
      <c r="I720" s="98"/>
    </row>
    <row r="721" spans="5:9" s="91" customFormat="1" ht="12.75">
      <c r="E721" s="449"/>
      <c r="G721" s="449"/>
      <c r="H721" s="98"/>
      <c r="I721" s="98"/>
    </row>
    <row r="722" spans="5:9" s="91" customFormat="1" ht="12.75">
      <c r="E722" s="449"/>
      <c r="G722" s="449"/>
      <c r="H722" s="98"/>
      <c r="I722" s="98"/>
    </row>
    <row r="723" spans="5:9" s="91" customFormat="1" ht="12.75">
      <c r="E723" s="449"/>
      <c r="G723" s="449"/>
      <c r="H723" s="98"/>
      <c r="I723" s="98"/>
    </row>
    <row r="724" spans="5:9" s="91" customFormat="1" ht="12.75">
      <c r="E724" s="449"/>
      <c r="G724" s="449"/>
      <c r="H724" s="98"/>
      <c r="I724" s="98"/>
    </row>
    <row r="725" spans="5:9" s="91" customFormat="1" ht="12.75">
      <c r="E725" s="449"/>
      <c r="G725" s="449"/>
      <c r="H725" s="98"/>
      <c r="I725" s="98"/>
    </row>
    <row r="726" spans="5:9" s="91" customFormat="1" ht="12.75">
      <c r="E726" s="449"/>
      <c r="G726" s="449"/>
      <c r="H726" s="98"/>
      <c r="I726" s="98"/>
    </row>
    <row r="727" spans="5:9" s="91" customFormat="1" ht="12.75">
      <c r="E727" s="449"/>
      <c r="G727" s="449"/>
      <c r="H727" s="98"/>
      <c r="I727" s="98"/>
    </row>
    <row r="728" spans="5:9" s="91" customFormat="1" ht="12.75">
      <c r="E728" s="449"/>
      <c r="G728" s="449"/>
      <c r="H728" s="98"/>
      <c r="I728" s="98"/>
    </row>
    <row r="729" spans="5:9" s="91" customFormat="1" ht="12.75">
      <c r="E729" s="449"/>
      <c r="G729" s="449"/>
      <c r="H729" s="98"/>
      <c r="I729" s="98"/>
    </row>
    <row r="730" spans="5:9" s="91" customFormat="1" ht="12.75">
      <c r="E730" s="449"/>
      <c r="G730" s="449"/>
      <c r="H730" s="98"/>
      <c r="I730" s="98"/>
    </row>
    <row r="731" spans="5:9" s="91" customFormat="1" ht="12.75">
      <c r="E731" s="449"/>
      <c r="G731" s="449"/>
      <c r="H731" s="98"/>
      <c r="I731" s="98"/>
    </row>
    <row r="732" spans="5:9" s="91" customFormat="1" ht="12.75">
      <c r="E732" s="449"/>
      <c r="G732" s="449"/>
      <c r="H732" s="98"/>
      <c r="I732" s="98"/>
    </row>
    <row r="733" spans="5:9" s="91" customFormat="1" ht="12.75">
      <c r="E733" s="449"/>
      <c r="G733" s="449"/>
      <c r="H733" s="98"/>
      <c r="I733" s="98"/>
    </row>
    <row r="734" spans="5:9" s="91" customFormat="1" ht="12.75">
      <c r="E734" s="449"/>
      <c r="G734" s="449"/>
      <c r="H734" s="98"/>
      <c r="I734" s="98"/>
    </row>
    <row r="735" spans="5:9" s="91" customFormat="1" ht="12.75">
      <c r="E735" s="449"/>
      <c r="G735" s="449"/>
      <c r="H735" s="98"/>
      <c r="I735" s="98"/>
    </row>
    <row r="736" spans="5:9" s="91" customFormat="1" ht="12.75">
      <c r="E736" s="449"/>
      <c r="G736" s="449"/>
      <c r="H736" s="98"/>
      <c r="I736" s="98"/>
    </row>
    <row r="737" spans="5:9" s="91" customFormat="1" ht="12.75">
      <c r="E737" s="449"/>
      <c r="G737" s="449"/>
      <c r="H737" s="98"/>
      <c r="I737" s="98"/>
    </row>
    <row r="738" spans="5:9" s="91" customFormat="1" ht="12.75">
      <c r="E738" s="449"/>
      <c r="G738" s="449"/>
      <c r="H738" s="98"/>
      <c r="I738" s="98"/>
    </row>
    <row r="739" spans="5:9" s="91" customFormat="1" ht="12.75">
      <c r="E739" s="449"/>
      <c r="G739" s="449"/>
      <c r="H739" s="98"/>
      <c r="I739" s="98"/>
    </row>
    <row r="740" spans="5:9" s="91" customFormat="1" ht="12.75">
      <c r="E740" s="449"/>
      <c r="G740" s="449"/>
      <c r="H740" s="98"/>
      <c r="I740" s="98"/>
    </row>
    <row r="741" spans="5:9" s="91" customFormat="1" ht="12.75">
      <c r="E741" s="449"/>
      <c r="G741" s="449"/>
      <c r="H741" s="98"/>
      <c r="I741" s="98"/>
    </row>
    <row r="742" spans="5:9" s="91" customFormat="1" ht="12.75">
      <c r="E742" s="449"/>
      <c r="G742" s="449"/>
      <c r="H742" s="98"/>
      <c r="I742" s="98"/>
    </row>
    <row r="743" spans="5:9" s="91" customFormat="1" ht="12.75">
      <c r="E743" s="449"/>
      <c r="G743" s="449"/>
      <c r="H743" s="98"/>
      <c r="I743" s="98"/>
    </row>
    <row r="744" spans="5:9" s="91" customFormat="1" ht="12.75">
      <c r="E744" s="449"/>
      <c r="G744" s="449"/>
      <c r="H744" s="98"/>
      <c r="I744" s="98"/>
    </row>
    <row r="745" spans="5:9" s="91" customFormat="1" ht="12.75">
      <c r="E745" s="449"/>
      <c r="G745" s="449"/>
      <c r="H745" s="98"/>
      <c r="I745" s="98"/>
    </row>
    <row r="746" spans="5:9" s="91" customFormat="1" ht="12.75">
      <c r="E746" s="449"/>
      <c r="G746" s="449"/>
      <c r="H746" s="98"/>
      <c r="I746" s="98"/>
    </row>
    <row r="747" spans="5:9" s="91" customFormat="1" ht="12.75">
      <c r="E747" s="449"/>
      <c r="G747" s="449"/>
      <c r="H747" s="98"/>
      <c r="I747" s="98"/>
    </row>
    <row r="748" spans="5:9" s="91" customFormat="1" ht="12.75">
      <c r="E748" s="449"/>
      <c r="G748" s="449"/>
      <c r="H748" s="98"/>
      <c r="I748" s="98"/>
    </row>
    <row r="749" spans="5:9" s="91" customFormat="1" ht="12.75">
      <c r="E749" s="449"/>
      <c r="G749" s="449"/>
      <c r="H749" s="98"/>
      <c r="I749" s="98"/>
    </row>
    <row r="750" spans="5:9" s="91" customFormat="1" ht="12.75">
      <c r="E750" s="449"/>
      <c r="G750" s="449"/>
      <c r="H750" s="98"/>
      <c r="I750" s="98"/>
    </row>
    <row r="751" spans="5:9" s="91" customFormat="1" ht="12.75">
      <c r="E751" s="449"/>
      <c r="G751" s="449"/>
      <c r="H751" s="98"/>
      <c r="I751" s="98"/>
    </row>
    <row r="752" spans="5:9" s="91" customFormat="1" ht="12.75">
      <c r="E752" s="449"/>
      <c r="G752" s="449"/>
      <c r="H752" s="98"/>
      <c r="I752" s="98"/>
    </row>
    <row r="753" spans="5:9" s="91" customFormat="1" ht="12.75">
      <c r="E753" s="449"/>
      <c r="G753" s="449"/>
      <c r="H753" s="98"/>
      <c r="I753" s="98"/>
    </row>
    <row r="754" spans="5:9" s="91" customFormat="1" ht="12.75">
      <c r="E754" s="449"/>
      <c r="G754" s="449"/>
      <c r="H754" s="98"/>
      <c r="I754" s="98"/>
    </row>
    <row r="755" spans="5:9" s="91" customFormat="1" ht="12.75">
      <c r="E755" s="449"/>
      <c r="G755" s="449"/>
      <c r="H755" s="98"/>
      <c r="I755" s="98"/>
    </row>
    <row r="756" spans="5:9" s="91" customFormat="1" ht="12.75">
      <c r="E756" s="449"/>
      <c r="G756" s="449"/>
      <c r="H756" s="98"/>
      <c r="I756" s="98"/>
    </row>
    <row r="757" spans="5:9" s="91" customFormat="1" ht="12.75">
      <c r="E757" s="449"/>
      <c r="G757" s="449"/>
      <c r="H757" s="98"/>
      <c r="I757" s="98"/>
    </row>
    <row r="758" spans="5:9" s="91" customFormat="1" ht="12.75">
      <c r="E758" s="449"/>
      <c r="G758" s="449"/>
      <c r="H758" s="98"/>
      <c r="I758" s="98"/>
    </row>
    <row r="759" spans="5:9" s="91" customFormat="1" ht="12.75">
      <c r="E759" s="449"/>
      <c r="G759" s="449"/>
      <c r="H759" s="98"/>
      <c r="I759" s="98"/>
    </row>
    <row r="760" spans="5:9" s="91" customFormat="1" ht="12.75">
      <c r="E760" s="449"/>
      <c r="G760" s="449"/>
      <c r="H760" s="98"/>
      <c r="I760" s="98"/>
    </row>
    <row r="761" spans="5:9" s="91" customFormat="1" ht="12.75">
      <c r="E761" s="449"/>
      <c r="G761" s="449"/>
      <c r="H761" s="98"/>
      <c r="I761" s="98"/>
    </row>
    <row r="762" spans="5:9" s="91" customFormat="1" ht="12.75">
      <c r="E762" s="449"/>
      <c r="G762" s="449"/>
      <c r="H762" s="98"/>
      <c r="I762" s="98"/>
    </row>
    <row r="763" spans="5:9" s="91" customFormat="1" ht="12.75">
      <c r="E763" s="449"/>
      <c r="G763" s="449"/>
      <c r="H763" s="98"/>
      <c r="I763" s="98"/>
    </row>
    <row r="764" spans="5:9" s="91" customFormat="1" ht="12.75">
      <c r="E764" s="449"/>
      <c r="G764" s="449"/>
      <c r="H764" s="98"/>
      <c r="I764" s="98"/>
    </row>
    <row r="765" spans="5:9" s="91" customFormat="1" ht="12.75">
      <c r="E765" s="449"/>
      <c r="G765" s="449"/>
      <c r="H765" s="98"/>
      <c r="I765" s="98"/>
    </row>
    <row r="766" spans="5:9" s="91" customFormat="1" ht="12.75">
      <c r="E766" s="449"/>
      <c r="G766" s="449"/>
      <c r="H766" s="98"/>
      <c r="I766" s="98"/>
    </row>
    <row r="767" spans="5:9" s="91" customFormat="1" ht="12.75">
      <c r="E767" s="449"/>
      <c r="G767" s="449"/>
      <c r="H767" s="98"/>
      <c r="I767" s="98"/>
    </row>
    <row r="768" spans="5:9" s="91" customFormat="1" ht="12.75">
      <c r="E768" s="449"/>
      <c r="G768" s="449"/>
      <c r="H768" s="98"/>
      <c r="I768" s="98"/>
    </row>
    <row r="769" spans="5:9" s="91" customFormat="1" ht="12.75">
      <c r="E769" s="449"/>
      <c r="G769" s="449"/>
      <c r="H769" s="98"/>
      <c r="I769" s="98"/>
    </row>
    <row r="770" spans="5:9" s="91" customFormat="1" ht="12.75">
      <c r="E770" s="449"/>
      <c r="G770" s="449"/>
      <c r="H770" s="98"/>
      <c r="I770" s="98"/>
    </row>
    <row r="771" spans="5:9" s="91" customFormat="1" ht="12.75">
      <c r="E771" s="449"/>
      <c r="G771" s="449"/>
      <c r="H771" s="98"/>
      <c r="I771" s="98"/>
    </row>
    <row r="772" spans="5:9" s="91" customFormat="1" ht="12.75">
      <c r="E772" s="449"/>
      <c r="G772" s="449"/>
      <c r="H772" s="98"/>
      <c r="I772" s="98"/>
    </row>
    <row r="773" spans="5:9" s="91" customFormat="1" ht="12.75">
      <c r="E773" s="449"/>
      <c r="G773" s="449"/>
      <c r="H773" s="98"/>
      <c r="I773" s="98"/>
    </row>
    <row r="774" spans="5:9" s="91" customFormat="1" ht="12.75">
      <c r="E774" s="449"/>
      <c r="G774" s="449"/>
      <c r="H774" s="98"/>
      <c r="I774" s="98"/>
    </row>
    <row r="775" spans="5:9" s="91" customFormat="1" ht="12.75">
      <c r="E775" s="449"/>
      <c r="G775" s="449"/>
      <c r="H775" s="98"/>
      <c r="I775" s="98"/>
    </row>
    <row r="776" spans="5:9" s="91" customFormat="1" ht="12.75">
      <c r="E776" s="449"/>
      <c r="G776" s="449"/>
      <c r="H776" s="98"/>
      <c r="I776" s="98"/>
    </row>
    <row r="777" spans="5:9" s="91" customFormat="1" ht="12.75">
      <c r="E777" s="449"/>
      <c r="G777" s="449"/>
      <c r="H777" s="98"/>
      <c r="I777" s="98"/>
    </row>
    <row r="778" spans="5:9" s="91" customFormat="1" ht="12.75">
      <c r="E778" s="449"/>
      <c r="G778" s="449"/>
      <c r="H778" s="98"/>
      <c r="I778" s="98"/>
    </row>
    <row r="779" spans="5:9" s="91" customFormat="1" ht="12.75">
      <c r="E779" s="449"/>
      <c r="G779" s="449"/>
      <c r="H779" s="98"/>
      <c r="I779" s="98"/>
    </row>
    <row r="780" spans="5:9" s="91" customFormat="1" ht="12.75">
      <c r="E780" s="449"/>
      <c r="G780" s="449"/>
      <c r="H780" s="98"/>
      <c r="I780" s="98"/>
    </row>
    <row r="781" spans="5:9" s="91" customFormat="1" ht="12.75">
      <c r="E781" s="449"/>
      <c r="G781" s="449"/>
      <c r="H781" s="98"/>
      <c r="I781" s="98"/>
    </row>
    <row r="782" spans="5:9" s="91" customFormat="1" ht="12.75">
      <c r="E782" s="449"/>
      <c r="G782" s="449"/>
      <c r="H782" s="98"/>
      <c r="I782" s="98"/>
    </row>
    <row r="783" spans="5:9" s="91" customFormat="1" ht="12.75">
      <c r="E783" s="449"/>
      <c r="G783" s="449"/>
      <c r="H783" s="98"/>
      <c r="I783" s="98"/>
    </row>
    <row r="784" spans="5:9" s="91" customFormat="1" ht="12.75">
      <c r="E784" s="449"/>
      <c r="G784" s="449"/>
      <c r="H784" s="98"/>
      <c r="I784" s="98"/>
    </row>
    <row r="785" spans="5:9" s="91" customFormat="1" ht="12.75">
      <c r="E785" s="449"/>
      <c r="G785" s="449"/>
      <c r="H785" s="98"/>
      <c r="I785" s="98"/>
    </row>
    <row r="786" spans="5:9" s="91" customFormat="1" ht="12.75">
      <c r="E786" s="449"/>
      <c r="G786" s="449"/>
      <c r="H786" s="98"/>
      <c r="I786" s="98"/>
    </row>
    <row r="787" spans="5:9" s="91" customFormat="1" ht="12.75">
      <c r="E787" s="449"/>
      <c r="G787" s="449"/>
      <c r="H787" s="98"/>
      <c r="I787" s="98"/>
    </row>
    <row r="788" spans="5:9" s="91" customFormat="1" ht="12.75">
      <c r="E788" s="449"/>
      <c r="G788" s="449"/>
      <c r="H788" s="98"/>
      <c r="I788" s="98"/>
    </row>
    <row r="789" spans="5:9" s="91" customFormat="1" ht="12.75">
      <c r="E789" s="449"/>
      <c r="G789" s="449"/>
      <c r="H789" s="98"/>
      <c r="I789" s="98"/>
    </row>
    <row r="790" spans="5:9" s="91" customFormat="1" ht="12.75">
      <c r="E790" s="449"/>
      <c r="G790" s="449"/>
      <c r="H790" s="98"/>
      <c r="I790" s="98"/>
    </row>
    <row r="791" spans="5:9" s="91" customFormat="1" ht="12.75">
      <c r="E791" s="449"/>
      <c r="G791" s="449"/>
      <c r="H791" s="98"/>
      <c r="I791" s="98"/>
    </row>
    <row r="792" spans="5:9" s="91" customFormat="1" ht="12.75">
      <c r="E792" s="449"/>
      <c r="G792" s="449"/>
      <c r="H792" s="98"/>
      <c r="I792" s="98"/>
    </row>
    <row r="793" spans="5:9" s="91" customFormat="1" ht="12.75">
      <c r="E793" s="449"/>
      <c r="G793" s="449"/>
      <c r="H793" s="98"/>
      <c r="I793" s="98"/>
    </row>
    <row r="794" spans="5:9" s="91" customFormat="1" ht="12.75">
      <c r="E794" s="449"/>
      <c r="G794" s="449"/>
      <c r="H794" s="98"/>
      <c r="I794" s="98"/>
    </row>
    <row r="795" spans="5:9" s="91" customFormat="1" ht="12.75">
      <c r="E795" s="449"/>
      <c r="G795" s="449"/>
      <c r="H795" s="98"/>
      <c r="I795" s="98"/>
    </row>
    <row r="796" spans="5:9" s="91" customFormat="1" ht="12.75">
      <c r="E796" s="449"/>
      <c r="G796" s="449"/>
      <c r="H796" s="98"/>
      <c r="I796" s="98"/>
    </row>
    <row r="797" spans="5:9" s="91" customFormat="1" ht="12.75">
      <c r="E797" s="449"/>
      <c r="G797" s="449"/>
      <c r="H797" s="98"/>
      <c r="I797" s="98"/>
    </row>
    <row r="798" spans="5:9" s="91" customFormat="1" ht="12.75">
      <c r="E798" s="449"/>
      <c r="G798" s="449"/>
      <c r="H798" s="98"/>
      <c r="I798" s="98"/>
    </row>
    <row r="799" spans="5:9" s="91" customFormat="1" ht="12.75">
      <c r="E799" s="449"/>
      <c r="G799" s="449"/>
      <c r="H799" s="98"/>
      <c r="I799" s="98"/>
    </row>
    <row r="800" spans="5:9" s="91" customFormat="1" ht="12.75">
      <c r="E800" s="449"/>
      <c r="G800" s="449"/>
      <c r="H800" s="98"/>
      <c r="I800" s="98"/>
    </row>
    <row r="801" spans="5:9" s="91" customFormat="1" ht="12.75">
      <c r="E801" s="449"/>
      <c r="G801" s="449"/>
      <c r="H801" s="98"/>
      <c r="I801" s="98"/>
    </row>
    <row r="802" spans="5:9" s="91" customFormat="1" ht="12.75">
      <c r="E802" s="449"/>
      <c r="G802" s="449"/>
      <c r="H802" s="98"/>
      <c r="I802" s="98"/>
    </row>
    <row r="803" spans="5:9" s="91" customFormat="1" ht="12.75">
      <c r="E803" s="449"/>
      <c r="G803" s="449"/>
      <c r="H803" s="98"/>
      <c r="I803" s="98"/>
    </row>
    <row r="804" spans="5:9" s="91" customFormat="1" ht="12.75">
      <c r="E804" s="449"/>
      <c r="G804" s="449"/>
      <c r="H804" s="98"/>
      <c r="I804" s="98"/>
    </row>
    <row r="805" spans="5:9" s="91" customFormat="1" ht="12.75">
      <c r="E805" s="449"/>
      <c r="G805" s="449"/>
      <c r="H805" s="98"/>
      <c r="I805" s="98"/>
    </row>
    <row r="806" spans="5:9" s="91" customFormat="1" ht="12.75">
      <c r="E806" s="449"/>
      <c r="G806" s="449"/>
      <c r="H806" s="98"/>
      <c r="I806" s="98"/>
    </row>
    <row r="807" spans="5:9" s="91" customFormat="1" ht="12.75">
      <c r="E807" s="449"/>
      <c r="G807" s="449"/>
      <c r="H807" s="98"/>
      <c r="I807" s="98"/>
    </row>
    <row r="808" spans="5:9" s="91" customFormat="1" ht="12.75">
      <c r="E808" s="449"/>
      <c r="G808" s="449"/>
      <c r="H808" s="98"/>
      <c r="I808" s="98"/>
    </row>
    <row r="809" spans="5:9" s="91" customFormat="1" ht="12.75">
      <c r="E809" s="449"/>
      <c r="G809" s="449"/>
      <c r="H809" s="98"/>
      <c r="I809" s="98"/>
    </row>
    <row r="810" spans="5:9" s="91" customFormat="1" ht="12.75">
      <c r="E810" s="449"/>
      <c r="G810" s="449"/>
      <c r="H810" s="98"/>
      <c r="I810" s="98"/>
    </row>
    <row r="811" spans="5:9" s="91" customFormat="1" ht="12.75">
      <c r="E811" s="449"/>
      <c r="G811" s="449"/>
      <c r="H811" s="98"/>
      <c r="I811" s="98"/>
    </row>
    <row r="812" spans="5:9" s="91" customFormat="1" ht="12.75">
      <c r="E812" s="449"/>
      <c r="G812" s="449"/>
      <c r="H812" s="98"/>
      <c r="I812" s="98"/>
    </row>
    <row r="813" spans="5:9" s="91" customFormat="1" ht="12.75">
      <c r="E813" s="449"/>
      <c r="G813" s="449"/>
      <c r="H813" s="98"/>
      <c r="I813" s="98"/>
    </row>
    <row r="814" spans="5:9" s="91" customFormat="1" ht="12.75">
      <c r="E814" s="449"/>
      <c r="G814" s="449"/>
      <c r="H814" s="98"/>
      <c r="I814" s="98"/>
    </row>
    <row r="815" spans="5:9" s="91" customFormat="1" ht="12.75">
      <c r="E815" s="449"/>
      <c r="G815" s="449"/>
      <c r="H815" s="98"/>
      <c r="I815" s="98"/>
    </row>
    <row r="816" spans="5:9" s="91" customFormat="1" ht="12.75">
      <c r="E816" s="449"/>
      <c r="G816" s="449"/>
      <c r="H816" s="98"/>
      <c r="I816" s="98"/>
    </row>
    <row r="817" spans="5:9" s="91" customFormat="1" ht="12.75">
      <c r="E817" s="449"/>
      <c r="G817" s="449"/>
      <c r="H817" s="98"/>
      <c r="I817" s="98"/>
    </row>
    <row r="818" spans="5:9" s="91" customFormat="1" ht="12.75">
      <c r="E818" s="449"/>
      <c r="G818" s="449"/>
      <c r="H818" s="98"/>
      <c r="I818" s="98"/>
    </row>
    <row r="819" spans="5:9" s="91" customFormat="1" ht="12.75">
      <c r="E819" s="449"/>
      <c r="G819" s="449"/>
      <c r="H819" s="98"/>
      <c r="I819" s="98"/>
    </row>
    <row r="820" spans="5:9" s="91" customFormat="1" ht="12.75">
      <c r="E820" s="449"/>
      <c r="G820" s="449"/>
      <c r="H820" s="98"/>
      <c r="I820" s="98"/>
    </row>
    <row r="821" spans="5:9" s="91" customFormat="1" ht="12.75">
      <c r="E821" s="449"/>
      <c r="G821" s="449"/>
      <c r="H821" s="98"/>
      <c r="I821" s="98"/>
    </row>
    <row r="822" spans="5:9" s="91" customFormat="1" ht="12.75">
      <c r="E822" s="449"/>
      <c r="G822" s="449"/>
      <c r="H822" s="98"/>
      <c r="I822" s="98"/>
    </row>
    <row r="823" spans="5:9" s="91" customFormat="1" ht="12.75">
      <c r="E823" s="449"/>
      <c r="G823" s="449"/>
      <c r="H823" s="98"/>
      <c r="I823" s="98"/>
    </row>
    <row r="824" spans="5:9" s="91" customFormat="1" ht="12.75">
      <c r="E824" s="449"/>
      <c r="G824" s="449"/>
      <c r="H824" s="98"/>
      <c r="I824" s="98"/>
    </row>
    <row r="825" spans="5:9" s="91" customFormat="1" ht="12.75">
      <c r="E825" s="449"/>
      <c r="G825" s="449"/>
      <c r="H825" s="98"/>
      <c r="I825" s="98"/>
    </row>
    <row r="826" spans="5:9" s="91" customFormat="1" ht="12.75">
      <c r="E826" s="449"/>
      <c r="G826" s="449"/>
      <c r="H826" s="98"/>
      <c r="I826" s="98"/>
    </row>
    <row r="827" spans="5:9" s="91" customFormat="1" ht="12.75">
      <c r="E827" s="449"/>
      <c r="G827" s="449"/>
      <c r="H827" s="98"/>
      <c r="I827" s="98"/>
    </row>
    <row r="828" spans="5:9" s="91" customFormat="1" ht="12.75">
      <c r="E828" s="449"/>
      <c r="G828" s="449"/>
      <c r="H828" s="98"/>
      <c r="I828" s="98"/>
    </row>
    <row r="829" spans="5:9" s="91" customFormat="1" ht="12.75">
      <c r="E829" s="449"/>
      <c r="G829" s="449"/>
      <c r="H829" s="98"/>
      <c r="I829" s="98"/>
    </row>
    <row r="830" spans="5:9" s="91" customFormat="1" ht="12.75">
      <c r="E830" s="449"/>
      <c r="G830" s="449"/>
      <c r="H830" s="98"/>
      <c r="I830" s="98"/>
    </row>
    <row r="831" spans="5:9" s="91" customFormat="1" ht="12.75">
      <c r="E831" s="449"/>
      <c r="G831" s="449"/>
      <c r="H831" s="98"/>
      <c r="I831" s="98"/>
    </row>
    <row r="832" spans="5:9" s="91" customFormat="1" ht="12.75">
      <c r="E832" s="449"/>
      <c r="G832" s="449"/>
      <c r="H832" s="98"/>
      <c r="I832" s="98"/>
    </row>
    <row r="833" spans="5:9" s="91" customFormat="1" ht="12.75">
      <c r="E833" s="449"/>
      <c r="G833" s="449"/>
      <c r="H833" s="98"/>
      <c r="I833" s="98"/>
    </row>
    <row r="834" spans="5:9" s="91" customFormat="1" ht="12.75">
      <c r="E834" s="449"/>
      <c r="G834" s="449"/>
      <c r="H834" s="98"/>
      <c r="I834" s="98"/>
    </row>
    <row r="835" spans="5:9" s="91" customFormat="1" ht="12.75">
      <c r="E835" s="449"/>
      <c r="G835" s="449"/>
      <c r="H835" s="98"/>
      <c r="I835" s="98"/>
    </row>
    <row r="836" spans="5:9" s="91" customFormat="1" ht="12.75">
      <c r="E836" s="449"/>
      <c r="G836" s="449"/>
      <c r="H836" s="98"/>
      <c r="I836" s="98"/>
    </row>
    <row r="837" spans="5:9" s="91" customFormat="1" ht="12.75">
      <c r="E837" s="449"/>
      <c r="G837" s="449"/>
      <c r="H837" s="98"/>
      <c r="I837" s="98"/>
    </row>
    <row r="838" spans="5:9" s="91" customFormat="1" ht="12.75">
      <c r="E838" s="449"/>
      <c r="G838" s="449"/>
      <c r="H838" s="98"/>
      <c r="I838" s="98"/>
    </row>
    <row r="839" spans="5:9" s="91" customFormat="1" ht="12.75">
      <c r="E839" s="449"/>
      <c r="G839" s="449"/>
      <c r="H839" s="98"/>
      <c r="I839" s="98"/>
    </row>
    <row r="840" spans="5:9" s="91" customFormat="1" ht="12.75">
      <c r="E840" s="449"/>
      <c r="G840" s="449"/>
      <c r="H840" s="98"/>
      <c r="I840" s="98"/>
    </row>
    <row r="841" spans="5:9" s="91" customFormat="1" ht="12.75">
      <c r="E841" s="449"/>
      <c r="G841" s="449"/>
      <c r="H841" s="98"/>
      <c r="I841" s="98"/>
    </row>
    <row r="842" spans="5:9" s="91" customFormat="1" ht="12.75">
      <c r="E842" s="449"/>
      <c r="G842" s="449"/>
      <c r="H842" s="98"/>
      <c r="I842" s="98"/>
    </row>
    <row r="843" spans="5:9" s="91" customFormat="1" ht="12.75">
      <c r="E843" s="449"/>
      <c r="G843" s="449"/>
      <c r="H843" s="98"/>
      <c r="I843" s="98"/>
    </row>
    <row r="844" spans="5:9" s="91" customFormat="1" ht="12.75">
      <c r="E844" s="449"/>
      <c r="G844" s="449"/>
      <c r="H844" s="98"/>
      <c r="I844" s="98"/>
    </row>
    <row r="845" spans="5:9" s="91" customFormat="1" ht="12.75">
      <c r="E845" s="449"/>
      <c r="G845" s="449"/>
      <c r="H845" s="98"/>
      <c r="I845" s="98"/>
    </row>
    <row r="846" spans="5:9" s="91" customFormat="1" ht="12.75">
      <c r="E846" s="449"/>
      <c r="G846" s="449"/>
      <c r="H846" s="98"/>
      <c r="I846" s="98"/>
    </row>
    <row r="847" spans="5:9" s="91" customFormat="1" ht="12.75">
      <c r="E847" s="449"/>
      <c r="G847" s="449"/>
      <c r="H847" s="98"/>
      <c r="I847" s="98"/>
    </row>
    <row r="848" spans="5:9" s="91" customFormat="1" ht="12.75">
      <c r="E848" s="449"/>
      <c r="G848" s="449"/>
      <c r="H848" s="98"/>
      <c r="I848" s="98"/>
    </row>
    <row r="849" spans="5:9" s="91" customFormat="1" ht="12.75">
      <c r="E849" s="449"/>
      <c r="G849" s="449"/>
      <c r="H849" s="98"/>
      <c r="I849" s="98"/>
    </row>
    <row r="850" spans="5:9" s="91" customFormat="1" ht="12.75">
      <c r="E850" s="449"/>
      <c r="G850" s="449"/>
      <c r="H850" s="98"/>
      <c r="I850" s="98"/>
    </row>
    <row r="851" spans="5:9" s="91" customFormat="1" ht="12.75">
      <c r="E851" s="449"/>
      <c r="G851" s="449"/>
      <c r="H851" s="98"/>
      <c r="I851" s="98"/>
    </row>
    <row r="852" spans="5:9" s="91" customFormat="1" ht="12.75">
      <c r="E852" s="449"/>
      <c r="G852" s="449"/>
      <c r="H852" s="98"/>
      <c r="I852" s="98"/>
    </row>
    <row r="853" spans="5:9" s="91" customFormat="1" ht="12.75">
      <c r="E853" s="449"/>
      <c r="G853" s="449"/>
      <c r="H853" s="98"/>
      <c r="I853" s="98"/>
    </row>
    <row r="854" spans="5:9" s="91" customFormat="1" ht="12.75">
      <c r="E854" s="449"/>
      <c r="G854" s="449"/>
      <c r="H854" s="98"/>
      <c r="I854" s="98"/>
    </row>
    <row r="855" spans="5:9" s="91" customFormat="1" ht="12.75">
      <c r="E855" s="449"/>
      <c r="G855" s="449"/>
      <c r="H855" s="98"/>
      <c r="I855" s="98"/>
    </row>
    <row r="856" spans="5:9" s="91" customFormat="1" ht="12.75">
      <c r="E856" s="449"/>
      <c r="G856" s="449"/>
      <c r="H856" s="98"/>
      <c r="I856" s="98"/>
    </row>
    <row r="857" spans="5:9" s="91" customFormat="1" ht="12.75">
      <c r="E857" s="449"/>
      <c r="G857" s="449"/>
      <c r="H857" s="98"/>
      <c r="I857" s="98"/>
    </row>
    <row r="858" spans="5:9" s="91" customFormat="1" ht="12.75">
      <c r="E858" s="449"/>
      <c r="G858" s="449"/>
      <c r="H858" s="98"/>
      <c r="I858" s="98"/>
    </row>
    <row r="859" spans="5:9" s="91" customFormat="1" ht="12.75">
      <c r="E859" s="449"/>
      <c r="G859" s="449"/>
      <c r="H859" s="98"/>
      <c r="I859" s="98"/>
    </row>
    <row r="860" spans="5:9" s="91" customFormat="1" ht="12.75">
      <c r="E860" s="449"/>
      <c r="G860" s="449"/>
      <c r="H860" s="98"/>
      <c r="I860" s="98"/>
    </row>
    <row r="861" spans="5:9" s="91" customFormat="1" ht="12.75">
      <c r="E861" s="449"/>
      <c r="G861" s="449"/>
      <c r="H861" s="98"/>
      <c r="I861" s="98"/>
    </row>
    <row r="862" spans="5:9" s="91" customFormat="1" ht="12.75">
      <c r="E862" s="449"/>
      <c r="G862" s="449"/>
      <c r="H862" s="98"/>
      <c r="I862" s="98"/>
    </row>
    <row r="863" spans="5:9" s="91" customFormat="1" ht="12.75">
      <c r="E863" s="449"/>
      <c r="G863" s="449"/>
      <c r="H863" s="98"/>
      <c r="I863" s="98"/>
    </row>
    <row r="864" spans="5:9" s="91" customFormat="1" ht="12.75">
      <c r="E864" s="449"/>
      <c r="G864" s="449"/>
      <c r="H864" s="98"/>
      <c r="I864" s="98"/>
    </row>
    <row r="865" spans="5:9" s="91" customFormat="1" ht="12.75">
      <c r="E865" s="449"/>
      <c r="G865" s="449"/>
      <c r="H865" s="98"/>
      <c r="I865" s="98"/>
    </row>
    <row r="866" spans="5:9" s="91" customFormat="1" ht="12.75">
      <c r="E866" s="449"/>
      <c r="G866" s="449"/>
      <c r="H866" s="98"/>
      <c r="I866" s="98"/>
    </row>
    <row r="867" spans="5:9" s="91" customFormat="1" ht="12.75">
      <c r="E867" s="449"/>
      <c r="G867" s="449"/>
      <c r="H867" s="98"/>
      <c r="I867" s="98"/>
    </row>
    <row r="868" spans="5:9" s="91" customFormat="1" ht="12.75">
      <c r="E868" s="449"/>
      <c r="G868" s="449"/>
      <c r="H868" s="98"/>
      <c r="I868" s="98"/>
    </row>
    <row r="869" spans="5:9" s="91" customFormat="1" ht="12.75">
      <c r="E869" s="449"/>
      <c r="G869" s="449"/>
      <c r="H869" s="98"/>
      <c r="I869" s="98"/>
    </row>
    <row r="870" spans="5:9" s="91" customFormat="1" ht="12.75">
      <c r="E870" s="449"/>
      <c r="G870" s="449"/>
      <c r="H870" s="98"/>
      <c r="I870" s="98"/>
    </row>
    <row r="871" spans="5:9" s="91" customFormat="1" ht="12.75">
      <c r="E871" s="449"/>
      <c r="G871" s="449"/>
      <c r="H871" s="98"/>
      <c r="I871" s="98"/>
    </row>
    <row r="872" spans="5:9" s="91" customFormat="1" ht="12.75">
      <c r="E872" s="449"/>
      <c r="G872" s="449"/>
      <c r="H872" s="98"/>
      <c r="I872" s="98"/>
    </row>
    <row r="873" spans="5:9" s="91" customFormat="1" ht="12.75">
      <c r="E873" s="449"/>
      <c r="G873" s="449"/>
      <c r="H873" s="98"/>
      <c r="I873" s="98"/>
    </row>
    <row r="874" spans="5:9" s="91" customFormat="1" ht="12.75">
      <c r="E874" s="449"/>
      <c r="G874" s="449"/>
      <c r="H874" s="98"/>
      <c r="I874" s="98"/>
    </row>
    <row r="875" spans="5:9" s="91" customFormat="1" ht="12.75">
      <c r="E875" s="449"/>
      <c r="G875" s="449"/>
      <c r="H875" s="98"/>
      <c r="I875" s="98"/>
    </row>
    <row r="876" spans="5:9" s="91" customFormat="1" ht="12.75">
      <c r="E876" s="449"/>
      <c r="G876" s="449"/>
      <c r="H876" s="98"/>
      <c r="I876" s="98"/>
    </row>
    <row r="877" spans="5:9" s="91" customFormat="1" ht="12.75">
      <c r="E877" s="449"/>
      <c r="G877" s="449"/>
      <c r="H877" s="98"/>
      <c r="I877" s="98"/>
    </row>
    <row r="878" spans="5:9" s="91" customFormat="1" ht="12.75">
      <c r="E878" s="449"/>
      <c r="G878" s="449"/>
      <c r="H878" s="98"/>
      <c r="I878" s="98"/>
    </row>
    <row r="879" spans="5:9" s="91" customFormat="1" ht="12.75">
      <c r="E879" s="449"/>
      <c r="G879" s="449"/>
      <c r="H879" s="98"/>
      <c r="I879" s="98"/>
    </row>
    <row r="880" spans="5:9" s="91" customFormat="1" ht="12.75">
      <c r="E880" s="449"/>
      <c r="G880" s="449"/>
      <c r="H880" s="98"/>
      <c r="I880" s="98"/>
    </row>
    <row r="881" spans="5:9" s="91" customFormat="1" ht="12.75">
      <c r="E881" s="449"/>
      <c r="G881" s="449"/>
      <c r="H881" s="98"/>
      <c r="I881" s="98"/>
    </row>
    <row r="882" spans="5:9" s="91" customFormat="1" ht="12.75">
      <c r="E882" s="449"/>
      <c r="G882" s="449"/>
      <c r="H882" s="98"/>
      <c r="I882" s="98"/>
    </row>
    <row r="883" spans="5:9" s="91" customFormat="1" ht="12.75">
      <c r="E883" s="449"/>
      <c r="G883" s="449"/>
      <c r="H883" s="98"/>
      <c r="I883" s="98"/>
    </row>
    <row r="884" spans="5:9" s="91" customFormat="1" ht="12.75">
      <c r="E884" s="449"/>
      <c r="G884" s="449"/>
      <c r="H884" s="98"/>
      <c r="I884" s="98"/>
    </row>
    <row r="885" spans="5:9" s="91" customFormat="1" ht="12.75">
      <c r="E885" s="449"/>
      <c r="G885" s="449"/>
      <c r="H885" s="98"/>
      <c r="I885" s="98"/>
    </row>
    <row r="886" spans="5:9" s="91" customFormat="1" ht="12.75">
      <c r="E886" s="449"/>
      <c r="G886" s="449"/>
      <c r="H886" s="98"/>
      <c r="I886" s="98"/>
    </row>
    <row r="887" spans="5:9" s="91" customFormat="1" ht="12.75">
      <c r="E887" s="449"/>
      <c r="G887" s="449"/>
      <c r="H887" s="98"/>
      <c r="I887" s="98"/>
    </row>
    <row r="888" spans="5:9" s="91" customFormat="1" ht="12.75">
      <c r="E888" s="449"/>
      <c r="G888" s="449"/>
      <c r="H888" s="98"/>
      <c r="I888" s="98"/>
    </row>
    <row r="889" spans="5:9" s="91" customFormat="1" ht="12.75">
      <c r="E889" s="449"/>
      <c r="G889" s="449"/>
      <c r="H889" s="98"/>
      <c r="I889" s="98"/>
    </row>
    <row r="890" spans="5:9" s="91" customFormat="1" ht="12.75">
      <c r="E890" s="449"/>
      <c r="G890" s="449"/>
      <c r="H890" s="98"/>
      <c r="I890" s="98"/>
    </row>
    <row r="891" spans="5:9" s="91" customFormat="1" ht="12.75">
      <c r="E891" s="449"/>
      <c r="G891" s="449"/>
      <c r="H891" s="98"/>
      <c r="I891" s="98"/>
    </row>
    <row r="892" spans="5:9" s="91" customFormat="1" ht="12.75">
      <c r="E892" s="449"/>
      <c r="G892" s="449"/>
      <c r="H892" s="98"/>
      <c r="I892" s="98"/>
    </row>
    <row r="893" spans="5:9" s="91" customFormat="1" ht="12.75">
      <c r="E893" s="449"/>
      <c r="G893" s="449"/>
      <c r="H893" s="98"/>
      <c r="I893" s="98"/>
    </row>
    <row r="894" spans="5:9" s="91" customFormat="1" ht="12.75">
      <c r="E894" s="449"/>
      <c r="G894" s="449"/>
      <c r="H894" s="98"/>
      <c r="I894" s="98"/>
    </row>
    <row r="895" spans="5:9" s="91" customFormat="1" ht="12.75">
      <c r="E895" s="449"/>
      <c r="G895" s="449"/>
      <c r="H895" s="98"/>
      <c r="I895" s="98"/>
    </row>
    <row r="896" spans="5:9" s="91" customFormat="1" ht="12.75">
      <c r="E896" s="449"/>
      <c r="G896" s="449"/>
      <c r="H896" s="98"/>
      <c r="I896" s="98"/>
    </row>
    <row r="897" spans="5:9" s="91" customFormat="1" ht="12.75">
      <c r="E897" s="449"/>
      <c r="G897" s="449"/>
      <c r="H897" s="98"/>
      <c r="I897" s="98"/>
    </row>
    <row r="898" spans="5:9" s="91" customFormat="1" ht="12.75">
      <c r="E898" s="449"/>
      <c r="G898" s="449"/>
      <c r="H898" s="98"/>
      <c r="I898" s="98"/>
    </row>
    <row r="899" spans="5:9" s="91" customFormat="1" ht="12.75">
      <c r="E899" s="449"/>
      <c r="G899" s="449"/>
      <c r="H899" s="98"/>
      <c r="I899" s="98"/>
    </row>
    <row r="900" spans="5:9" s="91" customFormat="1" ht="12.75">
      <c r="E900" s="449"/>
      <c r="G900" s="449"/>
      <c r="H900" s="98"/>
      <c r="I900" s="98"/>
    </row>
    <row r="901" spans="5:9" s="91" customFormat="1" ht="12.75">
      <c r="E901" s="449"/>
      <c r="G901" s="449"/>
      <c r="H901" s="98"/>
      <c r="I901" s="98"/>
    </row>
    <row r="902" spans="5:9" s="91" customFormat="1" ht="12.75">
      <c r="E902" s="449"/>
      <c r="G902" s="449"/>
      <c r="H902" s="98"/>
      <c r="I902" s="98"/>
    </row>
    <row r="903" spans="5:9" s="91" customFormat="1" ht="12.75">
      <c r="E903" s="449"/>
      <c r="G903" s="449"/>
      <c r="H903" s="98"/>
      <c r="I903" s="98"/>
    </row>
    <row r="904" spans="5:9" s="91" customFormat="1" ht="12.75">
      <c r="E904" s="449"/>
      <c r="G904" s="449"/>
      <c r="H904" s="98"/>
      <c r="I904" s="98"/>
    </row>
    <row r="905" spans="5:9" s="91" customFormat="1" ht="12.75">
      <c r="E905" s="449"/>
      <c r="G905" s="449"/>
      <c r="H905" s="98"/>
      <c r="I905" s="98"/>
    </row>
    <row r="906" spans="5:9" s="91" customFormat="1" ht="12.75">
      <c r="E906" s="449"/>
      <c r="G906" s="449"/>
      <c r="H906" s="98"/>
      <c r="I906" s="98"/>
    </row>
    <row r="907" spans="5:9" s="91" customFormat="1" ht="12.75">
      <c r="E907" s="449"/>
      <c r="G907" s="449"/>
      <c r="H907" s="98"/>
      <c r="I907" s="98"/>
    </row>
    <row r="908" spans="5:9" s="91" customFormat="1" ht="12.75">
      <c r="E908" s="449"/>
      <c r="G908" s="449"/>
      <c r="H908" s="98"/>
      <c r="I908" s="98"/>
    </row>
    <row r="909" spans="5:9" s="91" customFormat="1" ht="12.75">
      <c r="E909" s="449"/>
      <c r="G909" s="449"/>
      <c r="H909" s="98"/>
      <c r="I909" s="98"/>
    </row>
    <row r="910" spans="5:9" s="91" customFormat="1" ht="12.75">
      <c r="E910" s="449"/>
      <c r="G910" s="449"/>
      <c r="H910" s="98"/>
      <c r="I910" s="98"/>
    </row>
    <row r="911" spans="5:9" s="91" customFormat="1" ht="12.75">
      <c r="E911" s="449"/>
      <c r="G911" s="449"/>
      <c r="H911" s="98"/>
      <c r="I911" s="98"/>
    </row>
    <row r="912" spans="5:9" s="91" customFormat="1" ht="12.75">
      <c r="E912" s="449"/>
      <c r="G912" s="449"/>
      <c r="H912" s="98"/>
      <c r="I912" s="98"/>
    </row>
    <row r="913" spans="5:9" s="91" customFormat="1" ht="12.75">
      <c r="E913" s="449"/>
      <c r="G913" s="449"/>
      <c r="H913" s="98"/>
      <c r="I913" s="98"/>
    </row>
    <row r="914" spans="5:9" s="91" customFormat="1" ht="12.75">
      <c r="E914" s="449"/>
      <c r="G914" s="449"/>
      <c r="H914" s="98"/>
      <c r="I914" s="98"/>
    </row>
    <row r="915" spans="7:9" s="91" customFormat="1" ht="12.75">
      <c r="G915" s="449"/>
      <c r="H915" s="98"/>
      <c r="I915" s="98"/>
    </row>
    <row r="916" spans="7:9" s="91" customFormat="1" ht="12.75">
      <c r="G916" s="449"/>
      <c r="H916" s="98"/>
      <c r="I916" s="98"/>
    </row>
    <row r="917" spans="7:9" s="91" customFormat="1" ht="12.75">
      <c r="G917" s="449"/>
      <c r="H917" s="98"/>
      <c r="I917" s="98"/>
    </row>
    <row r="918" spans="7:9" s="91" customFormat="1" ht="12.75">
      <c r="G918" s="449"/>
      <c r="H918" s="98"/>
      <c r="I918" s="98"/>
    </row>
    <row r="919" spans="7:9" s="91" customFormat="1" ht="12.75">
      <c r="G919" s="449"/>
      <c r="H919" s="98"/>
      <c r="I919" s="98"/>
    </row>
    <row r="920" spans="7:9" s="91" customFormat="1" ht="12.75">
      <c r="G920" s="449"/>
      <c r="H920" s="98"/>
      <c r="I920" s="98"/>
    </row>
    <row r="921" spans="7:9" s="91" customFormat="1" ht="12.75">
      <c r="G921" s="449"/>
      <c r="H921" s="98"/>
      <c r="I921" s="98"/>
    </row>
    <row r="922" spans="7:9" s="91" customFormat="1" ht="12.75">
      <c r="G922" s="449"/>
      <c r="H922" s="98"/>
      <c r="I922" s="98"/>
    </row>
    <row r="923" spans="7:9" s="91" customFormat="1" ht="12.75">
      <c r="G923" s="449"/>
      <c r="H923" s="98"/>
      <c r="I923" s="98"/>
    </row>
    <row r="924" spans="7:9" s="91" customFormat="1" ht="12.75">
      <c r="G924" s="449"/>
      <c r="H924" s="98"/>
      <c r="I924" s="98"/>
    </row>
    <row r="925" spans="7:9" s="91" customFormat="1" ht="12.75">
      <c r="G925" s="449"/>
      <c r="H925" s="98"/>
      <c r="I925" s="98"/>
    </row>
    <row r="926" spans="7:9" s="91" customFormat="1" ht="12.75">
      <c r="G926" s="449"/>
      <c r="H926" s="98"/>
      <c r="I926" s="98"/>
    </row>
    <row r="927" spans="7:9" s="91" customFormat="1" ht="12.75">
      <c r="G927" s="449"/>
      <c r="H927" s="98"/>
      <c r="I927" s="98"/>
    </row>
    <row r="928" spans="7:9" s="91" customFormat="1" ht="12.75">
      <c r="G928" s="449"/>
      <c r="H928" s="98"/>
      <c r="I928" s="98"/>
    </row>
    <row r="929" spans="7:9" s="91" customFormat="1" ht="12.75">
      <c r="G929" s="449"/>
      <c r="H929" s="98"/>
      <c r="I929" s="98"/>
    </row>
    <row r="930" spans="7:9" s="91" customFormat="1" ht="12.75">
      <c r="G930" s="449"/>
      <c r="H930" s="98"/>
      <c r="I930" s="98"/>
    </row>
    <row r="931" spans="7:9" s="91" customFormat="1" ht="12.75">
      <c r="G931" s="449"/>
      <c r="H931" s="98"/>
      <c r="I931" s="98"/>
    </row>
    <row r="932" spans="7:9" s="91" customFormat="1" ht="12.75">
      <c r="G932" s="449"/>
      <c r="H932" s="98"/>
      <c r="I932" s="98"/>
    </row>
    <row r="933" spans="7:9" s="91" customFormat="1" ht="12.75">
      <c r="G933" s="449"/>
      <c r="H933" s="98"/>
      <c r="I933" s="98"/>
    </row>
    <row r="934" spans="7:9" s="91" customFormat="1" ht="12.75">
      <c r="G934" s="449"/>
      <c r="H934" s="98"/>
      <c r="I934" s="98"/>
    </row>
    <row r="935" spans="7:9" s="91" customFormat="1" ht="12.75">
      <c r="G935" s="449"/>
      <c r="H935" s="98"/>
      <c r="I935" s="98"/>
    </row>
    <row r="936" spans="7:9" s="91" customFormat="1" ht="12.75">
      <c r="G936" s="449"/>
      <c r="H936" s="98"/>
      <c r="I936" s="98"/>
    </row>
    <row r="937" spans="7:9" s="91" customFormat="1" ht="12.75">
      <c r="G937" s="449"/>
      <c r="H937" s="98"/>
      <c r="I937" s="98"/>
    </row>
    <row r="938" spans="7:9" s="91" customFormat="1" ht="12.75">
      <c r="G938" s="449"/>
      <c r="H938" s="98"/>
      <c r="I938" s="98"/>
    </row>
    <row r="939" spans="7:9" s="91" customFormat="1" ht="12.75">
      <c r="G939" s="449"/>
      <c r="H939" s="98"/>
      <c r="I939" s="98"/>
    </row>
    <row r="940" spans="7:9" s="91" customFormat="1" ht="12.75">
      <c r="G940" s="449"/>
      <c r="H940" s="98"/>
      <c r="I940" s="98"/>
    </row>
    <row r="941" spans="7:9" s="91" customFormat="1" ht="12.75">
      <c r="G941" s="449"/>
      <c r="H941" s="98"/>
      <c r="I941" s="98"/>
    </row>
    <row r="942" spans="7:9" s="91" customFormat="1" ht="12.75">
      <c r="G942" s="449"/>
      <c r="H942" s="98"/>
      <c r="I942" s="98"/>
    </row>
    <row r="943" spans="7:9" s="91" customFormat="1" ht="12.75">
      <c r="G943" s="449"/>
      <c r="H943" s="98"/>
      <c r="I943" s="98"/>
    </row>
    <row r="944" spans="7:9" s="91" customFormat="1" ht="12.75">
      <c r="G944" s="449"/>
      <c r="H944" s="98"/>
      <c r="I944" s="98"/>
    </row>
    <row r="945" spans="7:9" s="91" customFormat="1" ht="12.75">
      <c r="G945" s="449"/>
      <c r="H945" s="98"/>
      <c r="I945" s="98"/>
    </row>
    <row r="946" spans="7:9" s="91" customFormat="1" ht="12.75">
      <c r="G946" s="449"/>
      <c r="H946" s="98"/>
      <c r="I946" s="98"/>
    </row>
    <row r="947" spans="7:9" s="91" customFormat="1" ht="12.75">
      <c r="G947" s="449"/>
      <c r="H947" s="98"/>
      <c r="I947" s="98"/>
    </row>
    <row r="948" spans="7:9" s="91" customFormat="1" ht="12.75">
      <c r="G948" s="449"/>
      <c r="H948" s="98"/>
      <c r="I948" s="98"/>
    </row>
    <row r="949" spans="7:9" s="91" customFormat="1" ht="12.75">
      <c r="G949" s="449"/>
      <c r="H949" s="98"/>
      <c r="I949" s="98"/>
    </row>
    <row r="950" spans="7:9" s="91" customFormat="1" ht="12.75">
      <c r="G950" s="449"/>
      <c r="H950" s="98"/>
      <c r="I950" s="98"/>
    </row>
    <row r="951" spans="7:9" s="91" customFormat="1" ht="12.75">
      <c r="G951" s="449"/>
      <c r="H951" s="98"/>
      <c r="I951" s="98"/>
    </row>
    <row r="952" spans="7:9" s="91" customFormat="1" ht="12.75">
      <c r="G952" s="449"/>
      <c r="H952" s="98"/>
      <c r="I952" s="98"/>
    </row>
    <row r="953" spans="7:9" s="91" customFormat="1" ht="12.75">
      <c r="G953" s="449"/>
      <c r="H953" s="98"/>
      <c r="I953" s="98"/>
    </row>
    <row r="954" spans="7:9" s="91" customFormat="1" ht="12.75">
      <c r="G954" s="449"/>
      <c r="H954" s="98"/>
      <c r="I954" s="98"/>
    </row>
    <row r="955" spans="7:9" s="91" customFormat="1" ht="12.75">
      <c r="G955" s="449"/>
      <c r="H955" s="98"/>
      <c r="I955" s="98"/>
    </row>
    <row r="956" spans="7:9" s="91" customFormat="1" ht="12.75">
      <c r="G956" s="449"/>
      <c r="H956" s="98"/>
      <c r="I956" s="98"/>
    </row>
    <row r="957" spans="7:9" s="91" customFormat="1" ht="12.75">
      <c r="G957" s="449"/>
      <c r="H957" s="98"/>
      <c r="I957" s="98"/>
    </row>
    <row r="958" spans="7:9" s="91" customFormat="1" ht="12.75">
      <c r="G958" s="449"/>
      <c r="H958" s="98"/>
      <c r="I958" s="98"/>
    </row>
    <row r="959" spans="7:9" s="91" customFormat="1" ht="12.75">
      <c r="G959" s="449"/>
      <c r="H959" s="98"/>
      <c r="I959" s="98"/>
    </row>
    <row r="960" spans="7:9" s="91" customFormat="1" ht="12.75">
      <c r="G960" s="449"/>
      <c r="H960" s="98"/>
      <c r="I960" s="98"/>
    </row>
    <row r="961" spans="7:9" s="91" customFormat="1" ht="12.75">
      <c r="G961" s="449"/>
      <c r="H961" s="98"/>
      <c r="I961" s="98"/>
    </row>
    <row r="962" spans="7:9" s="91" customFormat="1" ht="12.75">
      <c r="G962" s="449"/>
      <c r="H962" s="98"/>
      <c r="I962" s="98"/>
    </row>
    <row r="963" spans="7:9" s="91" customFormat="1" ht="12.75">
      <c r="G963" s="449"/>
      <c r="H963" s="98"/>
      <c r="I963" s="98"/>
    </row>
    <row r="964" spans="7:9" s="91" customFormat="1" ht="12.75">
      <c r="G964" s="449"/>
      <c r="H964" s="98"/>
      <c r="I964" s="98"/>
    </row>
    <row r="965" spans="7:9" s="91" customFormat="1" ht="12.75">
      <c r="G965" s="449"/>
      <c r="H965" s="98"/>
      <c r="I965" s="98"/>
    </row>
    <row r="966" spans="7:9" s="91" customFormat="1" ht="12.75">
      <c r="G966" s="449"/>
      <c r="H966" s="98"/>
      <c r="I966" s="98"/>
    </row>
    <row r="967" spans="7:9" s="91" customFormat="1" ht="12.75">
      <c r="G967" s="449"/>
      <c r="H967" s="98"/>
      <c r="I967" s="98"/>
    </row>
    <row r="968" spans="7:9" s="91" customFormat="1" ht="12.75">
      <c r="G968" s="449"/>
      <c r="H968" s="98"/>
      <c r="I968" s="98"/>
    </row>
    <row r="969" spans="7:9" s="91" customFormat="1" ht="12.75">
      <c r="G969" s="449"/>
      <c r="H969" s="98"/>
      <c r="I969" s="98"/>
    </row>
    <row r="970" spans="7:9" s="91" customFormat="1" ht="12.75">
      <c r="G970" s="449"/>
      <c r="H970" s="98"/>
      <c r="I970" s="98"/>
    </row>
    <row r="971" spans="7:9" s="91" customFormat="1" ht="12.75">
      <c r="G971" s="449"/>
      <c r="H971" s="98"/>
      <c r="I971" s="98"/>
    </row>
    <row r="972" spans="7:9" s="91" customFormat="1" ht="12.75">
      <c r="G972" s="449"/>
      <c r="H972" s="98"/>
      <c r="I972" s="98"/>
    </row>
    <row r="973" spans="7:9" s="91" customFormat="1" ht="12.75">
      <c r="G973" s="449"/>
      <c r="H973" s="98"/>
      <c r="I973" s="98"/>
    </row>
    <row r="974" spans="7:9" s="91" customFormat="1" ht="12.75">
      <c r="G974" s="449"/>
      <c r="H974" s="98"/>
      <c r="I974" s="98"/>
    </row>
    <row r="975" spans="7:9" s="91" customFormat="1" ht="12.75">
      <c r="G975" s="449"/>
      <c r="H975" s="98"/>
      <c r="I975" s="98"/>
    </row>
    <row r="976" spans="7:9" s="91" customFormat="1" ht="12.75">
      <c r="G976" s="449"/>
      <c r="H976" s="98"/>
      <c r="I976" s="98"/>
    </row>
    <row r="977" spans="7:9" s="91" customFormat="1" ht="12.75">
      <c r="G977" s="449"/>
      <c r="H977" s="98"/>
      <c r="I977" s="98"/>
    </row>
    <row r="978" spans="7:9" s="91" customFormat="1" ht="12.75">
      <c r="G978" s="449"/>
      <c r="H978" s="98"/>
      <c r="I978" s="98"/>
    </row>
    <row r="979" spans="7:9" s="91" customFormat="1" ht="12.75">
      <c r="G979" s="449"/>
      <c r="H979" s="98"/>
      <c r="I979" s="98"/>
    </row>
    <row r="980" spans="7:9" s="91" customFormat="1" ht="12.75">
      <c r="G980" s="449"/>
      <c r="H980" s="98"/>
      <c r="I980" s="98"/>
    </row>
    <row r="981" spans="7:9" s="91" customFormat="1" ht="12.75">
      <c r="G981" s="449"/>
      <c r="H981" s="98"/>
      <c r="I981" s="98"/>
    </row>
    <row r="982" spans="7:9" s="91" customFormat="1" ht="12.75">
      <c r="G982" s="449"/>
      <c r="H982" s="98"/>
      <c r="I982" s="98"/>
    </row>
    <row r="983" spans="7:9" s="91" customFormat="1" ht="12.75">
      <c r="G983" s="449"/>
      <c r="H983" s="98"/>
      <c r="I983" s="98"/>
    </row>
    <row r="984" spans="7:9" s="91" customFormat="1" ht="12.75">
      <c r="G984" s="449"/>
      <c r="H984" s="98"/>
      <c r="I984" s="98"/>
    </row>
    <row r="985" spans="7:9" s="91" customFormat="1" ht="12.75">
      <c r="G985" s="449"/>
      <c r="H985" s="98"/>
      <c r="I985" s="98"/>
    </row>
    <row r="986" spans="7:9" s="91" customFormat="1" ht="12.75">
      <c r="G986" s="449"/>
      <c r="H986" s="98"/>
      <c r="I986" s="98"/>
    </row>
    <row r="987" spans="7:9" s="91" customFormat="1" ht="12.75">
      <c r="G987" s="449"/>
      <c r="H987" s="98"/>
      <c r="I987" s="98"/>
    </row>
    <row r="988" spans="7:9" s="91" customFormat="1" ht="12.75">
      <c r="G988" s="449"/>
      <c r="H988" s="98"/>
      <c r="I988" s="98"/>
    </row>
    <row r="989" spans="7:9" s="91" customFormat="1" ht="12.75">
      <c r="G989" s="449"/>
      <c r="H989" s="98"/>
      <c r="I989" s="98"/>
    </row>
    <row r="990" spans="7:9" s="91" customFormat="1" ht="12.75">
      <c r="G990" s="449"/>
      <c r="H990" s="98"/>
      <c r="I990" s="98"/>
    </row>
    <row r="991" spans="7:9" s="91" customFormat="1" ht="12.75">
      <c r="G991" s="449"/>
      <c r="H991" s="98"/>
      <c r="I991" s="98"/>
    </row>
    <row r="992" spans="7:9" s="91" customFormat="1" ht="12.75">
      <c r="G992" s="449"/>
      <c r="H992" s="98"/>
      <c r="I992" s="98"/>
    </row>
    <row r="993" spans="7:9" s="91" customFormat="1" ht="12.75">
      <c r="G993" s="449"/>
      <c r="H993" s="98"/>
      <c r="I993" s="98"/>
    </row>
    <row r="994" spans="7:9" s="91" customFormat="1" ht="12.75">
      <c r="G994" s="449"/>
      <c r="H994" s="98"/>
      <c r="I994" s="98"/>
    </row>
    <row r="995" spans="7:9" s="91" customFormat="1" ht="12.75">
      <c r="G995" s="449"/>
      <c r="H995" s="98"/>
      <c r="I995" s="98"/>
    </row>
    <row r="996" spans="7:9" s="91" customFormat="1" ht="12.75">
      <c r="G996" s="449"/>
      <c r="H996" s="98"/>
      <c r="I996" s="98"/>
    </row>
    <row r="997" spans="7:9" s="91" customFormat="1" ht="12.75">
      <c r="G997" s="449"/>
      <c r="H997" s="98"/>
      <c r="I997" s="98"/>
    </row>
    <row r="998" spans="7:9" s="91" customFormat="1" ht="12.75">
      <c r="G998" s="449"/>
      <c r="H998" s="98"/>
      <c r="I998" s="98"/>
    </row>
    <row r="999" spans="7:9" s="91" customFormat="1" ht="12.75">
      <c r="G999" s="449"/>
      <c r="H999" s="98"/>
      <c r="I999" s="98"/>
    </row>
    <row r="1000" spans="7:9" s="91" customFormat="1" ht="12.75">
      <c r="G1000" s="449"/>
      <c r="H1000" s="98"/>
      <c r="I1000" s="98"/>
    </row>
    <row r="1001" spans="7:9" s="91" customFormat="1" ht="12.75">
      <c r="G1001" s="449"/>
      <c r="H1001" s="98"/>
      <c r="I1001" s="98"/>
    </row>
    <row r="1002" spans="7:9" s="91" customFormat="1" ht="12.75">
      <c r="G1002" s="449"/>
      <c r="H1002" s="98"/>
      <c r="I1002" s="98"/>
    </row>
    <row r="1003" spans="7:9" s="91" customFormat="1" ht="12.75">
      <c r="G1003" s="449"/>
      <c r="H1003" s="98"/>
      <c r="I1003" s="98"/>
    </row>
    <row r="1004" spans="7:9" s="91" customFormat="1" ht="12.75">
      <c r="G1004" s="449"/>
      <c r="H1004" s="98"/>
      <c r="I1004" s="98"/>
    </row>
    <row r="1005" spans="7:9" s="91" customFormat="1" ht="12.75">
      <c r="G1005" s="449"/>
      <c r="H1005" s="98"/>
      <c r="I1005" s="98"/>
    </row>
    <row r="1006" spans="7:9" s="91" customFormat="1" ht="12.75">
      <c r="G1006" s="449"/>
      <c r="H1006" s="98"/>
      <c r="I1006" s="98"/>
    </row>
    <row r="1007" spans="7:9" s="91" customFormat="1" ht="12.75">
      <c r="G1007" s="449"/>
      <c r="H1007" s="98"/>
      <c r="I1007" s="98"/>
    </row>
    <row r="1008" spans="7:9" s="91" customFormat="1" ht="12.75">
      <c r="G1008" s="449"/>
      <c r="H1008" s="98"/>
      <c r="I1008" s="98"/>
    </row>
    <row r="1009" spans="7:9" s="91" customFormat="1" ht="12.75">
      <c r="G1009" s="449"/>
      <c r="H1009" s="98"/>
      <c r="I1009" s="98"/>
    </row>
    <row r="1010" spans="7:9" s="91" customFormat="1" ht="12.75">
      <c r="G1010" s="449"/>
      <c r="H1010" s="98"/>
      <c r="I1010" s="98"/>
    </row>
    <row r="1011" spans="7:9" s="91" customFormat="1" ht="12.75">
      <c r="G1011" s="449"/>
      <c r="H1011" s="98"/>
      <c r="I1011" s="98"/>
    </row>
    <row r="1012" spans="7:9" s="91" customFormat="1" ht="12.75">
      <c r="G1012" s="449"/>
      <c r="H1012" s="98"/>
      <c r="I1012" s="98"/>
    </row>
    <row r="1013" spans="7:9" s="91" customFormat="1" ht="12.75">
      <c r="G1013" s="449"/>
      <c r="H1013" s="98"/>
      <c r="I1013" s="98"/>
    </row>
    <row r="1014" spans="7:9" s="91" customFormat="1" ht="12.75">
      <c r="G1014" s="449"/>
      <c r="H1014" s="98"/>
      <c r="I1014" s="98"/>
    </row>
    <row r="1015" spans="7:9" s="91" customFormat="1" ht="12.75">
      <c r="G1015" s="449"/>
      <c r="H1015" s="98"/>
      <c r="I1015" s="98"/>
    </row>
    <row r="1016" spans="7:9" s="91" customFormat="1" ht="12.75">
      <c r="G1016" s="449"/>
      <c r="H1016" s="98"/>
      <c r="I1016" s="98"/>
    </row>
    <row r="1017" spans="7:9" s="91" customFormat="1" ht="12.75">
      <c r="G1017" s="449"/>
      <c r="H1017" s="98"/>
      <c r="I1017" s="98"/>
    </row>
    <row r="1018" spans="7:9" s="91" customFormat="1" ht="12.75">
      <c r="G1018" s="449"/>
      <c r="H1018" s="98"/>
      <c r="I1018" s="98"/>
    </row>
    <row r="1019" spans="7:9" s="91" customFormat="1" ht="12.75">
      <c r="G1019" s="449"/>
      <c r="H1019" s="98"/>
      <c r="I1019" s="98"/>
    </row>
    <row r="1020" spans="7:9" s="91" customFormat="1" ht="12.75">
      <c r="G1020" s="449"/>
      <c r="H1020" s="98"/>
      <c r="I1020" s="98"/>
    </row>
    <row r="1021" spans="7:9" s="91" customFormat="1" ht="12.75">
      <c r="G1021" s="449"/>
      <c r="H1021" s="98"/>
      <c r="I1021" s="98"/>
    </row>
    <row r="1022" spans="7:9" s="91" customFormat="1" ht="12.75">
      <c r="G1022" s="449"/>
      <c r="H1022" s="98"/>
      <c r="I1022" s="98"/>
    </row>
    <row r="1023" spans="7:9" s="91" customFormat="1" ht="12.75">
      <c r="G1023" s="449"/>
      <c r="H1023" s="98"/>
      <c r="I1023" s="98"/>
    </row>
    <row r="1024" spans="7:9" s="91" customFormat="1" ht="12.75">
      <c r="G1024" s="449"/>
      <c r="H1024" s="98"/>
      <c r="I1024" s="98"/>
    </row>
    <row r="1025" spans="7:9" s="91" customFormat="1" ht="12.75">
      <c r="G1025" s="449"/>
      <c r="H1025" s="98"/>
      <c r="I1025" s="98"/>
    </row>
    <row r="1026" spans="7:9" s="91" customFormat="1" ht="12.75">
      <c r="G1026" s="449"/>
      <c r="H1026" s="98"/>
      <c r="I1026" s="98"/>
    </row>
    <row r="1027" spans="7:9" s="91" customFormat="1" ht="12.75">
      <c r="G1027" s="449"/>
      <c r="H1027" s="98"/>
      <c r="I1027" s="98"/>
    </row>
    <row r="1028" spans="7:9" s="91" customFormat="1" ht="12.75">
      <c r="G1028" s="449"/>
      <c r="H1028" s="98"/>
      <c r="I1028" s="98"/>
    </row>
    <row r="1029" spans="7:9" s="91" customFormat="1" ht="12.75">
      <c r="G1029" s="449"/>
      <c r="H1029" s="98"/>
      <c r="I1029" s="98"/>
    </row>
    <row r="1030" spans="7:9" s="91" customFormat="1" ht="12.75">
      <c r="G1030" s="449"/>
      <c r="H1030" s="98"/>
      <c r="I1030" s="98"/>
    </row>
    <row r="1031" spans="7:9" s="91" customFormat="1" ht="12.75">
      <c r="G1031" s="449"/>
      <c r="H1031" s="98"/>
      <c r="I1031" s="98"/>
    </row>
    <row r="1032" spans="7:9" s="91" customFormat="1" ht="12.75">
      <c r="G1032" s="449"/>
      <c r="H1032" s="98"/>
      <c r="I1032" s="98"/>
    </row>
    <row r="1033" spans="7:9" s="91" customFormat="1" ht="12.75">
      <c r="G1033" s="449"/>
      <c r="H1033" s="98"/>
      <c r="I1033" s="98"/>
    </row>
    <row r="1034" spans="7:9" s="91" customFormat="1" ht="12.75">
      <c r="G1034" s="449"/>
      <c r="H1034" s="98"/>
      <c r="I1034" s="98"/>
    </row>
    <row r="1035" spans="7:9" s="91" customFormat="1" ht="12.75">
      <c r="G1035" s="449"/>
      <c r="H1035" s="98"/>
      <c r="I1035" s="98"/>
    </row>
    <row r="1036" spans="7:9" s="91" customFormat="1" ht="12.75">
      <c r="G1036" s="449"/>
      <c r="H1036" s="98"/>
      <c r="I1036" s="98"/>
    </row>
    <row r="1037" spans="7:9" s="91" customFormat="1" ht="12.75">
      <c r="G1037" s="449"/>
      <c r="H1037" s="98"/>
      <c r="I1037" s="98"/>
    </row>
    <row r="1038" spans="7:9" s="91" customFormat="1" ht="12.75">
      <c r="G1038" s="449"/>
      <c r="H1038" s="98"/>
      <c r="I1038" s="98"/>
    </row>
    <row r="1039" spans="7:9" s="91" customFormat="1" ht="12.75">
      <c r="G1039" s="449"/>
      <c r="H1039" s="98"/>
      <c r="I1039" s="98"/>
    </row>
    <row r="1040" spans="7:9" s="91" customFormat="1" ht="12.75">
      <c r="G1040" s="449"/>
      <c r="H1040" s="98"/>
      <c r="I1040" s="98"/>
    </row>
    <row r="1041" spans="7:9" s="91" customFormat="1" ht="12.75">
      <c r="G1041" s="449"/>
      <c r="H1041" s="98"/>
      <c r="I1041" s="98"/>
    </row>
    <row r="1042" spans="7:9" s="91" customFormat="1" ht="12.75">
      <c r="G1042" s="449"/>
      <c r="H1042" s="98"/>
      <c r="I1042" s="98"/>
    </row>
    <row r="1043" spans="7:9" s="91" customFormat="1" ht="12.75">
      <c r="G1043" s="449"/>
      <c r="H1043" s="98"/>
      <c r="I1043" s="98"/>
    </row>
    <row r="1044" spans="7:9" s="91" customFormat="1" ht="12.75">
      <c r="G1044" s="449"/>
      <c r="H1044" s="98"/>
      <c r="I1044" s="98"/>
    </row>
    <row r="1045" spans="7:9" s="91" customFormat="1" ht="12.75">
      <c r="G1045" s="449"/>
      <c r="H1045" s="98"/>
      <c r="I1045" s="98"/>
    </row>
    <row r="1046" spans="7:9" s="91" customFormat="1" ht="12.75">
      <c r="G1046" s="449"/>
      <c r="H1046" s="98"/>
      <c r="I1046" s="98"/>
    </row>
    <row r="1047" spans="7:9" s="91" customFormat="1" ht="12.75">
      <c r="G1047" s="449"/>
      <c r="H1047" s="98"/>
      <c r="I1047" s="98"/>
    </row>
    <row r="1048" spans="7:9" s="91" customFormat="1" ht="12.75">
      <c r="G1048" s="449"/>
      <c r="H1048" s="98"/>
      <c r="I1048" s="98"/>
    </row>
    <row r="1049" spans="7:9" s="91" customFormat="1" ht="12.75">
      <c r="G1049" s="449"/>
      <c r="H1049" s="98"/>
      <c r="I1049" s="98"/>
    </row>
    <row r="1050" spans="7:9" s="91" customFormat="1" ht="12.75">
      <c r="G1050" s="449"/>
      <c r="H1050" s="98"/>
      <c r="I1050" s="98"/>
    </row>
    <row r="1051" spans="7:9" s="91" customFormat="1" ht="12.75">
      <c r="G1051" s="449"/>
      <c r="H1051" s="98"/>
      <c r="I1051" s="98"/>
    </row>
    <row r="1052" spans="7:9" s="91" customFormat="1" ht="12.75">
      <c r="G1052" s="449"/>
      <c r="H1052" s="98"/>
      <c r="I1052" s="98"/>
    </row>
    <row r="1053" spans="7:9" s="91" customFormat="1" ht="12.75">
      <c r="G1053" s="449"/>
      <c r="H1053" s="98"/>
      <c r="I1053" s="98"/>
    </row>
    <row r="1054" spans="7:9" s="91" customFormat="1" ht="12.75">
      <c r="G1054" s="449"/>
      <c r="H1054" s="98"/>
      <c r="I1054" s="98"/>
    </row>
    <row r="1055" spans="7:9" s="91" customFormat="1" ht="12.75">
      <c r="G1055" s="449"/>
      <c r="H1055" s="98"/>
      <c r="I1055" s="98"/>
    </row>
    <row r="1056" spans="7:9" s="91" customFormat="1" ht="12.75">
      <c r="G1056" s="449"/>
      <c r="H1056" s="98"/>
      <c r="I1056" s="98"/>
    </row>
    <row r="1057" spans="7:9" s="91" customFormat="1" ht="12.75">
      <c r="G1057" s="449"/>
      <c r="H1057" s="98"/>
      <c r="I1057" s="98"/>
    </row>
    <row r="1058" spans="7:9" s="91" customFormat="1" ht="12.75">
      <c r="G1058" s="449"/>
      <c r="H1058" s="98"/>
      <c r="I1058" s="98"/>
    </row>
    <row r="1059" spans="7:9" s="91" customFormat="1" ht="12.75">
      <c r="G1059" s="449"/>
      <c r="H1059" s="98"/>
      <c r="I1059" s="98"/>
    </row>
    <row r="1060" spans="7:9" s="91" customFormat="1" ht="12.75">
      <c r="G1060" s="449"/>
      <c r="H1060" s="98"/>
      <c r="I1060" s="98"/>
    </row>
    <row r="1061" spans="7:9" s="91" customFormat="1" ht="12.75">
      <c r="G1061" s="449"/>
      <c r="H1061" s="98"/>
      <c r="I1061" s="98"/>
    </row>
    <row r="1062" spans="7:9" s="91" customFormat="1" ht="12.75">
      <c r="G1062" s="449"/>
      <c r="H1062" s="98"/>
      <c r="I1062" s="98"/>
    </row>
    <row r="1063" spans="7:9" s="91" customFormat="1" ht="12.75">
      <c r="G1063" s="449"/>
      <c r="H1063" s="98"/>
      <c r="I1063" s="98"/>
    </row>
    <row r="1064" spans="7:9" s="91" customFormat="1" ht="12.75">
      <c r="G1064" s="449"/>
      <c r="H1064" s="98"/>
      <c r="I1064" s="98"/>
    </row>
    <row r="1065" spans="7:9" s="91" customFormat="1" ht="12.75">
      <c r="G1065" s="449"/>
      <c r="H1065" s="98"/>
      <c r="I1065" s="98"/>
    </row>
    <row r="1066" spans="7:9" s="91" customFormat="1" ht="12.75">
      <c r="G1066" s="449"/>
      <c r="H1066" s="98"/>
      <c r="I1066" s="98"/>
    </row>
    <row r="1067" spans="7:9" s="91" customFormat="1" ht="12.75">
      <c r="G1067" s="449"/>
      <c r="H1067" s="98"/>
      <c r="I1067" s="98"/>
    </row>
    <row r="1068" spans="7:9" s="91" customFormat="1" ht="12.75">
      <c r="G1068" s="449"/>
      <c r="H1068" s="98"/>
      <c r="I1068" s="98"/>
    </row>
    <row r="1069" spans="7:9" s="91" customFormat="1" ht="12.75">
      <c r="G1069" s="449"/>
      <c r="H1069" s="98"/>
      <c r="I1069" s="98"/>
    </row>
    <row r="1070" spans="7:9" s="91" customFormat="1" ht="12.75">
      <c r="G1070" s="449"/>
      <c r="H1070" s="98"/>
      <c r="I1070" s="98"/>
    </row>
    <row r="1071" spans="7:9" s="91" customFormat="1" ht="12.75">
      <c r="G1071" s="449"/>
      <c r="H1071" s="98"/>
      <c r="I1071" s="98"/>
    </row>
    <row r="1072" spans="7:9" s="91" customFormat="1" ht="12.75">
      <c r="G1072" s="449"/>
      <c r="H1072" s="98"/>
      <c r="I1072" s="98"/>
    </row>
    <row r="1073" spans="7:9" s="91" customFormat="1" ht="12.75">
      <c r="G1073" s="449"/>
      <c r="H1073" s="98"/>
      <c r="I1073" s="98"/>
    </row>
    <row r="1074" spans="7:9" s="91" customFormat="1" ht="12.75">
      <c r="G1074" s="449"/>
      <c r="H1074" s="98"/>
      <c r="I1074" s="98"/>
    </row>
    <row r="1075" spans="7:9" s="91" customFormat="1" ht="12.75">
      <c r="G1075" s="449"/>
      <c r="H1075" s="98"/>
      <c r="I1075" s="98"/>
    </row>
    <row r="1076" spans="7:9" s="91" customFormat="1" ht="12.75">
      <c r="G1076" s="449"/>
      <c r="H1076" s="98"/>
      <c r="I1076" s="98"/>
    </row>
    <row r="1077" spans="7:9" s="91" customFormat="1" ht="12.75">
      <c r="G1077" s="449"/>
      <c r="H1077" s="98"/>
      <c r="I1077" s="98"/>
    </row>
    <row r="1078" spans="7:9" s="91" customFormat="1" ht="12.75">
      <c r="G1078" s="449"/>
      <c r="H1078" s="98"/>
      <c r="I1078" s="98"/>
    </row>
    <row r="1079" spans="7:9" s="91" customFormat="1" ht="12.75">
      <c r="G1079" s="449"/>
      <c r="H1079" s="98"/>
      <c r="I1079" s="98"/>
    </row>
    <row r="1080" spans="7:9" s="91" customFormat="1" ht="12.75">
      <c r="G1080" s="449"/>
      <c r="H1080" s="98"/>
      <c r="I1080" s="98"/>
    </row>
    <row r="1081" spans="7:9" s="91" customFormat="1" ht="12.75">
      <c r="G1081" s="449"/>
      <c r="H1081" s="98"/>
      <c r="I1081" s="98"/>
    </row>
    <row r="1082" spans="7:9" s="91" customFormat="1" ht="12.75">
      <c r="G1082" s="449"/>
      <c r="H1082" s="98"/>
      <c r="I1082" s="98"/>
    </row>
    <row r="1083" spans="7:9" s="91" customFormat="1" ht="12.75">
      <c r="G1083" s="449"/>
      <c r="H1083" s="98"/>
      <c r="I1083" s="98"/>
    </row>
    <row r="1084" spans="7:9" s="91" customFormat="1" ht="12.75">
      <c r="G1084" s="449"/>
      <c r="H1084" s="98"/>
      <c r="I1084" s="98"/>
    </row>
    <row r="1085" spans="7:9" s="91" customFormat="1" ht="12.75">
      <c r="G1085" s="449"/>
      <c r="H1085" s="98"/>
      <c r="I1085" s="98"/>
    </row>
    <row r="1086" spans="7:9" s="91" customFormat="1" ht="12.75">
      <c r="G1086" s="449"/>
      <c r="H1086" s="98"/>
      <c r="I1086" s="98"/>
    </row>
    <row r="1087" spans="7:9" s="91" customFormat="1" ht="12.75">
      <c r="G1087" s="449"/>
      <c r="H1087" s="98"/>
      <c r="I1087" s="98"/>
    </row>
    <row r="1088" spans="7:9" s="91" customFormat="1" ht="12.75">
      <c r="G1088" s="449"/>
      <c r="H1088" s="98"/>
      <c r="I1088" s="98"/>
    </row>
    <row r="1089" spans="7:9" s="91" customFormat="1" ht="12.75">
      <c r="G1089" s="449"/>
      <c r="H1089" s="98"/>
      <c r="I1089" s="98"/>
    </row>
    <row r="1090" spans="7:9" s="91" customFormat="1" ht="12.75">
      <c r="G1090" s="449"/>
      <c r="H1090" s="98"/>
      <c r="I1090" s="98"/>
    </row>
    <row r="1091" spans="7:9" s="91" customFormat="1" ht="12.75">
      <c r="G1091" s="449"/>
      <c r="H1091" s="98"/>
      <c r="I1091" s="98"/>
    </row>
    <row r="1092" spans="7:9" s="91" customFormat="1" ht="12.75">
      <c r="G1092" s="449"/>
      <c r="H1092" s="98"/>
      <c r="I1092" s="98"/>
    </row>
    <row r="1093" spans="7:9" s="91" customFormat="1" ht="12.75">
      <c r="G1093" s="449"/>
      <c r="H1093" s="98"/>
      <c r="I1093" s="98"/>
    </row>
    <row r="1094" spans="7:9" s="91" customFormat="1" ht="12.75">
      <c r="G1094" s="449"/>
      <c r="H1094" s="98"/>
      <c r="I1094" s="98"/>
    </row>
    <row r="1095" spans="7:9" s="91" customFormat="1" ht="12.75">
      <c r="G1095" s="449"/>
      <c r="H1095" s="98"/>
      <c r="I1095" s="98"/>
    </row>
    <row r="1096" spans="7:9" s="91" customFormat="1" ht="12.75">
      <c r="G1096" s="449"/>
      <c r="H1096" s="98"/>
      <c r="I1096" s="98"/>
    </row>
    <row r="1097" spans="7:9" s="91" customFormat="1" ht="12.75">
      <c r="G1097" s="449"/>
      <c r="H1097" s="98"/>
      <c r="I1097" s="98"/>
    </row>
    <row r="1098" spans="7:9" s="91" customFormat="1" ht="12.75">
      <c r="G1098" s="449"/>
      <c r="H1098" s="98"/>
      <c r="I1098" s="98"/>
    </row>
    <row r="1099" spans="7:9" s="91" customFormat="1" ht="12.75">
      <c r="G1099" s="449"/>
      <c r="H1099" s="98"/>
      <c r="I1099" s="98"/>
    </row>
    <row r="1100" spans="7:9" s="91" customFormat="1" ht="12.75">
      <c r="G1100" s="449"/>
      <c r="H1100" s="98"/>
      <c r="I1100" s="98"/>
    </row>
    <row r="1101" spans="7:9" s="91" customFormat="1" ht="12.75">
      <c r="G1101" s="449"/>
      <c r="H1101" s="98"/>
      <c r="I1101" s="98"/>
    </row>
    <row r="1102" spans="7:9" s="91" customFormat="1" ht="12.75">
      <c r="G1102" s="449"/>
      <c r="H1102" s="98"/>
      <c r="I1102" s="98"/>
    </row>
    <row r="1103" spans="7:9" s="91" customFormat="1" ht="12.75">
      <c r="G1103" s="449"/>
      <c r="H1103" s="98"/>
      <c r="I1103" s="98"/>
    </row>
    <row r="1104" spans="7:9" s="91" customFormat="1" ht="12.75">
      <c r="G1104" s="449"/>
      <c r="H1104" s="98"/>
      <c r="I1104" s="98"/>
    </row>
    <row r="1105" spans="7:9" s="91" customFormat="1" ht="12.75">
      <c r="G1105" s="449"/>
      <c r="H1105" s="98"/>
      <c r="I1105" s="98"/>
    </row>
    <row r="1106" spans="7:9" s="91" customFormat="1" ht="12.75">
      <c r="G1106" s="449"/>
      <c r="H1106" s="98"/>
      <c r="I1106" s="98"/>
    </row>
    <row r="1107" spans="7:9" s="91" customFormat="1" ht="12.75">
      <c r="G1107" s="449"/>
      <c r="H1107" s="98"/>
      <c r="I1107" s="98"/>
    </row>
    <row r="1108" spans="7:9" s="91" customFormat="1" ht="12.75">
      <c r="G1108" s="449"/>
      <c r="H1108" s="98"/>
      <c r="I1108" s="98"/>
    </row>
    <row r="1109" spans="7:9" s="91" customFormat="1" ht="12.75">
      <c r="G1109" s="449"/>
      <c r="H1109" s="98"/>
      <c r="I1109" s="98"/>
    </row>
    <row r="1110" spans="7:9" s="91" customFormat="1" ht="12.75">
      <c r="G1110" s="449"/>
      <c r="H1110" s="98"/>
      <c r="I1110" s="98"/>
    </row>
    <row r="1111" spans="7:9" s="91" customFormat="1" ht="12.75">
      <c r="G1111" s="449"/>
      <c r="H1111" s="98"/>
      <c r="I1111" s="98"/>
    </row>
    <row r="1112" spans="7:9" s="91" customFormat="1" ht="12.75">
      <c r="G1112" s="449"/>
      <c r="H1112" s="98"/>
      <c r="I1112" s="98"/>
    </row>
    <row r="1113" spans="7:9" s="91" customFormat="1" ht="12.75">
      <c r="G1113" s="449"/>
      <c r="H1113" s="98"/>
      <c r="I1113" s="98"/>
    </row>
    <row r="1114" spans="7:9" s="91" customFormat="1" ht="12.75">
      <c r="G1114" s="449"/>
      <c r="H1114" s="98"/>
      <c r="I1114" s="98"/>
    </row>
    <row r="1115" spans="7:9" s="91" customFormat="1" ht="12.75">
      <c r="G1115" s="449"/>
      <c r="H1115" s="98"/>
      <c r="I1115" s="98"/>
    </row>
    <row r="1116" spans="7:9" s="91" customFormat="1" ht="12.75">
      <c r="G1116" s="449"/>
      <c r="H1116" s="98"/>
      <c r="I1116" s="98"/>
    </row>
    <row r="1117" spans="7:9" s="91" customFormat="1" ht="12.75">
      <c r="G1117" s="449"/>
      <c r="H1117" s="98"/>
      <c r="I1117" s="98"/>
    </row>
    <row r="1118" spans="7:9" s="91" customFormat="1" ht="12.75">
      <c r="G1118" s="449"/>
      <c r="H1118" s="98"/>
      <c r="I1118" s="98"/>
    </row>
    <row r="1119" spans="7:9" s="91" customFormat="1" ht="12.75">
      <c r="G1119" s="449"/>
      <c r="H1119" s="98"/>
      <c r="I1119" s="98"/>
    </row>
    <row r="1120" spans="7:9" s="91" customFormat="1" ht="12.75">
      <c r="G1120" s="449"/>
      <c r="H1120" s="98"/>
      <c r="I1120" s="98"/>
    </row>
    <row r="1121" spans="7:9" s="91" customFormat="1" ht="12.75">
      <c r="G1121" s="449"/>
      <c r="H1121" s="98"/>
      <c r="I1121" s="98"/>
    </row>
    <row r="1122" spans="7:9" s="91" customFormat="1" ht="12.75">
      <c r="G1122" s="449"/>
      <c r="H1122" s="98"/>
      <c r="I1122" s="98"/>
    </row>
    <row r="1123" spans="7:9" s="91" customFormat="1" ht="12.75">
      <c r="G1123" s="449"/>
      <c r="H1123" s="98"/>
      <c r="I1123" s="98"/>
    </row>
    <row r="1124" spans="7:9" s="91" customFormat="1" ht="12.75">
      <c r="G1124" s="449"/>
      <c r="H1124" s="98"/>
      <c r="I1124" s="98"/>
    </row>
    <row r="1125" spans="7:9" s="91" customFormat="1" ht="12.75">
      <c r="G1125" s="449"/>
      <c r="H1125" s="98"/>
      <c r="I1125" s="98"/>
    </row>
    <row r="1126" spans="7:9" s="91" customFormat="1" ht="12.75">
      <c r="G1126" s="449"/>
      <c r="H1126" s="98"/>
      <c r="I1126" s="98"/>
    </row>
    <row r="1127" spans="7:9" s="91" customFormat="1" ht="12.75">
      <c r="G1127" s="449"/>
      <c r="H1127" s="98"/>
      <c r="I1127" s="98"/>
    </row>
    <row r="1128" spans="7:9" s="91" customFormat="1" ht="12.75">
      <c r="G1128" s="449"/>
      <c r="H1128" s="98"/>
      <c r="I1128" s="98"/>
    </row>
    <row r="1129" spans="7:9" s="91" customFormat="1" ht="12.75">
      <c r="G1129" s="449"/>
      <c r="H1129" s="98"/>
      <c r="I1129" s="98"/>
    </row>
    <row r="1130" spans="7:9" s="91" customFormat="1" ht="12.75">
      <c r="G1130" s="449"/>
      <c r="H1130" s="98"/>
      <c r="I1130" s="98"/>
    </row>
    <row r="1131" spans="7:9" s="91" customFormat="1" ht="12.75">
      <c r="G1131" s="449"/>
      <c r="H1131" s="98"/>
      <c r="I1131" s="98"/>
    </row>
    <row r="1132" spans="7:9" s="91" customFormat="1" ht="12.75">
      <c r="G1132" s="449"/>
      <c r="H1132" s="98"/>
      <c r="I1132" s="98"/>
    </row>
    <row r="1133" spans="7:9" s="91" customFormat="1" ht="12.75">
      <c r="G1133" s="449"/>
      <c r="H1133" s="98"/>
      <c r="I1133" s="98"/>
    </row>
    <row r="1134" spans="7:9" s="91" customFormat="1" ht="12.75">
      <c r="G1134" s="449"/>
      <c r="H1134" s="98"/>
      <c r="I1134" s="98"/>
    </row>
    <row r="1135" spans="7:9" s="91" customFormat="1" ht="12.75">
      <c r="G1135" s="449"/>
      <c r="H1135" s="98"/>
      <c r="I1135" s="98"/>
    </row>
    <row r="1136" spans="7:9" s="91" customFormat="1" ht="12.75">
      <c r="G1136" s="449"/>
      <c r="H1136" s="98"/>
      <c r="I1136" s="98"/>
    </row>
    <row r="1137" spans="7:9" s="91" customFormat="1" ht="12.75">
      <c r="G1137" s="449"/>
      <c r="H1137" s="98"/>
      <c r="I1137" s="98"/>
    </row>
    <row r="1138" spans="7:9" s="91" customFormat="1" ht="12.75">
      <c r="G1138" s="449"/>
      <c r="H1138" s="98"/>
      <c r="I1138" s="98"/>
    </row>
    <row r="1139" spans="7:9" s="91" customFormat="1" ht="12.75">
      <c r="G1139" s="449"/>
      <c r="H1139" s="98"/>
      <c r="I1139" s="98"/>
    </row>
    <row r="1140" spans="7:9" s="91" customFormat="1" ht="12.75">
      <c r="G1140" s="449"/>
      <c r="H1140" s="98"/>
      <c r="I1140" s="98"/>
    </row>
    <row r="1141" spans="7:9" s="91" customFormat="1" ht="12.75">
      <c r="G1141" s="449"/>
      <c r="H1141" s="98"/>
      <c r="I1141" s="98"/>
    </row>
    <row r="1142" spans="7:9" s="91" customFormat="1" ht="12.75">
      <c r="G1142" s="449"/>
      <c r="H1142" s="98"/>
      <c r="I1142" s="98"/>
    </row>
    <row r="1143" spans="7:9" s="91" customFormat="1" ht="12.75">
      <c r="G1143" s="449"/>
      <c r="H1143" s="98"/>
      <c r="I1143" s="98"/>
    </row>
    <row r="1144" spans="7:9" s="91" customFormat="1" ht="12.75">
      <c r="G1144" s="449"/>
      <c r="H1144" s="98"/>
      <c r="I1144" s="98"/>
    </row>
    <row r="1145" spans="7:9" s="91" customFormat="1" ht="12.75">
      <c r="G1145" s="449"/>
      <c r="H1145" s="98"/>
      <c r="I1145" s="98"/>
    </row>
    <row r="1146" spans="7:9" s="91" customFormat="1" ht="12.75">
      <c r="G1146" s="449"/>
      <c r="H1146" s="98"/>
      <c r="I1146" s="98"/>
    </row>
    <row r="1147" spans="7:9" s="91" customFormat="1" ht="12.75">
      <c r="G1147" s="449"/>
      <c r="H1147" s="98"/>
      <c r="I1147" s="98"/>
    </row>
    <row r="1148" spans="7:9" s="91" customFormat="1" ht="12.75">
      <c r="G1148" s="449"/>
      <c r="H1148" s="98"/>
      <c r="I1148" s="98"/>
    </row>
    <row r="1149" spans="7:9" s="91" customFormat="1" ht="12.75">
      <c r="G1149" s="449"/>
      <c r="H1149" s="98"/>
      <c r="I1149" s="98"/>
    </row>
    <row r="1150" spans="7:9" s="91" customFormat="1" ht="12.75">
      <c r="G1150" s="449"/>
      <c r="H1150" s="98"/>
      <c r="I1150" s="98"/>
    </row>
    <row r="1151" spans="7:9" s="91" customFormat="1" ht="12.75">
      <c r="G1151" s="449"/>
      <c r="H1151" s="98"/>
      <c r="I1151" s="98"/>
    </row>
    <row r="1152" spans="7:9" s="91" customFormat="1" ht="12.75">
      <c r="G1152" s="449"/>
      <c r="H1152" s="98"/>
      <c r="I1152" s="98"/>
    </row>
    <row r="1153" spans="7:9" s="91" customFormat="1" ht="12.75">
      <c r="G1153" s="449"/>
      <c r="H1153" s="98"/>
      <c r="I1153" s="98"/>
    </row>
    <row r="1154" spans="7:9" s="91" customFormat="1" ht="12.75">
      <c r="G1154" s="449"/>
      <c r="H1154" s="98"/>
      <c r="I1154" s="98"/>
    </row>
    <row r="1155" spans="7:9" s="91" customFormat="1" ht="12.75">
      <c r="G1155" s="449"/>
      <c r="H1155" s="98"/>
      <c r="I1155" s="98"/>
    </row>
    <row r="1156" spans="7:9" s="91" customFormat="1" ht="12.75">
      <c r="G1156" s="449"/>
      <c r="H1156" s="98"/>
      <c r="I1156" s="98"/>
    </row>
    <row r="1157" spans="7:9" s="91" customFormat="1" ht="12.75">
      <c r="G1157" s="449"/>
      <c r="H1157" s="98"/>
      <c r="I1157" s="98"/>
    </row>
    <row r="1158" spans="7:9" s="91" customFormat="1" ht="12.75">
      <c r="G1158" s="449"/>
      <c r="H1158" s="98"/>
      <c r="I1158" s="98"/>
    </row>
    <row r="1159" spans="7:9" s="91" customFormat="1" ht="12.75">
      <c r="G1159" s="449"/>
      <c r="H1159" s="98"/>
      <c r="I1159" s="98"/>
    </row>
    <row r="1160" spans="7:9" s="91" customFormat="1" ht="12.75">
      <c r="G1160" s="449"/>
      <c r="H1160" s="98"/>
      <c r="I1160" s="98"/>
    </row>
    <row r="1161" spans="7:9" s="91" customFormat="1" ht="12.75">
      <c r="G1161" s="449"/>
      <c r="H1161" s="98"/>
      <c r="I1161" s="98"/>
    </row>
    <row r="1162" spans="7:9" s="91" customFormat="1" ht="12.75">
      <c r="G1162" s="449"/>
      <c r="H1162" s="98"/>
      <c r="I1162" s="98"/>
    </row>
    <row r="1163" spans="7:9" s="91" customFormat="1" ht="12.75">
      <c r="G1163" s="449"/>
      <c r="H1163" s="98"/>
      <c r="I1163" s="98"/>
    </row>
    <row r="1164" spans="7:9" s="91" customFormat="1" ht="12.75">
      <c r="G1164" s="449"/>
      <c r="H1164" s="98"/>
      <c r="I1164" s="98"/>
    </row>
    <row r="1165" spans="7:9" s="91" customFormat="1" ht="12.75">
      <c r="G1165" s="449"/>
      <c r="H1165" s="98"/>
      <c r="I1165" s="98"/>
    </row>
    <row r="1166" spans="7:9" s="91" customFormat="1" ht="12.75">
      <c r="G1166" s="449"/>
      <c r="H1166" s="98"/>
      <c r="I1166" s="98"/>
    </row>
    <row r="1167" spans="7:9" s="91" customFormat="1" ht="12.75">
      <c r="G1167" s="449"/>
      <c r="H1167" s="98"/>
      <c r="I1167" s="98"/>
    </row>
    <row r="1168" spans="7:9" s="91" customFormat="1" ht="12.75">
      <c r="G1168" s="449"/>
      <c r="H1168" s="98"/>
      <c r="I1168" s="98"/>
    </row>
    <row r="1169" spans="7:9" s="91" customFormat="1" ht="12.75">
      <c r="G1169" s="449"/>
      <c r="H1169" s="98"/>
      <c r="I1169" s="98"/>
    </row>
    <row r="1170" spans="7:9" s="91" customFormat="1" ht="12.75">
      <c r="G1170" s="449"/>
      <c r="H1170" s="98"/>
      <c r="I1170" s="98"/>
    </row>
    <row r="1171" spans="7:9" s="91" customFormat="1" ht="12.75">
      <c r="G1171" s="449"/>
      <c r="H1171" s="98"/>
      <c r="I1171" s="98"/>
    </row>
    <row r="1172" spans="7:9" s="91" customFormat="1" ht="12.75">
      <c r="G1172" s="449"/>
      <c r="H1172" s="98"/>
      <c r="I1172" s="98"/>
    </row>
    <row r="1173" spans="7:9" s="91" customFormat="1" ht="12.75">
      <c r="G1173" s="449"/>
      <c r="H1173" s="98"/>
      <c r="I1173" s="98"/>
    </row>
    <row r="1174" spans="7:9" s="91" customFormat="1" ht="12.75">
      <c r="G1174" s="449"/>
      <c r="H1174" s="98"/>
      <c r="I1174" s="98"/>
    </row>
    <row r="1175" spans="7:9" s="91" customFormat="1" ht="12.75">
      <c r="G1175" s="449"/>
      <c r="H1175" s="98"/>
      <c r="I1175" s="98"/>
    </row>
    <row r="1176" spans="7:9" s="91" customFormat="1" ht="12.75">
      <c r="G1176" s="449"/>
      <c r="H1176" s="98"/>
      <c r="I1176" s="98"/>
    </row>
    <row r="1177" spans="7:9" s="91" customFormat="1" ht="12.75">
      <c r="G1177" s="449"/>
      <c r="H1177" s="98"/>
      <c r="I1177" s="98"/>
    </row>
    <row r="1178" spans="7:9" s="91" customFormat="1" ht="12.75">
      <c r="G1178" s="449"/>
      <c r="H1178" s="98"/>
      <c r="I1178" s="98"/>
    </row>
    <row r="1179" spans="7:9" s="91" customFormat="1" ht="12.75">
      <c r="G1179" s="449"/>
      <c r="H1179" s="98"/>
      <c r="I1179" s="98"/>
    </row>
    <row r="1180" spans="7:9" s="91" customFormat="1" ht="12.75">
      <c r="G1180" s="449"/>
      <c r="H1180" s="98"/>
      <c r="I1180" s="98"/>
    </row>
    <row r="1181" spans="7:9" s="91" customFormat="1" ht="12.75">
      <c r="G1181" s="449"/>
      <c r="H1181" s="98"/>
      <c r="I1181" s="98"/>
    </row>
    <row r="1182" spans="7:9" s="91" customFormat="1" ht="12.75">
      <c r="G1182" s="449"/>
      <c r="H1182" s="98"/>
      <c r="I1182" s="98"/>
    </row>
    <row r="1183" spans="7:9" s="91" customFormat="1" ht="12.75">
      <c r="G1183" s="449"/>
      <c r="H1183" s="98"/>
      <c r="I1183" s="98"/>
    </row>
    <row r="1184" spans="7:9" s="91" customFormat="1" ht="12.75">
      <c r="G1184" s="449"/>
      <c r="H1184" s="98"/>
      <c r="I1184" s="98"/>
    </row>
    <row r="1185" spans="7:9" s="91" customFormat="1" ht="12.75">
      <c r="G1185" s="449"/>
      <c r="H1185" s="98"/>
      <c r="I1185" s="98"/>
    </row>
    <row r="1186" spans="7:9" s="91" customFormat="1" ht="12.75">
      <c r="G1186" s="449"/>
      <c r="H1186" s="98"/>
      <c r="I1186" s="98"/>
    </row>
    <row r="1187" spans="7:9" s="91" customFormat="1" ht="12.75">
      <c r="G1187" s="449"/>
      <c r="H1187" s="98"/>
      <c r="I1187" s="98"/>
    </row>
    <row r="1188" spans="7:9" s="91" customFormat="1" ht="12.75">
      <c r="G1188" s="449"/>
      <c r="H1188" s="98"/>
      <c r="I1188" s="98"/>
    </row>
    <row r="1189" spans="7:9" s="91" customFormat="1" ht="12.75">
      <c r="G1189" s="449"/>
      <c r="H1189" s="98"/>
      <c r="I1189" s="98"/>
    </row>
    <row r="1190" spans="7:9" s="91" customFormat="1" ht="12.75">
      <c r="G1190" s="449"/>
      <c r="H1190" s="98"/>
      <c r="I1190" s="98"/>
    </row>
    <row r="1191" spans="7:9" s="91" customFormat="1" ht="12.75">
      <c r="G1191" s="449"/>
      <c r="H1191" s="98"/>
      <c r="I1191" s="98"/>
    </row>
    <row r="1192" spans="7:9" s="91" customFormat="1" ht="12.75">
      <c r="G1192" s="449"/>
      <c r="H1192" s="98"/>
      <c r="I1192" s="98"/>
    </row>
    <row r="1193" spans="7:9" s="91" customFormat="1" ht="12.75">
      <c r="G1193" s="449"/>
      <c r="H1193" s="98"/>
      <c r="I1193" s="98"/>
    </row>
    <row r="1194" spans="7:9" s="91" customFormat="1" ht="12.75">
      <c r="G1194" s="449"/>
      <c r="H1194" s="98"/>
      <c r="I1194" s="98"/>
    </row>
    <row r="1195" spans="7:9" s="91" customFormat="1" ht="12.75">
      <c r="G1195" s="449"/>
      <c r="H1195" s="98"/>
      <c r="I1195" s="98"/>
    </row>
    <row r="1196" spans="7:9" s="91" customFormat="1" ht="12.75">
      <c r="G1196" s="449"/>
      <c r="H1196" s="98"/>
      <c r="I1196" s="98"/>
    </row>
    <row r="1197" spans="7:9" s="91" customFormat="1" ht="12.75">
      <c r="G1197" s="449"/>
      <c r="H1197" s="98"/>
      <c r="I1197" s="98"/>
    </row>
    <row r="1198" spans="7:9" s="91" customFormat="1" ht="12.75">
      <c r="G1198" s="449"/>
      <c r="H1198" s="98"/>
      <c r="I1198" s="98"/>
    </row>
    <row r="1199" spans="7:9" s="91" customFormat="1" ht="12.75">
      <c r="G1199" s="449"/>
      <c r="H1199" s="98"/>
      <c r="I1199" s="98"/>
    </row>
    <row r="1200" spans="7:9" s="91" customFormat="1" ht="12.75">
      <c r="G1200" s="449"/>
      <c r="H1200" s="98"/>
      <c r="I1200" s="98"/>
    </row>
    <row r="1201" spans="7:9" s="91" customFormat="1" ht="12.75">
      <c r="G1201" s="449"/>
      <c r="H1201" s="98"/>
      <c r="I1201" s="98"/>
    </row>
    <row r="1202" spans="7:9" s="91" customFormat="1" ht="12.75">
      <c r="G1202" s="449"/>
      <c r="H1202" s="98"/>
      <c r="I1202" s="98"/>
    </row>
    <row r="1203" spans="7:9" s="91" customFormat="1" ht="12.75">
      <c r="G1203" s="449"/>
      <c r="H1203" s="98"/>
      <c r="I1203" s="98"/>
    </row>
    <row r="1204" spans="7:9" s="91" customFormat="1" ht="12.75">
      <c r="G1204" s="449"/>
      <c r="H1204" s="98"/>
      <c r="I1204" s="98"/>
    </row>
    <row r="1205" spans="7:9" s="91" customFormat="1" ht="12.75">
      <c r="G1205" s="449"/>
      <c r="H1205" s="98"/>
      <c r="I1205" s="98"/>
    </row>
    <row r="1206" spans="7:9" s="91" customFormat="1" ht="12.75">
      <c r="G1206" s="449"/>
      <c r="H1206" s="98"/>
      <c r="I1206" s="98"/>
    </row>
    <row r="1207" spans="7:9" s="91" customFormat="1" ht="12.75">
      <c r="G1207" s="449"/>
      <c r="H1207" s="98"/>
      <c r="I1207" s="98"/>
    </row>
    <row r="1208" spans="7:9" s="91" customFormat="1" ht="12.75">
      <c r="G1208" s="449"/>
      <c r="H1208" s="98"/>
      <c r="I1208" s="98"/>
    </row>
    <row r="1209" spans="7:9" s="91" customFormat="1" ht="12.75">
      <c r="G1209" s="449"/>
      <c r="H1209" s="98"/>
      <c r="I1209" s="98"/>
    </row>
    <row r="1210" spans="7:9" s="91" customFormat="1" ht="12.75">
      <c r="G1210" s="449"/>
      <c r="H1210" s="98"/>
      <c r="I1210" s="98"/>
    </row>
    <row r="1211" spans="7:9" s="91" customFormat="1" ht="12.75">
      <c r="G1211" s="449"/>
      <c r="H1211" s="98"/>
      <c r="I1211" s="98"/>
    </row>
    <row r="1212" spans="7:9" s="91" customFormat="1" ht="12.75">
      <c r="G1212" s="449"/>
      <c r="H1212" s="98"/>
      <c r="I1212" s="98"/>
    </row>
    <row r="1213" spans="7:9" s="91" customFormat="1" ht="12.75">
      <c r="G1213" s="449"/>
      <c r="H1213" s="98"/>
      <c r="I1213" s="98"/>
    </row>
    <row r="1214" spans="7:9" s="91" customFormat="1" ht="12.75">
      <c r="G1214" s="449"/>
      <c r="H1214" s="98"/>
      <c r="I1214" s="98"/>
    </row>
    <row r="1215" spans="7:9" s="91" customFormat="1" ht="12.75">
      <c r="G1215" s="449"/>
      <c r="H1215" s="98"/>
      <c r="I1215" s="98"/>
    </row>
    <row r="1216" spans="7:9" s="91" customFormat="1" ht="12.75">
      <c r="G1216" s="449"/>
      <c r="H1216" s="98"/>
      <c r="I1216" s="98"/>
    </row>
    <row r="1217" spans="7:9" s="91" customFormat="1" ht="12.75">
      <c r="G1217" s="449"/>
      <c r="H1217" s="98"/>
      <c r="I1217" s="98"/>
    </row>
    <row r="1218" spans="7:9" s="91" customFormat="1" ht="12.75">
      <c r="G1218" s="449"/>
      <c r="H1218" s="98"/>
      <c r="I1218" s="98"/>
    </row>
    <row r="1219" spans="7:9" s="91" customFormat="1" ht="12.75">
      <c r="G1219" s="449"/>
      <c r="H1219" s="98"/>
      <c r="I1219" s="98"/>
    </row>
    <row r="1220" spans="7:9" s="91" customFormat="1" ht="12.75">
      <c r="G1220" s="449"/>
      <c r="H1220" s="98"/>
      <c r="I1220" s="98"/>
    </row>
    <row r="1221" spans="7:9" s="91" customFormat="1" ht="12.75">
      <c r="G1221" s="449"/>
      <c r="H1221" s="98"/>
      <c r="I1221" s="98"/>
    </row>
    <row r="1222" spans="7:9" s="91" customFormat="1" ht="12.75">
      <c r="G1222" s="449"/>
      <c r="H1222" s="98"/>
      <c r="I1222" s="98"/>
    </row>
    <row r="1223" spans="7:9" s="91" customFormat="1" ht="12.75">
      <c r="G1223" s="449"/>
      <c r="H1223" s="98"/>
      <c r="I1223" s="98"/>
    </row>
    <row r="1224" spans="7:9" s="91" customFormat="1" ht="12.75">
      <c r="G1224" s="449"/>
      <c r="H1224" s="98"/>
      <c r="I1224" s="98"/>
    </row>
    <row r="1225" spans="7:9" s="91" customFormat="1" ht="12.75">
      <c r="G1225" s="449"/>
      <c r="H1225" s="98"/>
      <c r="I1225" s="98"/>
    </row>
    <row r="1226" spans="7:9" s="91" customFormat="1" ht="12.75">
      <c r="G1226" s="449"/>
      <c r="H1226" s="98"/>
      <c r="I1226" s="98"/>
    </row>
    <row r="1227" spans="7:9" s="91" customFormat="1" ht="12.75">
      <c r="G1227" s="449"/>
      <c r="H1227" s="98"/>
      <c r="I1227" s="98"/>
    </row>
    <row r="1228" spans="7:9" s="91" customFormat="1" ht="12.75">
      <c r="G1228" s="449"/>
      <c r="H1228" s="98"/>
      <c r="I1228" s="98"/>
    </row>
    <row r="1229" spans="7:9" s="91" customFormat="1" ht="12.75">
      <c r="G1229" s="449"/>
      <c r="H1229" s="98"/>
      <c r="I1229" s="98"/>
    </row>
    <row r="1230" spans="7:9" s="91" customFormat="1" ht="12.75">
      <c r="G1230" s="449"/>
      <c r="H1230" s="98"/>
      <c r="I1230" s="98"/>
    </row>
    <row r="1231" spans="7:9" s="91" customFormat="1" ht="12.75">
      <c r="G1231" s="449"/>
      <c r="H1231" s="98"/>
      <c r="I1231" s="98"/>
    </row>
    <row r="1232" spans="7:9" s="91" customFormat="1" ht="12.75">
      <c r="G1232" s="449"/>
      <c r="H1232" s="98"/>
      <c r="I1232" s="98"/>
    </row>
    <row r="1233" spans="7:9" s="91" customFormat="1" ht="12.75">
      <c r="G1233" s="449"/>
      <c r="H1233" s="98"/>
      <c r="I1233" s="98"/>
    </row>
    <row r="1234" spans="7:9" s="91" customFormat="1" ht="12.75">
      <c r="G1234" s="449"/>
      <c r="H1234" s="98"/>
      <c r="I1234" s="98"/>
    </row>
    <row r="1235" spans="7:9" s="91" customFormat="1" ht="12.75">
      <c r="G1235" s="449"/>
      <c r="H1235" s="98"/>
      <c r="I1235" s="98"/>
    </row>
    <row r="1236" spans="7:9" s="91" customFormat="1" ht="12.75">
      <c r="G1236" s="449"/>
      <c r="H1236" s="98"/>
      <c r="I1236" s="98"/>
    </row>
    <row r="1237" spans="7:9" s="91" customFormat="1" ht="12.75">
      <c r="G1237" s="449"/>
      <c r="H1237" s="98"/>
      <c r="I1237" s="98"/>
    </row>
    <row r="1238" spans="7:9" s="91" customFormat="1" ht="12.75">
      <c r="G1238" s="449"/>
      <c r="H1238" s="98"/>
      <c r="I1238" s="98"/>
    </row>
    <row r="1239" spans="7:9" s="91" customFormat="1" ht="12.75">
      <c r="G1239" s="449"/>
      <c r="H1239" s="98"/>
      <c r="I1239" s="98"/>
    </row>
    <row r="1240" spans="7:9" s="91" customFormat="1" ht="12.75">
      <c r="G1240" s="449"/>
      <c r="H1240" s="98"/>
      <c r="I1240" s="98"/>
    </row>
    <row r="1241" spans="7:9" s="91" customFormat="1" ht="12.75">
      <c r="G1241" s="449"/>
      <c r="H1241" s="98"/>
      <c r="I1241" s="98"/>
    </row>
    <row r="1242" spans="7:9" s="91" customFormat="1" ht="12.75">
      <c r="G1242" s="449"/>
      <c r="H1242" s="98"/>
      <c r="I1242" s="98"/>
    </row>
    <row r="1243" spans="7:9" s="91" customFormat="1" ht="12.75">
      <c r="G1243" s="449"/>
      <c r="H1243" s="98"/>
      <c r="I1243" s="98"/>
    </row>
    <row r="1244" spans="7:9" s="91" customFormat="1" ht="12.75">
      <c r="G1244" s="449"/>
      <c r="H1244" s="98"/>
      <c r="I1244" s="98"/>
    </row>
    <row r="1245" spans="7:9" s="91" customFormat="1" ht="12.75">
      <c r="G1245" s="449"/>
      <c r="H1245" s="98"/>
      <c r="I1245" s="98"/>
    </row>
    <row r="1246" spans="7:9" s="91" customFormat="1" ht="12.75">
      <c r="G1246" s="449"/>
      <c r="H1246" s="98"/>
      <c r="I1246" s="98"/>
    </row>
    <row r="1247" spans="7:9" s="91" customFormat="1" ht="12.75">
      <c r="G1247" s="449"/>
      <c r="H1247" s="98"/>
      <c r="I1247" s="98"/>
    </row>
    <row r="1248" spans="7:9" s="91" customFormat="1" ht="12.75">
      <c r="G1248" s="449"/>
      <c r="H1248" s="98"/>
      <c r="I1248" s="98"/>
    </row>
    <row r="1249" spans="7:9" s="91" customFormat="1" ht="12.75">
      <c r="G1249" s="449"/>
      <c r="H1249" s="98"/>
      <c r="I1249" s="98"/>
    </row>
    <row r="1250" spans="7:9" s="91" customFormat="1" ht="12.75">
      <c r="G1250" s="449"/>
      <c r="H1250" s="98"/>
      <c r="I1250" s="98"/>
    </row>
    <row r="1251" spans="7:9" s="91" customFormat="1" ht="12.75">
      <c r="G1251" s="449"/>
      <c r="H1251" s="98"/>
      <c r="I1251" s="98"/>
    </row>
    <row r="1252" spans="7:9" s="91" customFormat="1" ht="12.75">
      <c r="G1252" s="449"/>
      <c r="H1252" s="98"/>
      <c r="I1252" s="98"/>
    </row>
    <row r="1253" spans="7:9" s="91" customFormat="1" ht="12.75">
      <c r="G1253" s="449"/>
      <c r="H1253" s="98"/>
      <c r="I1253" s="98"/>
    </row>
    <row r="1254" spans="7:9" s="91" customFormat="1" ht="12.75">
      <c r="G1254" s="449"/>
      <c r="H1254" s="98"/>
      <c r="I1254" s="98"/>
    </row>
    <row r="1255" spans="7:9" s="91" customFormat="1" ht="12.75">
      <c r="G1255" s="449"/>
      <c r="H1255" s="98"/>
      <c r="I1255" s="98"/>
    </row>
    <row r="1256" spans="7:9" s="91" customFormat="1" ht="12.75">
      <c r="G1256" s="449"/>
      <c r="H1256" s="98"/>
      <c r="I1256" s="98"/>
    </row>
    <row r="1257" spans="7:9" s="91" customFormat="1" ht="12.75">
      <c r="G1257" s="449"/>
      <c r="H1257" s="98"/>
      <c r="I1257" s="98"/>
    </row>
    <row r="1258" spans="7:9" s="91" customFormat="1" ht="12.75">
      <c r="G1258" s="449"/>
      <c r="H1258" s="98"/>
      <c r="I1258" s="98"/>
    </row>
    <row r="1259" spans="7:9" s="91" customFormat="1" ht="12.75">
      <c r="G1259" s="449"/>
      <c r="H1259" s="98"/>
      <c r="I1259" s="98"/>
    </row>
    <row r="1260" spans="7:9" s="91" customFormat="1" ht="12.75">
      <c r="G1260" s="449"/>
      <c r="H1260" s="98"/>
      <c r="I1260" s="98"/>
    </row>
    <row r="1261" spans="7:9" s="91" customFormat="1" ht="12.75">
      <c r="G1261" s="449"/>
      <c r="H1261" s="98"/>
      <c r="I1261" s="98"/>
    </row>
    <row r="1262" spans="7:9" s="91" customFormat="1" ht="12.75">
      <c r="G1262" s="449"/>
      <c r="H1262" s="98"/>
      <c r="I1262" s="98"/>
    </row>
    <row r="1263" spans="7:9" s="91" customFormat="1" ht="12.75">
      <c r="G1263" s="449"/>
      <c r="H1263" s="98"/>
      <c r="I1263" s="98"/>
    </row>
    <row r="1264" spans="7:9" s="91" customFormat="1" ht="12.75">
      <c r="G1264" s="449"/>
      <c r="H1264" s="98"/>
      <c r="I1264" s="98"/>
    </row>
    <row r="1265" spans="7:9" s="91" customFormat="1" ht="12.75">
      <c r="G1265" s="449"/>
      <c r="H1265" s="98"/>
      <c r="I1265" s="98"/>
    </row>
    <row r="1266" spans="7:9" s="91" customFormat="1" ht="12.75">
      <c r="G1266" s="449"/>
      <c r="H1266" s="98"/>
      <c r="I1266" s="98"/>
    </row>
    <row r="1267" spans="7:9" s="91" customFormat="1" ht="12.75">
      <c r="G1267" s="449"/>
      <c r="H1267" s="98"/>
      <c r="I1267" s="98"/>
    </row>
    <row r="1268" spans="7:9" s="91" customFormat="1" ht="12.75">
      <c r="G1268" s="449"/>
      <c r="H1268" s="98"/>
      <c r="I1268" s="98"/>
    </row>
    <row r="1269" spans="7:9" s="91" customFormat="1" ht="12.75">
      <c r="G1269" s="449"/>
      <c r="H1269" s="98"/>
      <c r="I1269" s="98"/>
    </row>
    <row r="1270" spans="7:9" s="91" customFormat="1" ht="12.75">
      <c r="G1270" s="449"/>
      <c r="H1270" s="98"/>
      <c r="I1270" s="98"/>
    </row>
    <row r="1271" spans="7:9" s="91" customFormat="1" ht="12.75">
      <c r="G1271" s="449"/>
      <c r="H1271" s="98"/>
      <c r="I1271" s="98"/>
    </row>
    <row r="1272" spans="7:9" s="91" customFormat="1" ht="12.75">
      <c r="G1272" s="449"/>
      <c r="H1272" s="98"/>
      <c r="I1272" s="98"/>
    </row>
    <row r="1273" spans="7:9" s="91" customFormat="1" ht="12.75">
      <c r="G1273" s="449"/>
      <c r="H1273" s="98"/>
      <c r="I1273" s="98"/>
    </row>
    <row r="1274" spans="7:9" s="91" customFormat="1" ht="12.75">
      <c r="G1274" s="449"/>
      <c r="H1274" s="98"/>
      <c r="I1274" s="98"/>
    </row>
    <row r="1275" spans="7:9" s="91" customFormat="1" ht="12.75">
      <c r="G1275" s="449"/>
      <c r="H1275" s="98"/>
      <c r="I1275" s="98"/>
    </row>
    <row r="1276" spans="7:9" s="91" customFormat="1" ht="12.75">
      <c r="G1276" s="449"/>
      <c r="H1276" s="98"/>
      <c r="I1276" s="98"/>
    </row>
    <row r="1277" spans="7:9" s="91" customFormat="1" ht="12.75">
      <c r="G1277" s="449"/>
      <c r="H1277" s="98"/>
      <c r="I1277" s="98"/>
    </row>
    <row r="1278" spans="7:9" s="91" customFormat="1" ht="12.75">
      <c r="G1278" s="449"/>
      <c r="H1278" s="98"/>
      <c r="I1278" s="98"/>
    </row>
    <row r="1279" spans="7:9" s="91" customFormat="1" ht="12.75">
      <c r="G1279" s="449"/>
      <c r="H1279" s="98"/>
      <c r="I1279" s="98"/>
    </row>
    <row r="1280" spans="7:9" s="91" customFormat="1" ht="12.75">
      <c r="G1280" s="449"/>
      <c r="H1280" s="98"/>
      <c r="I1280" s="98"/>
    </row>
    <row r="1281" spans="7:9" s="91" customFormat="1" ht="12.75">
      <c r="G1281" s="449"/>
      <c r="H1281" s="98"/>
      <c r="I1281" s="98"/>
    </row>
    <row r="1282" spans="7:9" s="91" customFormat="1" ht="12.75">
      <c r="G1282" s="449"/>
      <c r="H1282" s="98"/>
      <c r="I1282" s="98"/>
    </row>
    <row r="1283" spans="7:9" s="91" customFormat="1" ht="12.75">
      <c r="G1283" s="449"/>
      <c r="H1283" s="98"/>
      <c r="I1283" s="98"/>
    </row>
    <row r="1284" spans="7:9" s="91" customFormat="1" ht="12.75">
      <c r="G1284" s="449"/>
      <c r="H1284" s="98"/>
      <c r="I1284" s="98"/>
    </row>
    <row r="1285" spans="7:9" s="91" customFormat="1" ht="12.75">
      <c r="G1285" s="449"/>
      <c r="H1285" s="98"/>
      <c r="I1285" s="98"/>
    </row>
    <row r="1286" spans="7:9" s="91" customFormat="1" ht="12.75">
      <c r="G1286" s="449"/>
      <c r="H1286" s="98"/>
      <c r="I1286" s="98"/>
    </row>
    <row r="1287" spans="7:9" s="91" customFormat="1" ht="12.75">
      <c r="G1287" s="449"/>
      <c r="H1287" s="98"/>
      <c r="I1287" s="98"/>
    </row>
    <row r="1288" spans="7:9" s="91" customFormat="1" ht="12.75">
      <c r="G1288" s="449"/>
      <c r="H1288" s="98"/>
      <c r="I1288" s="98"/>
    </row>
    <row r="1289" spans="7:9" s="91" customFormat="1" ht="12.75">
      <c r="G1289" s="449"/>
      <c r="H1289" s="98"/>
      <c r="I1289" s="98"/>
    </row>
    <row r="1290" spans="7:9" s="91" customFormat="1" ht="12.75">
      <c r="G1290" s="449"/>
      <c r="H1290" s="98"/>
      <c r="I1290" s="98"/>
    </row>
    <row r="1291" spans="7:9" s="91" customFormat="1" ht="12.75">
      <c r="G1291" s="449"/>
      <c r="H1291" s="98"/>
      <c r="I1291" s="98"/>
    </row>
    <row r="1292" spans="7:9" s="91" customFormat="1" ht="12.75">
      <c r="G1292" s="449"/>
      <c r="H1292" s="98"/>
      <c r="I1292" s="98"/>
    </row>
    <row r="1293" spans="7:9" s="91" customFormat="1" ht="12.75">
      <c r="G1293" s="449"/>
      <c r="H1293" s="98"/>
      <c r="I1293" s="98"/>
    </row>
    <row r="1294" spans="7:9" s="91" customFormat="1" ht="12.75">
      <c r="G1294" s="449"/>
      <c r="H1294" s="98"/>
      <c r="I1294" s="98"/>
    </row>
    <row r="1295" spans="7:9" s="91" customFormat="1" ht="12.75">
      <c r="G1295" s="449"/>
      <c r="H1295" s="98"/>
      <c r="I1295" s="98"/>
    </row>
    <row r="1296" spans="7:9" s="91" customFormat="1" ht="12.75">
      <c r="G1296" s="449"/>
      <c r="H1296" s="98"/>
      <c r="I1296" s="98"/>
    </row>
    <row r="1297" spans="7:9" s="91" customFormat="1" ht="12.75">
      <c r="G1297" s="449"/>
      <c r="H1297" s="98"/>
      <c r="I1297" s="98"/>
    </row>
    <row r="1298" spans="7:9" s="91" customFormat="1" ht="12.75">
      <c r="G1298" s="449"/>
      <c r="H1298" s="98"/>
      <c r="I1298" s="98"/>
    </row>
    <row r="1299" spans="7:9" s="91" customFormat="1" ht="12.75">
      <c r="G1299" s="449"/>
      <c r="H1299" s="98"/>
      <c r="I1299" s="98"/>
    </row>
    <row r="1300" spans="7:9" s="91" customFormat="1" ht="12.75">
      <c r="G1300" s="449"/>
      <c r="H1300" s="98"/>
      <c r="I1300" s="98"/>
    </row>
    <row r="1301" spans="7:9" s="91" customFormat="1" ht="12.75">
      <c r="G1301" s="449"/>
      <c r="H1301" s="98"/>
      <c r="I1301" s="98"/>
    </row>
    <row r="1302" spans="7:9" s="91" customFormat="1" ht="12.75">
      <c r="G1302" s="449"/>
      <c r="H1302" s="98"/>
      <c r="I1302" s="98"/>
    </row>
    <row r="1303" spans="7:9" s="91" customFormat="1" ht="12.75">
      <c r="G1303" s="449"/>
      <c r="H1303" s="98"/>
      <c r="I1303" s="98"/>
    </row>
    <row r="1304" spans="7:9" s="91" customFormat="1" ht="12.75">
      <c r="G1304" s="449"/>
      <c r="H1304" s="98"/>
      <c r="I1304" s="98"/>
    </row>
    <row r="1305" spans="7:9" s="91" customFormat="1" ht="12.75">
      <c r="G1305" s="449"/>
      <c r="H1305" s="98"/>
      <c r="I1305" s="98"/>
    </row>
    <row r="1306" spans="7:9" s="91" customFormat="1" ht="12.75">
      <c r="G1306" s="449"/>
      <c r="H1306" s="98"/>
      <c r="I1306" s="98"/>
    </row>
    <row r="1307" spans="7:9" s="91" customFormat="1" ht="12.75">
      <c r="G1307" s="449"/>
      <c r="H1307" s="98"/>
      <c r="I1307" s="98"/>
    </row>
    <row r="1308" spans="7:9" s="91" customFormat="1" ht="12.75">
      <c r="G1308" s="449"/>
      <c r="H1308" s="98"/>
      <c r="I1308" s="98"/>
    </row>
    <row r="1309" spans="7:9" s="91" customFormat="1" ht="12.75">
      <c r="G1309" s="449"/>
      <c r="H1309" s="98"/>
      <c r="I1309" s="98"/>
    </row>
    <row r="1310" spans="7:9" s="91" customFormat="1" ht="12.75">
      <c r="G1310" s="449"/>
      <c r="H1310" s="98"/>
      <c r="I1310" s="98"/>
    </row>
    <row r="1311" spans="7:9" s="91" customFormat="1" ht="12.75">
      <c r="G1311" s="449"/>
      <c r="H1311" s="98"/>
      <c r="I1311" s="98"/>
    </row>
    <row r="1312" spans="7:9" s="91" customFormat="1" ht="12.75">
      <c r="G1312" s="449"/>
      <c r="H1312" s="98"/>
      <c r="I1312" s="98"/>
    </row>
    <row r="1313" spans="7:9" s="91" customFormat="1" ht="12.75">
      <c r="G1313" s="449"/>
      <c r="H1313" s="98"/>
      <c r="I1313" s="98"/>
    </row>
    <row r="1314" spans="7:9" s="91" customFormat="1" ht="12.75">
      <c r="G1314" s="449"/>
      <c r="H1314" s="98"/>
      <c r="I1314" s="98"/>
    </row>
    <row r="1315" spans="7:9" s="91" customFormat="1" ht="12.75">
      <c r="G1315" s="449"/>
      <c r="H1315" s="98"/>
      <c r="I1315" s="98"/>
    </row>
    <row r="1316" spans="7:9" s="91" customFormat="1" ht="12.75">
      <c r="G1316" s="449"/>
      <c r="H1316" s="98"/>
      <c r="I1316" s="98"/>
    </row>
    <row r="1317" spans="7:9" s="91" customFormat="1" ht="12.75">
      <c r="G1317" s="449"/>
      <c r="H1317" s="98"/>
      <c r="I1317" s="98"/>
    </row>
    <row r="1318" spans="7:9" s="91" customFormat="1" ht="12.75">
      <c r="G1318" s="449"/>
      <c r="H1318" s="98"/>
      <c r="I1318" s="98"/>
    </row>
    <row r="1319" spans="7:9" s="91" customFormat="1" ht="12.75">
      <c r="G1319" s="449"/>
      <c r="H1319" s="98"/>
      <c r="I1319" s="98"/>
    </row>
    <row r="1320" spans="7:9" s="91" customFormat="1" ht="12.75">
      <c r="G1320" s="449"/>
      <c r="H1320" s="98"/>
      <c r="I1320" s="98"/>
    </row>
    <row r="1321" spans="7:9" s="91" customFormat="1" ht="12.75">
      <c r="G1321" s="449"/>
      <c r="H1321" s="98"/>
      <c r="I1321" s="98"/>
    </row>
    <row r="1322" spans="7:9" s="91" customFormat="1" ht="12.75">
      <c r="G1322" s="449"/>
      <c r="H1322" s="98"/>
      <c r="I1322" s="98"/>
    </row>
    <row r="1323" spans="7:9" s="91" customFormat="1" ht="12.75">
      <c r="G1323" s="449"/>
      <c r="H1323" s="98"/>
      <c r="I1323" s="98"/>
    </row>
    <row r="1324" spans="7:9" s="91" customFormat="1" ht="12.75">
      <c r="G1324" s="449"/>
      <c r="H1324" s="98"/>
      <c r="I1324" s="98"/>
    </row>
    <row r="1325" spans="7:9" s="91" customFormat="1" ht="12.75">
      <c r="G1325" s="449"/>
      <c r="H1325" s="98"/>
      <c r="I1325" s="98"/>
    </row>
    <row r="1326" spans="7:9" s="91" customFormat="1" ht="12.75">
      <c r="G1326" s="449"/>
      <c r="H1326" s="98"/>
      <c r="I1326" s="98"/>
    </row>
    <row r="1327" spans="7:9" s="91" customFormat="1" ht="12.75">
      <c r="G1327" s="449"/>
      <c r="H1327" s="98"/>
      <c r="I1327" s="98"/>
    </row>
    <row r="1328" spans="7:9" s="91" customFormat="1" ht="12.75">
      <c r="G1328" s="449"/>
      <c r="H1328" s="98"/>
      <c r="I1328" s="98"/>
    </row>
    <row r="1329" spans="7:9" s="91" customFormat="1" ht="12.75">
      <c r="G1329" s="449"/>
      <c r="H1329" s="98"/>
      <c r="I1329" s="98"/>
    </row>
    <row r="1330" spans="7:9" s="91" customFormat="1" ht="12.75">
      <c r="G1330" s="449"/>
      <c r="H1330" s="98"/>
      <c r="I1330" s="98"/>
    </row>
    <row r="1331" spans="7:9" s="91" customFormat="1" ht="12.75">
      <c r="G1331" s="449"/>
      <c r="H1331" s="98"/>
      <c r="I1331" s="98"/>
    </row>
    <row r="1332" spans="7:9" s="91" customFormat="1" ht="12.75">
      <c r="G1332" s="449"/>
      <c r="H1332" s="98"/>
      <c r="I1332" s="98"/>
    </row>
    <row r="1333" spans="7:9" s="91" customFormat="1" ht="12.75">
      <c r="G1333" s="449"/>
      <c r="H1333" s="98"/>
      <c r="I1333" s="98"/>
    </row>
    <row r="1334" spans="7:9" s="91" customFormat="1" ht="12.75">
      <c r="G1334" s="449"/>
      <c r="H1334" s="98"/>
      <c r="I1334" s="98"/>
    </row>
    <row r="1335" spans="7:9" s="91" customFormat="1" ht="12.75">
      <c r="G1335" s="449"/>
      <c r="H1335" s="98"/>
      <c r="I1335" s="98"/>
    </row>
    <row r="1336" spans="7:9" s="91" customFormat="1" ht="12.75">
      <c r="G1336" s="449"/>
      <c r="H1336" s="98"/>
      <c r="I1336" s="98"/>
    </row>
    <row r="1337" spans="7:9" s="91" customFormat="1" ht="12.75">
      <c r="G1337" s="449"/>
      <c r="H1337" s="98"/>
      <c r="I1337" s="98"/>
    </row>
    <row r="1338" spans="7:9" s="91" customFormat="1" ht="12.75">
      <c r="G1338" s="449"/>
      <c r="H1338" s="98"/>
      <c r="I1338" s="98"/>
    </row>
    <row r="1339" spans="7:9" s="91" customFormat="1" ht="12.75">
      <c r="G1339" s="449"/>
      <c r="H1339" s="98"/>
      <c r="I1339" s="98"/>
    </row>
    <row r="1340" spans="7:9" s="91" customFormat="1" ht="12.75">
      <c r="G1340" s="449"/>
      <c r="H1340" s="98"/>
      <c r="I1340" s="98"/>
    </row>
    <row r="1341" spans="7:9" s="91" customFormat="1" ht="12.75">
      <c r="G1341" s="449"/>
      <c r="H1341" s="98"/>
      <c r="I1341" s="98"/>
    </row>
    <row r="1342" spans="7:9" s="91" customFormat="1" ht="12.75">
      <c r="G1342" s="449"/>
      <c r="H1342" s="98"/>
      <c r="I1342" s="98"/>
    </row>
    <row r="1343" spans="7:9" s="91" customFormat="1" ht="12.75">
      <c r="G1343" s="449"/>
      <c r="H1343" s="98"/>
      <c r="I1343" s="98"/>
    </row>
    <row r="1344" spans="7:9" s="91" customFormat="1" ht="12.75">
      <c r="G1344" s="449"/>
      <c r="H1344" s="98"/>
      <c r="I1344" s="98"/>
    </row>
    <row r="1345" spans="7:9" s="91" customFormat="1" ht="12.75">
      <c r="G1345" s="449"/>
      <c r="H1345" s="98"/>
      <c r="I1345" s="98"/>
    </row>
    <row r="1346" spans="7:9" s="91" customFormat="1" ht="12.75">
      <c r="G1346" s="449"/>
      <c r="H1346" s="98"/>
      <c r="I1346" s="98"/>
    </row>
    <row r="1347" spans="7:9" s="91" customFormat="1" ht="12.75">
      <c r="G1347" s="449"/>
      <c r="H1347" s="98"/>
      <c r="I1347" s="98"/>
    </row>
    <row r="1348" spans="7:9" s="91" customFormat="1" ht="12.75">
      <c r="G1348" s="449"/>
      <c r="H1348" s="98"/>
      <c r="I1348" s="98"/>
    </row>
    <row r="1349" spans="7:9" s="91" customFormat="1" ht="12.75">
      <c r="G1349" s="449"/>
      <c r="H1349" s="98"/>
      <c r="I1349" s="98"/>
    </row>
    <row r="1350" spans="7:9" s="91" customFormat="1" ht="12.75">
      <c r="G1350" s="449"/>
      <c r="H1350" s="98"/>
      <c r="I1350" s="98"/>
    </row>
    <row r="1351" spans="7:9" s="91" customFormat="1" ht="12.75">
      <c r="G1351" s="449"/>
      <c r="H1351" s="98"/>
      <c r="I1351" s="98"/>
    </row>
    <row r="1352" spans="7:9" s="91" customFormat="1" ht="12.75">
      <c r="G1352" s="449"/>
      <c r="H1352" s="98"/>
      <c r="I1352" s="98"/>
    </row>
    <row r="1353" spans="7:9" s="91" customFormat="1" ht="12.75">
      <c r="G1353" s="449"/>
      <c r="H1353" s="98"/>
      <c r="I1353" s="98"/>
    </row>
    <row r="1354" spans="7:9" s="91" customFormat="1" ht="12.75">
      <c r="G1354" s="449"/>
      <c r="H1354" s="98"/>
      <c r="I1354" s="98"/>
    </row>
    <row r="1355" spans="7:9" s="91" customFormat="1" ht="12.75">
      <c r="G1355" s="449"/>
      <c r="H1355" s="98"/>
      <c r="I1355" s="98"/>
    </row>
    <row r="1356" spans="7:9" s="91" customFormat="1" ht="12.75">
      <c r="G1356" s="449"/>
      <c r="H1356" s="98"/>
      <c r="I1356" s="98"/>
    </row>
    <row r="1357" spans="7:9" s="91" customFormat="1" ht="12.75">
      <c r="G1357" s="449"/>
      <c r="H1357" s="98"/>
      <c r="I1357" s="98"/>
    </row>
    <row r="1358" spans="7:9" s="91" customFormat="1" ht="12.75">
      <c r="G1358" s="449"/>
      <c r="H1358" s="98"/>
      <c r="I1358" s="98"/>
    </row>
    <row r="1359" spans="7:9" s="91" customFormat="1" ht="12.75">
      <c r="G1359" s="449"/>
      <c r="H1359" s="98"/>
      <c r="I1359" s="98"/>
    </row>
    <row r="1360" spans="7:9" s="91" customFormat="1" ht="12.75">
      <c r="G1360" s="449"/>
      <c r="H1360" s="98"/>
      <c r="I1360" s="98"/>
    </row>
    <row r="1361" spans="7:9" s="91" customFormat="1" ht="12.75">
      <c r="G1361" s="449"/>
      <c r="H1361" s="98"/>
      <c r="I1361" s="98"/>
    </row>
    <row r="1362" spans="7:9" s="91" customFormat="1" ht="12.75">
      <c r="G1362" s="449"/>
      <c r="H1362" s="98"/>
      <c r="I1362" s="98"/>
    </row>
    <row r="1363" spans="7:9" s="91" customFormat="1" ht="12.75">
      <c r="G1363" s="449"/>
      <c r="H1363" s="98"/>
      <c r="I1363" s="98"/>
    </row>
    <row r="1364" spans="7:9" s="91" customFormat="1" ht="12.75">
      <c r="G1364" s="449"/>
      <c r="H1364" s="98"/>
      <c r="I1364" s="98"/>
    </row>
    <row r="1365" spans="7:9" s="91" customFormat="1" ht="12.75">
      <c r="G1365" s="449"/>
      <c r="H1365" s="98"/>
      <c r="I1365" s="98"/>
    </row>
    <row r="1366" spans="7:9" s="91" customFormat="1" ht="12.75">
      <c r="G1366" s="449"/>
      <c r="H1366" s="98"/>
      <c r="I1366" s="98"/>
    </row>
    <row r="1367" spans="7:9" s="91" customFormat="1" ht="12.75">
      <c r="G1367" s="449"/>
      <c r="H1367" s="98"/>
      <c r="I1367" s="98"/>
    </row>
    <row r="1368" spans="7:9" s="91" customFormat="1" ht="12.75">
      <c r="G1368" s="449"/>
      <c r="H1368" s="98"/>
      <c r="I1368" s="98"/>
    </row>
    <row r="1369" spans="7:9" s="91" customFormat="1" ht="12.75">
      <c r="G1369" s="449"/>
      <c r="H1369" s="98"/>
      <c r="I1369" s="98"/>
    </row>
    <row r="1370" spans="7:9" s="91" customFormat="1" ht="12.75">
      <c r="G1370" s="449"/>
      <c r="H1370" s="98"/>
      <c r="I1370" s="98"/>
    </row>
    <row r="1371" spans="7:9" s="91" customFormat="1" ht="12.75">
      <c r="G1371" s="449"/>
      <c r="H1371" s="98"/>
      <c r="I1371" s="98"/>
    </row>
    <row r="1372" spans="7:9" s="91" customFormat="1" ht="12.75">
      <c r="G1372" s="449"/>
      <c r="H1372" s="98"/>
      <c r="I1372" s="98"/>
    </row>
    <row r="1373" spans="7:9" s="91" customFormat="1" ht="12.75">
      <c r="G1373" s="449"/>
      <c r="H1373" s="98"/>
      <c r="I1373" s="98"/>
    </row>
    <row r="1374" spans="7:9" s="91" customFormat="1" ht="12.75">
      <c r="G1374" s="449"/>
      <c r="H1374" s="98"/>
      <c r="I1374" s="98"/>
    </row>
    <row r="1375" spans="7:9" s="91" customFormat="1" ht="12.75">
      <c r="G1375" s="449"/>
      <c r="H1375" s="98"/>
      <c r="I1375" s="98"/>
    </row>
    <row r="1376" spans="7:9" s="91" customFormat="1" ht="12.75">
      <c r="G1376" s="449"/>
      <c r="H1376" s="98"/>
      <c r="I1376" s="98"/>
    </row>
    <row r="1377" spans="7:9" s="91" customFormat="1" ht="12.75">
      <c r="G1377" s="449"/>
      <c r="H1377" s="98"/>
      <c r="I1377" s="98"/>
    </row>
    <row r="1378" spans="7:9" s="91" customFormat="1" ht="12.75">
      <c r="G1378" s="449"/>
      <c r="H1378" s="98"/>
      <c r="I1378" s="98"/>
    </row>
    <row r="1379" spans="7:9" s="91" customFormat="1" ht="12.75">
      <c r="G1379" s="449"/>
      <c r="H1379" s="98"/>
      <c r="I1379" s="98"/>
    </row>
    <row r="1380" spans="7:9" s="91" customFormat="1" ht="12.75">
      <c r="G1380" s="449"/>
      <c r="H1380" s="98"/>
      <c r="I1380" s="98"/>
    </row>
    <row r="1381" spans="7:9" s="91" customFormat="1" ht="12.75">
      <c r="G1381" s="449"/>
      <c r="H1381" s="98"/>
      <c r="I1381" s="98"/>
    </row>
    <row r="1382" spans="7:9" s="91" customFormat="1" ht="12.75">
      <c r="G1382" s="449"/>
      <c r="H1382" s="98"/>
      <c r="I1382" s="98"/>
    </row>
    <row r="1383" spans="7:9" s="91" customFormat="1" ht="12.75">
      <c r="G1383" s="449"/>
      <c r="H1383" s="98"/>
      <c r="I1383" s="98"/>
    </row>
    <row r="1384" spans="7:9" s="91" customFormat="1" ht="12.75">
      <c r="G1384" s="449"/>
      <c r="H1384" s="98"/>
      <c r="I1384" s="98"/>
    </row>
    <row r="1385" spans="7:9" s="91" customFormat="1" ht="12.75">
      <c r="G1385" s="449"/>
      <c r="H1385" s="98"/>
      <c r="I1385" s="98"/>
    </row>
    <row r="1386" spans="7:9" s="91" customFormat="1" ht="12.75">
      <c r="G1386" s="449"/>
      <c r="H1386" s="98"/>
      <c r="I1386" s="98"/>
    </row>
    <row r="1387" spans="7:9" s="91" customFormat="1" ht="12.75">
      <c r="G1387" s="449"/>
      <c r="H1387" s="98"/>
      <c r="I1387" s="98"/>
    </row>
    <row r="1388" spans="7:9" s="91" customFormat="1" ht="12.75">
      <c r="G1388" s="449"/>
      <c r="H1388" s="98"/>
      <c r="I1388" s="98"/>
    </row>
    <row r="1389" spans="7:9" s="91" customFormat="1" ht="12.75">
      <c r="G1389" s="449"/>
      <c r="H1389" s="98"/>
      <c r="I1389" s="98"/>
    </row>
    <row r="1390" spans="7:9" s="91" customFormat="1" ht="12.75">
      <c r="G1390" s="449"/>
      <c r="H1390" s="98"/>
      <c r="I1390" s="98"/>
    </row>
    <row r="1391" spans="7:9" s="91" customFormat="1" ht="12.75">
      <c r="G1391" s="449"/>
      <c r="H1391" s="98"/>
      <c r="I1391" s="98"/>
    </row>
    <row r="1392" spans="7:9" s="91" customFormat="1" ht="12.75">
      <c r="G1392" s="449"/>
      <c r="H1392" s="98"/>
      <c r="I1392" s="98"/>
    </row>
    <row r="1393" spans="7:9" s="91" customFormat="1" ht="12.75">
      <c r="G1393" s="449"/>
      <c r="H1393" s="98"/>
      <c r="I1393" s="98"/>
    </row>
    <row r="1394" spans="7:9" s="91" customFormat="1" ht="12.75">
      <c r="G1394" s="449"/>
      <c r="H1394" s="98"/>
      <c r="I1394" s="98"/>
    </row>
    <row r="1395" spans="7:9" s="91" customFormat="1" ht="12.75">
      <c r="G1395" s="449"/>
      <c r="H1395" s="98"/>
      <c r="I1395" s="98"/>
    </row>
    <row r="1396" spans="7:9" s="91" customFormat="1" ht="12.75">
      <c r="G1396" s="449"/>
      <c r="H1396" s="98"/>
      <c r="I1396" s="98"/>
    </row>
    <row r="1397" spans="7:9" s="91" customFormat="1" ht="12.75">
      <c r="G1397" s="449"/>
      <c r="H1397" s="98"/>
      <c r="I1397" s="98"/>
    </row>
    <row r="1398" spans="7:9" s="91" customFormat="1" ht="12.75">
      <c r="G1398" s="449"/>
      <c r="H1398" s="98"/>
      <c r="I1398" s="98"/>
    </row>
    <row r="1399" spans="7:9" s="91" customFormat="1" ht="12.75">
      <c r="G1399" s="449"/>
      <c r="H1399" s="98"/>
      <c r="I1399" s="98"/>
    </row>
    <row r="1400" spans="7:9" s="91" customFormat="1" ht="12.75">
      <c r="G1400" s="449"/>
      <c r="H1400" s="98"/>
      <c r="I1400" s="98"/>
    </row>
    <row r="1401" spans="7:9" s="91" customFormat="1" ht="12.75">
      <c r="G1401" s="449"/>
      <c r="H1401" s="98"/>
      <c r="I1401" s="98"/>
    </row>
    <row r="1402" spans="7:9" s="91" customFormat="1" ht="12.75">
      <c r="G1402" s="449"/>
      <c r="H1402" s="98"/>
      <c r="I1402" s="98"/>
    </row>
    <row r="1403" spans="7:9" s="91" customFormat="1" ht="12.75">
      <c r="G1403" s="449"/>
      <c r="H1403" s="98"/>
      <c r="I1403" s="98"/>
    </row>
    <row r="1404" spans="7:9" s="91" customFormat="1" ht="12.75">
      <c r="G1404" s="449"/>
      <c r="H1404" s="98"/>
      <c r="I1404" s="98"/>
    </row>
    <row r="1405" spans="7:9" s="91" customFormat="1" ht="12.75">
      <c r="G1405" s="449"/>
      <c r="H1405" s="98"/>
      <c r="I1405" s="98"/>
    </row>
    <row r="1406" spans="7:9" s="91" customFormat="1" ht="12.75">
      <c r="G1406" s="449"/>
      <c r="H1406" s="98"/>
      <c r="I1406" s="98"/>
    </row>
    <row r="1407" spans="7:9" s="91" customFormat="1" ht="12.75">
      <c r="G1407" s="449"/>
      <c r="H1407" s="98"/>
      <c r="I1407" s="98"/>
    </row>
    <row r="1408" spans="7:9" s="91" customFormat="1" ht="12.75">
      <c r="G1408" s="449"/>
      <c r="H1408" s="98"/>
      <c r="I1408" s="98"/>
    </row>
    <row r="1409" spans="7:9" s="91" customFormat="1" ht="12.75">
      <c r="G1409" s="449"/>
      <c r="H1409" s="98"/>
      <c r="I1409" s="98"/>
    </row>
    <row r="1410" spans="7:9" s="91" customFormat="1" ht="12.75">
      <c r="G1410" s="449"/>
      <c r="H1410" s="98"/>
      <c r="I1410" s="98"/>
    </row>
    <row r="1411" spans="7:9" s="91" customFormat="1" ht="12.75">
      <c r="G1411" s="449"/>
      <c r="H1411" s="98"/>
      <c r="I1411" s="98"/>
    </row>
    <row r="1412" spans="7:9" s="91" customFormat="1" ht="12.75">
      <c r="G1412" s="449"/>
      <c r="H1412" s="98"/>
      <c r="I1412" s="98"/>
    </row>
    <row r="1413" spans="7:9" s="91" customFormat="1" ht="12.75">
      <c r="G1413" s="449"/>
      <c r="H1413" s="98"/>
      <c r="I1413" s="98"/>
    </row>
    <row r="1414" spans="7:9" s="91" customFormat="1" ht="12.75">
      <c r="G1414" s="449"/>
      <c r="H1414" s="98"/>
      <c r="I1414" s="98"/>
    </row>
    <row r="1415" spans="7:9" s="91" customFormat="1" ht="12.75">
      <c r="G1415" s="449"/>
      <c r="H1415" s="98"/>
      <c r="I1415" s="98"/>
    </row>
    <row r="1416" spans="7:9" s="91" customFormat="1" ht="12.75">
      <c r="G1416" s="449"/>
      <c r="H1416" s="98"/>
      <c r="I1416" s="98"/>
    </row>
    <row r="1417" spans="7:9" s="91" customFormat="1" ht="12.75">
      <c r="G1417" s="449"/>
      <c r="H1417" s="98"/>
      <c r="I1417" s="98"/>
    </row>
    <row r="1418" spans="7:9" s="91" customFormat="1" ht="12.75">
      <c r="G1418" s="449"/>
      <c r="H1418" s="98"/>
      <c r="I1418" s="98"/>
    </row>
    <row r="1419" spans="7:9" s="91" customFormat="1" ht="12.75">
      <c r="G1419" s="449"/>
      <c r="H1419" s="98"/>
      <c r="I1419" s="98"/>
    </row>
    <row r="1420" spans="7:9" s="91" customFormat="1" ht="12.75">
      <c r="G1420" s="449"/>
      <c r="H1420" s="98"/>
      <c r="I1420" s="98"/>
    </row>
    <row r="1421" spans="7:9" s="91" customFormat="1" ht="12.75">
      <c r="G1421" s="449"/>
      <c r="H1421" s="98"/>
      <c r="I1421" s="98"/>
    </row>
    <row r="1422" spans="7:9" s="91" customFormat="1" ht="12.75">
      <c r="G1422" s="449"/>
      <c r="H1422" s="98"/>
      <c r="I1422" s="98"/>
    </row>
    <row r="1423" spans="7:9" s="91" customFormat="1" ht="12.75">
      <c r="G1423" s="449"/>
      <c r="H1423" s="98"/>
      <c r="I1423" s="98"/>
    </row>
    <row r="1424" spans="7:9" s="91" customFormat="1" ht="12.75">
      <c r="G1424" s="449"/>
      <c r="H1424" s="98"/>
      <c r="I1424" s="98"/>
    </row>
    <row r="1425" spans="7:9" s="91" customFormat="1" ht="12.75">
      <c r="G1425" s="449"/>
      <c r="H1425" s="98"/>
      <c r="I1425" s="98"/>
    </row>
    <row r="1426" spans="7:9" s="91" customFormat="1" ht="12.75">
      <c r="G1426" s="449"/>
      <c r="H1426" s="98"/>
      <c r="I1426" s="98"/>
    </row>
    <row r="1427" spans="7:9" s="91" customFormat="1" ht="12.75">
      <c r="G1427" s="449"/>
      <c r="H1427" s="98"/>
      <c r="I1427" s="98"/>
    </row>
    <row r="1428" spans="7:9" s="91" customFormat="1" ht="12.75">
      <c r="G1428" s="449"/>
      <c r="H1428" s="98"/>
      <c r="I1428" s="98"/>
    </row>
    <row r="1429" spans="7:9" s="91" customFormat="1" ht="12.75">
      <c r="G1429" s="449"/>
      <c r="H1429" s="98"/>
      <c r="I1429" s="98"/>
    </row>
    <row r="1430" spans="7:9" s="91" customFormat="1" ht="12.75">
      <c r="G1430" s="449"/>
      <c r="H1430" s="98"/>
      <c r="I1430" s="98"/>
    </row>
    <row r="1431" spans="7:9" s="91" customFormat="1" ht="12.75">
      <c r="G1431" s="449"/>
      <c r="H1431" s="98"/>
      <c r="I1431" s="98"/>
    </row>
    <row r="1432" spans="7:9" s="91" customFormat="1" ht="12.75">
      <c r="G1432" s="449"/>
      <c r="H1432" s="98"/>
      <c r="I1432" s="98"/>
    </row>
    <row r="1433" spans="7:9" s="91" customFormat="1" ht="12.75">
      <c r="G1433" s="449"/>
      <c r="H1433" s="98"/>
      <c r="I1433" s="98"/>
    </row>
    <row r="1434" spans="7:9" s="91" customFormat="1" ht="12.75">
      <c r="G1434" s="449"/>
      <c r="H1434" s="98"/>
      <c r="I1434" s="98"/>
    </row>
    <row r="1435" spans="7:9" s="91" customFormat="1" ht="12.75">
      <c r="G1435" s="449"/>
      <c r="H1435" s="98"/>
      <c r="I1435" s="98"/>
    </row>
    <row r="1436" spans="7:9" s="91" customFormat="1" ht="12.75">
      <c r="G1436" s="449"/>
      <c r="H1436" s="98"/>
      <c r="I1436" s="98"/>
    </row>
    <row r="1437" spans="7:9" s="91" customFormat="1" ht="12.75">
      <c r="G1437" s="449"/>
      <c r="H1437" s="98"/>
      <c r="I1437" s="98"/>
    </row>
    <row r="1438" spans="7:9" s="91" customFormat="1" ht="12.75">
      <c r="G1438" s="449"/>
      <c r="H1438" s="98"/>
      <c r="I1438" s="98"/>
    </row>
    <row r="1439" spans="7:9" s="91" customFormat="1" ht="12.75">
      <c r="G1439" s="449"/>
      <c r="H1439" s="98"/>
      <c r="I1439" s="98"/>
    </row>
    <row r="1440" spans="7:9" s="91" customFormat="1" ht="12.75">
      <c r="G1440" s="449"/>
      <c r="H1440" s="98"/>
      <c r="I1440" s="98"/>
    </row>
    <row r="1441" spans="7:9" s="91" customFormat="1" ht="12.75">
      <c r="G1441" s="449"/>
      <c r="H1441" s="98"/>
      <c r="I1441" s="98"/>
    </row>
    <row r="1442" spans="7:9" s="91" customFormat="1" ht="12.75">
      <c r="G1442" s="449"/>
      <c r="H1442" s="98"/>
      <c r="I1442" s="98"/>
    </row>
    <row r="1443" spans="7:9" s="91" customFormat="1" ht="12.75">
      <c r="G1443" s="449"/>
      <c r="H1443" s="98"/>
      <c r="I1443" s="98"/>
    </row>
    <row r="1444" spans="7:9" s="91" customFormat="1" ht="12.75">
      <c r="G1444" s="449"/>
      <c r="H1444" s="98"/>
      <c r="I1444" s="98"/>
    </row>
    <row r="1445" spans="7:9" s="91" customFormat="1" ht="12.75">
      <c r="G1445" s="449"/>
      <c r="H1445" s="98"/>
      <c r="I1445" s="98"/>
    </row>
    <row r="1446" spans="7:9" s="91" customFormat="1" ht="12.75">
      <c r="G1446" s="449"/>
      <c r="H1446" s="98"/>
      <c r="I1446" s="98"/>
    </row>
    <row r="1447" spans="7:9" s="91" customFormat="1" ht="12.75">
      <c r="G1447" s="449"/>
      <c r="H1447" s="98"/>
      <c r="I1447" s="98"/>
    </row>
    <row r="1448" spans="7:9" s="91" customFormat="1" ht="12.75">
      <c r="G1448" s="449"/>
      <c r="H1448" s="98"/>
      <c r="I1448" s="98"/>
    </row>
    <row r="1449" spans="7:9" s="91" customFormat="1" ht="12.75">
      <c r="G1449" s="449"/>
      <c r="H1449" s="98"/>
      <c r="I1449" s="98"/>
    </row>
    <row r="1450" spans="7:9" s="91" customFormat="1" ht="12.75">
      <c r="G1450" s="449"/>
      <c r="H1450" s="98"/>
      <c r="I1450" s="98"/>
    </row>
    <row r="1451" spans="7:9" s="91" customFormat="1" ht="12.75">
      <c r="G1451" s="449"/>
      <c r="H1451" s="98"/>
      <c r="I1451" s="98"/>
    </row>
    <row r="1452" spans="7:9" s="91" customFormat="1" ht="12.75">
      <c r="G1452" s="449"/>
      <c r="H1452" s="98"/>
      <c r="I1452" s="98"/>
    </row>
    <row r="1453" spans="7:9" s="91" customFormat="1" ht="12.75">
      <c r="G1453" s="449"/>
      <c r="H1453" s="98"/>
      <c r="I1453" s="98"/>
    </row>
    <row r="1454" spans="7:9" s="91" customFormat="1" ht="12.75">
      <c r="G1454" s="449"/>
      <c r="H1454" s="98"/>
      <c r="I1454" s="98"/>
    </row>
    <row r="1455" spans="7:9" s="91" customFormat="1" ht="12.75">
      <c r="G1455" s="449"/>
      <c r="H1455" s="98"/>
      <c r="I1455" s="98"/>
    </row>
    <row r="1456" spans="7:9" s="91" customFormat="1" ht="12.75">
      <c r="G1456" s="449"/>
      <c r="H1456" s="98"/>
      <c r="I1456" s="98"/>
    </row>
    <row r="1457" spans="7:9" s="91" customFormat="1" ht="12.75">
      <c r="G1457" s="449"/>
      <c r="H1457" s="98"/>
      <c r="I1457" s="98"/>
    </row>
    <row r="1458" spans="7:9" s="91" customFormat="1" ht="12.75">
      <c r="G1458" s="449"/>
      <c r="H1458" s="98"/>
      <c r="I1458" s="98"/>
    </row>
    <row r="1459" spans="7:9" s="91" customFormat="1" ht="12.75">
      <c r="G1459" s="449"/>
      <c r="H1459" s="98"/>
      <c r="I1459" s="98"/>
    </row>
    <row r="1460" spans="7:9" s="91" customFormat="1" ht="12.75">
      <c r="G1460" s="449"/>
      <c r="H1460" s="98"/>
      <c r="I1460" s="98"/>
    </row>
    <row r="1461" spans="7:9" s="91" customFormat="1" ht="12.75">
      <c r="G1461" s="449"/>
      <c r="H1461" s="98"/>
      <c r="I1461" s="98"/>
    </row>
    <row r="1462" spans="7:9" s="91" customFormat="1" ht="12.75">
      <c r="G1462" s="449"/>
      <c r="H1462" s="98"/>
      <c r="I1462" s="98"/>
    </row>
    <row r="1463" spans="7:9" s="91" customFormat="1" ht="12.75">
      <c r="G1463" s="449"/>
      <c r="H1463" s="98"/>
      <c r="I1463" s="98"/>
    </row>
    <row r="1464" spans="7:9" s="91" customFormat="1" ht="12.75">
      <c r="G1464" s="449"/>
      <c r="H1464" s="98"/>
      <c r="I1464" s="98"/>
    </row>
    <row r="1465" spans="7:9" s="91" customFormat="1" ht="12.75">
      <c r="G1465" s="449"/>
      <c r="H1465" s="98"/>
      <c r="I1465" s="98"/>
    </row>
    <row r="1466" spans="7:9" s="91" customFormat="1" ht="12.75">
      <c r="G1466" s="449"/>
      <c r="H1466" s="98"/>
      <c r="I1466" s="98"/>
    </row>
    <row r="1467" spans="7:9" s="91" customFormat="1" ht="12.75">
      <c r="G1467" s="449"/>
      <c r="H1467" s="98"/>
      <c r="I1467" s="98"/>
    </row>
    <row r="1468" spans="7:9" s="91" customFormat="1" ht="12.75">
      <c r="G1468" s="449"/>
      <c r="H1468" s="98"/>
      <c r="I1468" s="98"/>
    </row>
    <row r="1469" spans="7:9" s="91" customFormat="1" ht="12.75">
      <c r="G1469" s="449"/>
      <c r="H1469" s="98"/>
      <c r="I1469" s="98"/>
    </row>
    <row r="1470" spans="7:9" s="91" customFormat="1" ht="12.75">
      <c r="G1470" s="449"/>
      <c r="H1470" s="98"/>
      <c r="I1470" s="98"/>
    </row>
    <row r="1471" spans="7:9" s="91" customFormat="1" ht="12.75">
      <c r="G1471" s="449"/>
      <c r="H1471" s="98"/>
      <c r="I1471" s="98"/>
    </row>
    <row r="1472" spans="7:9" s="91" customFormat="1" ht="12.75">
      <c r="G1472" s="449"/>
      <c r="H1472" s="98"/>
      <c r="I1472" s="98"/>
    </row>
    <row r="1473" spans="7:9" s="91" customFormat="1" ht="12.75">
      <c r="G1473" s="449"/>
      <c r="H1473" s="98"/>
      <c r="I1473" s="98"/>
    </row>
    <row r="1474" spans="7:9" s="91" customFormat="1" ht="12.75">
      <c r="G1474" s="449"/>
      <c r="H1474" s="98"/>
      <c r="I1474" s="98"/>
    </row>
    <row r="1475" spans="7:9" s="91" customFormat="1" ht="12.75">
      <c r="G1475" s="449"/>
      <c r="H1475" s="98"/>
      <c r="I1475" s="98"/>
    </row>
    <row r="1476" spans="7:9" s="91" customFormat="1" ht="12.75">
      <c r="G1476" s="449"/>
      <c r="H1476" s="98"/>
      <c r="I1476" s="98"/>
    </row>
    <row r="1477" spans="7:9" s="91" customFormat="1" ht="12.75">
      <c r="G1477" s="449"/>
      <c r="H1477" s="98"/>
      <c r="I1477" s="98"/>
    </row>
    <row r="1478" spans="7:9" s="91" customFormat="1" ht="12.75">
      <c r="G1478" s="449"/>
      <c r="H1478" s="98"/>
      <c r="I1478" s="98"/>
    </row>
    <row r="1479" spans="7:9" s="91" customFormat="1" ht="12.75">
      <c r="G1479" s="449"/>
      <c r="H1479" s="98"/>
      <c r="I1479" s="98"/>
    </row>
    <row r="1480" spans="7:9" s="91" customFormat="1" ht="12.75">
      <c r="G1480" s="449"/>
      <c r="H1480" s="98"/>
      <c r="I1480" s="98"/>
    </row>
    <row r="1481" spans="7:9" s="91" customFormat="1" ht="12.75">
      <c r="G1481" s="449"/>
      <c r="H1481" s="98"/>
      <c r="I1481" s="98"/>
    </row>
    <row r="1482" spans="7:9" s="91" customFormat="1" ht="12.75">
      <c r="G1482" s="449"/>
      <c r="H1482" s="98"/>
      <c r="I1482" s="98"/>
    </row>
    <row r="1483" spans="7:9" s="91" customFormat="1" ht="12.75">
      <c r="G1483" s="449"/>
      <c r="H1483" s="98"/>
      <c r="I1483" s="98"/>
    </row>
    <row r="1484" spans="7:9" s="91" customFormat="1" ht="12.75">
      <c r="G1484" s="449"/>
      <c r="H1484" s="98"/>
      <c r="I1484" s="98"/>
    </row>
    <row r="1485" spans="7:9" s="91" customFormat="1" ht="12.75">
      <c r="G1485" s="449"/>
      <c r="H1485" s="98"/>
      <c r="I1485" s="98"/>
    </row>
    <row r="1486" spans="7:9" s="91" customFormat="1" ht="12.75">
      <c r="G1486" s="449"/>
      <c r="H1486" s="98"/>
      <c r="I1486" s="98"/>
    </row>
    <row r="1487" spans="7:9" s="91" customFormat="1" ht="12.75">
      <c r="G1487" s="449"/>
      <c r="H1487" s="98"/>
      <c r="I1487" s="98"/>
    </row>
    <row r="1488" spans="7:9" s="91" customFormat="1" ht="12.75">
      <c r="G1488" s="449"/>
      <c r="H1488" s="98"/>
      <c r="I1488" s="98"/>
    </row>
    <row r="1489" spans="7:9" s="91" customFormat="1" ht="12.75">
      <c r="G1489" s="449"/>
      <c r="H1489" s="98"/>
      <c r="I1489" s="98"/>
    </row>
    <row r="1490" spans="7:9" s="91" customFormat="1" ht="12.75">
      <c r="G1490" s="449"/>
      <c r="H1490" s="98"/>
      <c r="I1490" s="98"/>
    </row>
    <row r="1491" spans="7:9" s="91" customFormat="1" ht="12.75">
      <c r="G1491" s="449"/>
      <c r="H1491" s="98"/>
      <c r="I1491" s="98"/>
    </row>
    <row r="1492" spans="7:9" s="91" customFormat="1" ht="12.75">
      <c r="G1492" s="449"/>
      <c r="H1492" s="98"/>
      <c r="I1492" s="98"/>
    </row>
    <row r="1493" spans="7:9" s="91" customFormat="1" ht="12.75">
      <c r="G1493" s="449"/>
      <c r="H1493" s="98"/>
      <c r="I1493" s="98"/>
    </row>
    <row r="1494" spans="7:9" s="91" customFormat="1" ht="12.75">
      <c r="G1494" s="449"/>
      <c r="H1494" s="98"/>
      <c r="I1494" s="98"/>
    </row>
    <row r="1495" spans="7:9" s="91" customFormat="1" ht="12.75">
      <c r="G1495" s="449"/>
      <c r="H1495" s="98"/>
      <c r="I1495" s="98"/>
    </row>
    <row r="1496" spans="7:9" s="91" customFormat="1" ht="12.75">
      <c r="G1496" s="449"/>
      <c r="H1496" s="98"/>
      <c r="I1496" s="98"/>
    </row>
    <row r="1497" spans="7:9" s="91" customFormat="1" ht="12.75">
      <c r="G1497" s="449"/>
      <c r="H1497" s="98"/>
      <c r="I1497" s="98"/>
    </row>
    <row r="1498" spans="7:9" s="91" customFormat="1" ht="12.75">
      <c r="G1498" s="449"/>
      <c r="H1498" s="98"/>
      <c r="I1498" s="98"/>
    </row>
    <row r="1499" spans="7:9" s="91" customFormat="1" ht="12.75">
      <c r="G1499" s="449"/>
      <c r="H1499" s="98"/>
      <c r="I1499" s="98"/>
    </row>
    <row r="1500" spans="7:9" s="91" customFormat="1" ht="12.75">
      <c r="G1500" s="449"/>
      <c r="H1500" s="98"/>
      <c r="I1500" s="98"/>
    </row>
    <row r="1501" spans="7:9" s="91" customFormat="1" ht="12.75">
      <c r="G1501" s="449"/>
      <c r="H1501" s="98"/>
      <c r="I1501" s="98"/>
    </row>
    <row r="1502" spans="7:9" s="91" customFormat="1" ht="12.75">
      <c r="G1502" s="449"/>
      <c r="H1502" s="98"/>
      <c r="I1502" s="98"/>
    </row>
    <row r="1503" spans="7:9" s="91" customFormat="1" ht="12.75">
      <c r="G1503" s="449"/>
      <c r="H1503" s="98"/>
      <c r="I1503" s="98"/>
    </row>
    <row r="1504" spans="7:9" s="91" customFormat="1" ht="12.75">
      <c r="G1504" s="449"/>
      <c r="H1504" s="98"/>
      <c r="I1504" s="98"/>
    </row>
    <row r="1505" spans="7:9" s="91" customFormat="1" ht="12.75">
      <c r="G1505" s="449"/>
      <c r="H1505" s="98"/>
      <c r="I1505" s="98"/>
    </row>
    <row r="1506" spans="7:9" s="91" customFormat="1" ht="12.75">
      <c r="G1506" s="449"/>
      <c r="H1506" s="98"/>
      <c r="I1506" s="98"/>
    </row>
    <row r="1507" spans="7:9" s="91" customFormat="1" ht="12.75">
      <c r="G1507" s="449"/>
      <c r="H1507" s="98"/>
      <c r="I1507" s="98"/>
    </row>
    <row r="1508" spans="7:9" s="91" customFormat="1" ht="12.75">
      <c r="G1508" s="449"/>
      <c r="H1508" s="98"/>
      <c r="I1508" s="98"/>
    </row>
    <row r="1509" spans="7:9" s="91" customFormat="1" ht="12.75">
      <c r="G1509" s="449"/>
      <c r="H1509" s="98"/>
      <c r="I1509" s="98"/>
    </row>
    <row r="1510" spans="7:9" s="91" customFormat="1" ht="12.75">
      <c r="G1510" s="449"/>
      <c r="H1510" s="98"/>
      <c r="I1510" s="98"/>
    </row>
    <row r="1511" spans="7:9" s="91" customFormat="1" ht="12.75">
      <c r="G1511" s="449"/>
      <c r="H1511" s="98"/>
      <c r="I1511" s="98"/>
    </row>
    <row r="1512" spans="7:9" s="91" customFormat="1" ht="12.75">
      <c r="G1512" s="449"/>
      <c r="H1512" s="98"/>
      <c r="I1512" s="98"/>
    </row>
    <row r="1513" spans="7:9" s="91" customFormat="1" ht="12.75">
      <c r="G1513" s="449"/>
      <c r="H1513" s="98"/>
      <c r="I1513" s="98"/>
    </row>
    <row r="1514" spans="7:9" s="91" customFormat="1" ht="12.75">
      <c r="G1514" s="449"/>
      <c r="H1514" s="98"/>
      <c r="I1514" s="98"/>
    </row>
    <row r="1515" spans="7:9" s="91" customFormat="1" ht="12.75">
      <c r="G1515" s="449"/>
      <c r="H1515" s="98"/>
      <c r="I1515" s="98"/>
    </row>
    <row r="1516" spans="7:9" s="91" customFormat="1" ht="12.75">
      <c r="G1516" s="449"/>
      <c r="H1516" s="98"/>
      <c r="I1516" s="98"/>
    </row>
    <row r="1517" spans="7:9" s="91" customFormat="1" ht="12.75">
      <c r="G1517" s="449"/>
      <c r="H1517" s="98"/>
      <c r="I1517" s="98"/>
    </row>
    <row r="1518" spans="7:9" s="91" customFormat="1" ht="12.75">
      <c r="G1518" s="449"/>
      <c r="H1518" s="98"/>
      <c r="I1518" s="98"/>
    </row>
    <row r="1519" spans="7:9" s="91" customFormat="1" ht="12.75">
      <c r="G1519" s="449"/>
      <c r="H1519" s="98"/>
      <c r="I1519" s="98"/>
    </row>
    <row r="1520" spans="7:9" s="91" customFormat="1" ht="12.75">
      <c r="G1520" s="449"/>
      <c r="H1520" s="98"/>
      <c r="I1520" s="98"/>
    </row>
    <row r="1521" spans="7:9" s="91" customFormat="1" ht="12.75">
      <c r="G1521" s="449"/>
      <c r="H1521" s="98"/>
      <c r="I1521" s="98"/>
    </row>
    <row r="1522" spans="7:9" s="91" customFormat="1" ht="12.75">
      <c r="G1522" s="449"/>
      <c r="H1522" s="98"/>
      <c r="I1522" s="98"/>
    </row>
    <row r="1523" spans="7:9" s="91" customFormat="1" ht="12.75">
      <c r="G1523" s="449"/>
      <c r="H1523" s="98"/>
      <c r="I1523" s="98"/>
    </row>
    <row r="1524" spans="7:9" s="91" customFormat="1" ht="12.75">
      <c r="G1524" s="449"/>
      <c r="H1524" s="98"/>
      <c r="I1524" s="98"/>
    </row>
    <row r="1525" spans="7:9" s="91" customFormat="1" ht="12.75">
      <c r="G1525" s="449"/>
      <c r="H1525" s="98"/>
      <c r="I1525" s="98"/>
    </row>
    <row r="1526" spans="7:9" s="91" customFormat="1" ht="12.75">
      <c r="G1526" s="449"/>
      <c r="H1526" s="98"/>
      <c r="I1526" s="98"/>
    </row>
    <row r="1527" spans="7:9" s="91" customFormat="1" ht="12.75">
      <c r="G1527" s="449"/>
      <c r="H1527" s="98"/>
      <c r="I1527" s="98"/>
    </row>
    <row r="1528" spans="7:9" s="91" customFormat="1" ht="12.75">
      <c r="G1528" s="449"/>
      <c r="H1528" s="98"/>
      <c r="I1528" s="98"/>
    </row>
    <row r="1529" spans="7:9" s="91" customFormat="1" ht="12.75">
      <c r="G1529" s="449"/>
      <c r="H1529" s="98"/>
      <c r="I1529" s="98"/>
    </row>
    <row r="1530" spans="7:9" s="91" customFormat="1" ht="12.75">
      <c r="G1530" s="449"/>
      <c r="H1530" s="98"/>
      <c r="I1530" s="98"/>
    </row>
    <row r="1531" spans="7:9" s="91" customFormat="1" ht="12.75">
      <c r="G1531" s="449"/>
      <c r="H1531" s="98"/>
      <c r="I1531" s="98"/>
    </row>
    <row r="1532" spans="7:9" s="91" customFormat="1" ht="12.75">
      <c r="G1532" s="449"/>
      <c r="H1532" s="98"/>
      <c r="I1532" s="98"/>
    </row>
    <row r="1533" spans="7:9" s="91" customFormat="1" ht="12.75">
      <c r="G1533" s="449"/>
      <c r="H1533" s="98"/>
      <c r="I1533" s="98"/>
    </row>
    <row r="1534" spans="7:9" s="91" customFormat="1" ht="12.75">
      <c r="G1534" s="449"/>
      <c r="H1534" s="98"/>
      <c r="I1534" s="98"/>
    </row>
    <row r="1535" spans="7:9" s="91" customFormat="1" ht="12.75">
      <c r="G1535" s="449"/>
      <c r="H1535" s="98"/>
      <c r="I1535" s="98"/>
    </row>
    <row r="1536" spans="7:9" s="91" customFormat="1" ht="12.75">
      <c r="G1536" s="449"/>
      <c r="H1536" s="98"/>
      <c r="I1536" s="98"/>
    </row>
    <row r="1537" spans="7:9" s="91" customFormat="1" ht="12.75">
      <c r="G1537" s="449"/>
      <c r="H1537" s="98"/>
      <c r="I1537" s="98"/>
    </row>
    <row r="1538" spans="7:9" s="91" customFormat="1" ht="12.75">
      <c r="G1538" s="449"/>
      <c r="H1538" s="98"/>
      <c r="I1538" s="98"/>
    </row>
    <row r="1539" spans="7:9" s="91" customFormat="1" ht="12.75">
      <c r="G1539" s="449"/>
      <c r="H1539" s="98"/>
      <c r="I1539" s="98"/>
    </row>
    <row r="1540" spans="7:9" s="91" customFormat="1" ht="12.75">
      <c r="G1540" s="449"/>
      <c r="H1540" s="98"/>
      <c r="I1540" s="98"/>
    </row>
    <row r="1541" spans="7:9" s="91" customFormat="1" ht="12.75">
      <c r="G1541" s="449"/>
      <c r="H1541" s="98"/>
      <c r="I1541" s="98"/>
    </row>
    <row r="1542" spans="7:9" s="91" customFormat="1" ht="12.75">
      <c r="G1542" s="449"/>
      <c r="H1542" s="98"/>
      <c r="I1542" s="98"/>
    </row>
    <row r="1543" spans="7:9" s="91" customFormat="1" ht="12.75">
      <c r="G1543" s="449"/>
      <c r="H1543" s="98"/>
      <c r="I1543" s="98"/>
    </row>
    <row r="1544" spans="7:9" s="91" customFormat="1" ht="12.75">
      <c r="G1544" s="449"/>
      <c r="H1544" s="98"/>
      <c r="I1544" s="98"/>
    </row>
    <row r="1545" spans="7:9" s="91" customFormat="1" ht="12.75">
      <c r="G1545" s="449"/>
      <c r="H1545" s="98"/>
      <c r="I1545" s="98"/>
    </row>
    <row r="1546" spans="7:9" s="91" customFormat="1" ht="12.75">
      <c r="G1546" s="449"/>
      <c r="H1546" s="98"/>
      <c r="I1546" s="98"/>
    </row>
    <row r="1547" spans="7:9" s="91" customFormat="1" ht="12.75">
      <c r="G1547" s="449"/>
      <c r="H1547" s="98"/>
      <c r="I1547" s="98"/>
    </row>
    <row r="1548" spans="7:9" s="91" customFormat="1" ht="12.75">
      <c r="G1548" s="449"/>
      <c r="H1548" s="98"/>
      <c r="I1548" s="98"/>
    </row>
    <row r="1549" spans="7:9" s="91" customFormat="1" ht="12.75">
      <c r="G1549" s="449"/>
      <c r="H1549" s="98"/>
      <c r="I1549" s="98"/>
    </row>
    <row r="1550" spans="7:9" s="91" customFormat="1" ht="12.75">
      <c r="G1550" s="449"/>
      <c r="H1550" s="98"/>
      <c r="I1550" s="98"/>
    </row>
    <row r="1551" spans="7:9" s="91" customFormat="1" ht="12.75">
      <c r="G1551" s="449"/>
      <c r="H1551" s="98"/>
      <c r="I1551" s="98"/>
    </row>
    <row r="1552" spans="7:9" s="91" customFormat="1" ht="12.75">
      <c r="G1552" s="449"/>
      <c r="H1552" s="98"/>
      <c r="I1552" s="98"/>
    </row>
    <row r="1553" spans="7:9" s="91" customFormat="1" ht="12.75">
      <c r="G1553" s="449"/>
      <c r="H1553" s="98"/>
      <c r="I1553" s="98"/>
    </row>
    <row r="1554" spans="7:9" s="91" customFormat="1" ht="12.75">
      <c r="G1554" s="449"/>
      <c r="H1554" s="98"/>
      <c r="I1554" s="98"/>
    </row>
    <row r="1555" spans="7:9" s="91" customFormat="1" ht="12.75">
      <c r="G1555" s="449"/>
      <c r="H1555" s="98"/>
      <c r="I1555" s="98"/>
    </row>
    <row r="1556" spans="7:9" s="91" customFormat="1" ht="12.75">
      <c r="G1556" s="449"/>
      <c r="H1556" s="98"/>
      <c r="I1556" s="98"/>
    </row>
    <row r="1557" spans="7:9" s="91" customFormat="1" ht="12.75">
      <c r="G1557" s="449"/>
      <c r="H1557" s="98"/>
      <c r="I1557" s="98"/>
    </row>
    <row r="1558" spans="7:9" s="91" customFormat="1" ht="12.75">
      <c r="G1558" s="449"/>
      <c r="H1558" s="98"/>
      <c r="I1558" s="98"/>
    </row>
    <row r="1559" spans="7:9" s="91" customFormat="1" ht="12.75">
      <c r="G1559" s="449"/>
      <c r="H1559" s="98"/>
      <c r="I1559" s="98"/>
    </row>
    <row r="1560" spans="7:9" s="91" customFormat="1" ht="12.75">
      <c r="G1560" s="449"/>
      <c r="H1560" s="98"/>
      <c r="I1560" s="98"/>
    </row>
    <row r="1561" spans="7:9" s="91" customFormat="1" ht="12.75">
      <c r="G1561" s="449"/>
      <c r="H1561" s="98"/>
      <c r="I1561" s="98"/>
    </row>
    <row r="1562" spans="7:9" s="91" customFormat="1" ht="12.75">
      <c r="G1562" s="449"/>
      <c r="H1562" s="98"/>
      <c r="I1562" s="98"/>
    </row>
    <row r="1563" spans="7:9" s="91" customFormat="1" ht="12.75">
      <c r="G1563" s="449"/>
      <c r="H1563" s="98"/>
      <c r="I1563" s="98"/>
    </row>
    <row r="1564" spans="7:9" s="91" customFormat="1" ht="12.75">
      <c r="G1564" s="449"/>
      <c r="H1564" s="98"/>
      <c r="I1564" s="98"/>
    </row>
    <row r="1565" spans="7:9" s="91" customFormat="1" ht="12.75">
      <c r="G1565" s="449"/>
      <c r="H1565" s="98"/>
      <c r="I1565" s="98"/>
    </row>
    <row r="1566" spans="7:9" s="91" customFormat="1" ht="12.75">
      <c r="G1566" s="449"/>
      <c r="H1566" s="98"/>
      <c r="I1566" s="98"/>
    </row>
    <row r="1567" spans="7:9" s="91" customFormat="1" ht="12.75">
      <c r="G1567" s="449"/>
      <c r="H1567" s="98"/>
      <c r="I1567" s="98"/>
    </row>
    <row r="1568" spans="7:9" s="91" customFormat="1" ht="12.75">
      <c r="G1568" s="449"/>
      <c r="H1568" s="98"/>
      <c r="I1568" s="98"/>
    </row>
    <row r="1569" spans="7:9" s="91" customFormat="1" ht="12.75">
      <c r="G1569" s="449"/>
      <c r="H1569" s="98"/>
      <c r="I1569" s="98"/>
    </row>
    <row r="1570" spans="7:9" s="91" customFormat="1" ht="12.75">
      <c r="G1570" s="449"/>
      <c r="H1570" s="98"/>
      <c r="I1570" s="98"/>
    </row>
    <row r="1571" spans="7:9" s="91" customFormat="1" ht="12.75">
      <c r="G1571" s="449"/>
      <c r="H1571" s="98"/>
      <c r="I1571" s="98"/>
    </row>
    <row r="1572" spans="7:9" s="91" customFormat="1" ht="12.75">
      <c r="G1572" s="449"/>
      <c r="H1572" s="98"/>
      <c r="I1572" s="98"/>
    </row>
    <row r="1573" spans="7:9" s="91" customFormat="1" ht="12.75">
      <c r="G1573" s="449"/>
      <c r="H1573" s="98"/>
      <c r="I1573" s="98"/>
    </row>
    <row r="1574" spans="7:9" s="91" customFormat="1" ht="12.75">
      <c r="G1574" s="449"/>
      <c r="H1574" s="98"/>
      <c r="I1574" s="98"/>
    </row>
    <row r="1575" spans="7:9" s="91" customFormat="1" ht="12.75">
      <c r="G1575" s="449"/>
      <c r="H1575" s="98"/>
      <c r="I1575" s="98"/>
    </row>
    <row r="1576" spans="7:9" s="91" customFormat="1" ht="12.75">
      <c r="G1576" s="449"/>
      <c r="H1576" s="98"/>
      <c r="I1576" s="98"/>
    </row>
    <row r="1577" spans="7:9" s="91" customFormat="1" ht="12.75">
      <c r="G1577" s="449"/>
      <c r="H1577" s="98"/>
      <c r="I1577" s="98"/>
    </row>
    <row r="1578" spans="7:9" s="91" customFormat="1" ht="12.75">
      <c r="G1578" s="449"/>
      <c r="H1578" s="98"/>
      <c r="I1578" s="98"/>
    </row>
    <row r="1579" spans="7:9" s="91" customFormat="1" ht="12.75">
      <c r="G1579" s="449"/>
      <c r="H1579" s="98"/>
      <c r="I1579" s="98"/>
    </row>
    <row r="1580" spans="7:9" s="91" customFormat="1" ht="12.75">
      <c r="G1580" s="449"/>
      <c r="H1580" s="98"/>
      <c r="I1580" s="98"/>
    </row>
    <row r="1581" spans="7:9" s="91" customFormat="1" ht="12.75">
      <c r="G1581" s="449"/>
      <c r="H1581" s="98"/>
      <c r="I1581" s="98"/>
    </row>
    <row r="1582" spans="7:9" s="91" customFormat="1" ht="12.75">
      <c r="G1582" s="449"/>
      <c r="H1582" s="98"/>
      <c r="I1582" s="98"/>
    </row>
    <row r="1583" spans="7:9" s="91" customFormat="1" ht="12.75">
      <c r="G1583" s="449"/>
      <c r="H1583" s="98"/>
      <c r="I1583" s="98"/>
    </row>
    <row r="1584" spans="7:9" s="91" customFormat="1" ht="12.75">
      <c r="G1584" s="449"/>
      <c r="H1584" s="98"/>
      <c r="I1584" s="98"/>
    </row>
    <row r="1585" spans="7:9" s="91" customFormat="1" ht="12.75">
      <c r="G1585" s="449"/>
      <c r="H1585" s="98"/>
      <c r="I1585" s="98"/>
    </row>
    <row r="1586" spans="7:9" s="91" customFormat="1" ht="12.75">
      <c r="G1586" s="449"/>
      <c r="H1586" s="98"/>
      <c r="I1586" s="98"/>
    </row>
    <row r="1587" spans="7:9" s="91" customFormat="1" ht="12.75">
      <c r="G1587" s="449"/>
      <c r="H1587" s="98"/>
      <c r="I1587" s="98"/>
    </row>
    <row r="1588" spans="7:9" s="91" customFormat="1" ht="12.75">
      <c r="G1588" s="449"/>
      <c r="H1588" s="98"/>
      <c r="I1588" s="98"/>
    </row>
    <row r="1589" spans="7:9" s="91" customFormat="1" ht="12.75">
      <c r="G1589" s="449"/>
      <c r="H1589" s="98"/>
      <c r="I1589" s="98"/>
    </row>
    <row r="1590" spans="7:9" s="91" customFormat="1" ht="12.75">
      <c r="G1590" s="449"/>
      <c r="H1590" s="98"/>
      <c r="I1590" s="98"/>
    </row>
    <row r="1591" spans="7:9" s="91" customFormat="1" ht="12.75">
      <c r="G1591" s="449"/>
      <c r="H1591" s="98"/>
      <c r="I1591" s="98"/>
    </row>
    <row r="1592" spans="7:9" s="91" customFormat="1" ht="12.75">
      <c r="G1592" s="449"/>
      <c r="H1592" s="98"/>
      <c r="I1592" s="98"/>
    </row>
    <row r="1593" spans="7:9" s="91" customFormat="1" ht="12.75">
      <c r="G1593" s="449"/>
      <c r="H1593" s="98"/>
      <c r="I1593" s="98"/>
    </row>
    <row r="1594" spans="7:9" s="91" customFormat="1" ht="12.75">
      <c r="G1594" s="449"/>
      <c r="H1594" s="98"/>
      <c r="I1594" s="98"/>
    </row>
    <row r="1595" spans="7:9" s="91" customFormat="1" ht="12.75">
      <c r="G1595" s="449"/>
      <c r="H1595" s="98"/>
      <c r="I1595" s="98"/>
    </row>
    <row r="1596" spans="7:9" s="91" customFormat="1" ht="12.75">
      <c r="G1596" s="449"/>
      <c r="H1596" s="98"/>
      <c r="I1596" s="98"/>
    </row>
    <row r="1597" spans="7:9" s="91" customFormat="1" ht="12.75">
      <c r="G1597" s="449"/>
      <c r="H1597" s="98"/>
      <c r="I1597" s="98"/>
    </row>
    <row r="1598" spans="7:9" s="91" customFormat="1" ht="12.75">
      <c r="G1598" s="449"/>
      <c r="H1598" s="98"/>
      <c r="I1598" s="98"/>
    </row>
    <row r="1599" spans="7:9" s="91" customFormat="1" ht="12.75">
      <c r="G1599" s="449"/>
      <c r="H1599" s="98"/>
      <c r="I1599" s="98"/>
    </row>
    <row r="1600" spans="7:9" s="91" customFormat="1" ht="12.75">
      <c r="G1600" s="449"/>
      <c r="H1600" s="98"/>
      <c r="I1600" s="98"/>
    </row>
    <row r="1601" spans="7:9" s="91" customFormat="1" ht="12.75">
      <c r="G1601" s="449"/>
      <c r="H1601" s="98"/>
      <c r="I1601" s="98"/>
    </row>
    <row r="1602" spans="7:9" s="91" customFormat="1" ht="12.75">
      <c r="G1602" s="449"/>
      <c r="H1602" s="98"/>
      <c r="I1602" s="98"/>
    </row>
    <row r="1603" spans="7:9" s="91" customFormat="1" ht="12.75">
      <c r="G1603" s="449"/>
      <c r="H1603" s="98"/>
      <c r="I1603" s="98"/>
    </row>
    <row r="1604" spans="7:9" s="91" customFormat="1" ht="12.75">
      <c r="G1604" s="449"/>
      <c r="H1604" s="98"/>
      <c r="I1604" s="98"/>
    </row>
    <row r="1605" spans="7:9" s="91" customFormat="1" ht="12.75">
      <c r="G1605" s="449"/>
      <c r="H1605" s="98"/>
      <c r="I1605" s="98"/>
    </row>
    <row r="1606" spans="7:9" s="91" customFormat="1" ht="12.75">
      <c r="G1606" s="449"/>
      <c r="H1606" s="98"/>
      <c r="I1606" s="98"/>
    </row>
    <row r="1607" spans="7:9" s="91" customFormat="1" ht="12.75">
      <c r="G1607" s="449"/>
      <c r="H1607" s="98"/>
      <c r="I1607" s="98"/>
    </row>
    <row r="1608" spans="7:9" s="91" customFormat="1" ht="12.75">
      <c r="G1608" s="449"/>
      <c r="H1608" s="98"/>
      <c r="I1608" s="98"/>
    </row>
    <row r="1609" spans="7:9" s="91" customFormat="1" ht="12.75">
      <c r="G1609" s="449"/>
      <c r="H1609" s="98"/>
      <c r="I1609" s="98"/>
    </row>
    <row r="1610" spans="7:9" s="91" customFormat="1" ht="12.75">
      <c r="G1610" s="449"/>
      <c r="H1610" s="98"/>
      <c r="I1610" s="98"/>
    </row>
    <row r="1611" spans="7:9" s="91" customFormat="1" ht="12.75">
      <c r="G1611" s="449"/>
      <c r="H1611" s="98"/>
      <c r="I1611" s="98"/>
    </row>
    <row r="1612" spans="7:9" s="91" customFormat="1" ht="12.75">
      <c r="G1612" s="449"/>
      <c r="H1612" s="98"/>
      <c r="I1612" s="98"/>
    </row>
    <row r="1613" spans="7:9" s="91" customFormat="1" ht="12.75">
      <c r="G1613" s="449"/>
      <c r="H1613" s="98"/>
      <c r="I1613" s="98"/>
    </row>
    <row r="1614" spans="7:9" s="91" customFormat="1" ht="12.75">
      <c r="G1614" s="449"/>
      <c r="H1614" s="98"/>
      <c r="I1614" s="98"/>
    </row>
    <row r="1615" spans="7:9" s="91" customFormat="1" ht="12.75">
      <c r="G1615" s="449"/>
      <c r="H1615" s="98"/>
      <c r="I1615" s="98"/>
    </row>
    <row r="1616" spans="7:9" s="91" customFormat="1" ht="12.75">
      <c r="G1616" s="449"/>
      <c r="H1616" s="98"/>
      <c r="I1616" s="98"/>
    </row>
    <row r="1617" spans="7:9" s="91" customFormat="1" ht="12.75">
      <c r="G1617" s="449"/>
      <c r="H1617" s="98"/>
      <c r="I1617" s="98"/>
    </row>
    <row r="1618" spans="7:9" s="91" customFormat="1" ht="12.75">
      <c r="G1618" s="449"/>
      <c r="H1618" s="98"/>
      <c r="I1618" s="98"/>
    </row>
    <row r="1619" spans="7:9" s="91" customFormat="1" ht="12.75">
      <c r="G1619" s="449"/>
      <c r="H1619" s="98"/>
      <c r="I1619" s="98"/>
    </row>
    <row r="1620" spans="7:9" s="91" customFormat="1" ht="12.75">
      <c r="G1620" s="449"/>
      <c r="H1620" s="98"/>
      <c r="I1620" s="98"/>
    </row>
    <row r="1621" spans="7:9" s="91" customFormat="1" ht="12.75">
      <c r="G1621" s="449"/>
      <c r="H1621" s="98"/>
      <c r="I1621" s="98"/>
    </row>
    <row r="1622" spans="7:9" s="91" customFormat="1" ht="12.75">
      <c r="G1622" s="449"/>
      <c r="H1622" s="98"/>
      <c r="I1622" s="98"/>
    </row>
    <row r="1623" spans="7:9" s="91" customFormat="1" ht="12.75">
      <c r="G1623" s="449"/>
      <c r="H1623" s="98"/>
      <c r="I1623" s="98"/>
    </row>
    <row r="1624" spans="7:9" s="91" customFormat="1" ht="12.75">
      <c r="G1624" s="449"/>
      <c r="H1624" s="98"/>
      <c r="I1624" s="98"/>
    </row>
    <row r="1625" spans="7:9" s="91" customFormat="1" ht="12.75">
      <c r="G1625" s="449"/>
      <c r="H1625" s="98"/>
      <c r="I1625" s="98"/>
    </row>
    <row r="1626" spans="7:9" s="91" customFormat="1" ht="12.75">
      <c r="G1626" s="449"/>
      <c r="H1626" s="98"/>
      <c r="I1626" s="98"/>
    </row>
    <row r="1627" spans="7:9" s="91" customFormat="1" ht="12.75">
      <c r="G1627" s="449"/>
      <c r="H1627" s="98"/>
      <c r="I1627" s="98"/>
    </row>
    <row r="1628" spans="7:9" s="91" customFormat="1" ht="12.75">
      <c r="G1628" s="449"/>
      <c r="H1628" s="98"/>
      <c r="I1628" s="98"/>
    </row>
    <row r="1629" spans="7:9" s="91" customFormat="1" ht="12.75">
      <c r="G1629" s="449"/>
      <c r="H1629" s="98"/>
      <c r="I1629" s="98"/>
    </row>
    <row r="1630" spans="7:9" s="91" customFormat="1" ht="12.75">
      <c r="G1630" s="449"/>
      <c r="H1630" s="98"/>
      <c r="I1630" s="98"/>
    </row>
    <row r="1631" spans="7:9" s="91" customFormat="1" ht="12.75">
      <c r="G1631" s="449"/>
      <c r="H1631" s="98"/>
      <c r="I1631" s="98"/>
    </row>
    <row r="1632" spans="7:9" s="91" customFormat="1" ht="12.75">
      <c r="G1632" s="449"/>
      <c r="H1632" s="98"/>
      <c r="I1632" s="98"/>
    </row>
    <row r="1633" spans="7:9" s="91" customFormat="1" ht="12.75">
      <c r="G1633" s="449"/>
      <c r="H1633" s="98"/>
      <c r="I1633" s="98"/>
    </row>
    <row r="1634" spans="7:9" s="91" customFormat="1" ht="12.75">
      <c r="G1634" s="449"/>
      <c r="H1634" s="98"/>
      <c r="I1634" s="98"/>
    </row>
    <row r="1635" spans="7:9" s="91" customFormat="1" ht="12.75">
      <c r="G1635" s="449"/>
      <c r="H1635" s="98"/>
      <c r="I1635" s="98"/>
    </row>
    <row r="1636" spans="7:9" s="91" customFormat="1" ht="12.75">
      <c r="G1636" s="449"/>
      <c r="H1636" s="98"/>
      <c r="I1636" s="98"/>
    </row>
    <row r="1637" spans="7:9" s="91" customFormat="1" ht="12.75">
      <c r="G1637" s="449"/>
      <c r="H1637" s="98"/>
      <c r="I1637" s="98"/>
    </row>
    <row r="1638" spans="7:9" s="91" customFormat="1" ht="12.75">
      <c r="G1638" s="449"/>
      <c r="H1638" s="98"/>
      <c r="I1638" s="98"/>
    </row>
    <row r="1639" spans="7:9" s="91" customFormat="1" ht="12.75">
      <c r="G1639" s="449"/>
      <c r="H1639" s="98"/>
      <c r="I1639" s="98"/>
    </row>
    <row r="1640" spans="7:9" s="91" customFormat="1" ht="12.75">
      <c r="G1640" s="449"/>
      <c r="H1640" s="98"/>
      <c r="I1640" s="98"/>
    </row>
    <row r="1641" spans="7:9" s="91" customFormat="1" ht="12.75">
      <c r="G1641" s="449"/>
      <c r="H1641" s="98"/>
      <c r="I1641" s="98"/>
    </row>
    <row r="1642" spans="7:9" s="91" customFormat="1" ht="12.75">
      <c r="G1642" s="449"/>
      <c r="H1642" s="98"/>
      <c r="I1642" s="98"/>
    </row>
    <row r="1643" spans="7:9" s="91" customFormat="1" ht="12.75">
      <c r="G1643" s="449"/>
      <c r="H1643" s="98"/>
      <c r="I1643" s="98"/>
    </row>
    <row r="1644" spans="7:9" s="91" customFormat="1" ht="12.75">
      <c r="G1644" s="449"/>
      <c r="H1644" s="98"/>
      <c r="I1644" s="98"/>
    </row>
    <row r="1645" spans="7:9" s="91" customFormat="1" ht="12.75">
      <c r="G1645" s="449"/>
      <c r="H1645" s="98"/>
      <c r="I1645" s="98"/>
    </row>
    <row r="1646" spans="7:9" s="91" customFormat="1" ht="12.75">
      <c r="G1646" s="449"/>
      <c r="H1646" s="98"/>
      <c r="I1646" s="98"/>
    </row>
    <row r="1647" spans="7:9" s="91" customFormat="1" ht="12.75">
      <c r="G1647" s="449"/>
      <c r="H1647" s="98"/>
      <c r="I1647" s="98"/>
    </row>
    <row r="1648" spans="7:9" s="91" customFormat="1" ht="12.75">
      <c r="G1648" s="449"/>
      <c r="H1648" s="98"/>
      <c r="I1648" s="98"/>
    </row>
    <row r="1649" spans="7:9" s="91" customFormat="1" ht="12.75">
      <c r="G1649" s="449"/>
      <c r="H1649" s="98"/>
      <c r="I1649" s="98"/>
    </row>
    <row r="1650" spans="7:9" s="91" customFormat="1" ht="12.75">
      <c r="G1650" s="449"/>
      <c r="H1650" s="98"/>
      <c r="I1650" s="98"/>
    </row>
    <row r="1651" spans="7:9" s="91" customFormat="1" ht="12.75">
      <c r="G1651" s="449"/>
      <c r="H1651" s="98"/>
      <c r="I1651" s="98"/>
    </row>
    <row r="1652" spans="7:9" s="91" customFormat="1" ht="12.75">
      <c r="G1652" s="449"/>
      <c r="H1652" s="98"/>
      <c r="I1652" s="98"/>
    </row>
    <row r="1653" spans="7:9" s="91" customFormat="1" ht="12.75">
      <c r="G1653" s="449"/>
      <c r="H1653" s="98"/>
      <c r="I1653" s="98"/>
    </row>
    <row r="1654" spans="7:9" s="91" customFormat="1" ht="12.75">
      <c r="G1654" s="449"/>
      <c r="H1654" s="98"/>
      <c r="I1654" s="98"/>
    </row>
    <row r="1655" spans="7:9" s="91" customFormat="1" ht="12.75">
      <c r="G1655" s="449"/>
      <c r="H1655" s="98"/>
      <c r="I1655" s="98"/>
    </row>
    <row r="1656" spans="7:9" s="91" customFormat="1" ht="12.75">
      <c r="G1656" s="449"/>
      <c r="H1656" s="98"/>
      <c r="I1656" s="98"/>
    </row>
    <row r="1657" spans="7:9" s="91" customFormat="1" ht="12.75">
      <c r="G1657" s="449"/>
      <c r="H1657" s="98"/>
      <c r="I1657" s="98"/>
    </row>
    <row r="1658" spans="7:9" s="91" customFormat="1" ht="12.75">
      <c r="G1658" s="449"/>
      <c r="H1658" s="98"/>
      <c r="I1658" s="98"/>
    </row>
    <row r="1659" spans="7:9" s="91" customFormat="1" ht="12.75">
      <c r="G1659" s="449"/>
      <c r="H1659" s="98"/>
      <c r="I1659" s="98"/>
    </row>
    <row r="1660" spans="7:9" s="91" customFormat="1" ht="12.75">
      <c r="G1660" s="449"/>
      <c r="H1660" s="98"/>
      <c r="I1660" s="98"/>
    </row>
    <row r="1661" spans="7:9" s="91" customFormat="1" ht="12.75">
      <c r="G1661" s="449"/>
      <c r="H1661" s="98"/>
      <c r="I1661" s="98"/>
    </row>
    <row r="1662" spans="7:9" s="91" customFormat="1" ht="12.75">
      <c r="G1662" s="449"/>
      <c r="H1662" s="98"/>
      <c r="I1662" s="98"/>
    </row>
    <row r="1663" spans="7:9" s="91" customFormat="1" ht="12.75">
      <c r="G1663" s="449"/>
      <c r="H1663" s="98"/>
      <c r="I1663" s="98"/>
    </row>
    <row r="1664" spans="7:9" s="91" customFormat="1" ht="12.75">
      <c r="G1664" s="449"/>
      <c r="H1664" s="98"/>
      <c r="I1664" s="98"/>
    </row>
    <row r="1665" spans="7:9" s="91" customFormat="1" ht="12.75">
      <c r="G1665" s="449"/>
      <c r="H1665" s="98"/>
      <c r="I1665" s="98"/>
    </row>
    <row r="1666" spans="7:9" s="91" customFormat="1" ht="12.75">
      <c r="G1666" s="449"/>
      <c r="H1666" s="98"/>
      <c r="I1666" s="98"/>
    </row>
    <row r="1667" spans="7:9" s="91" customFormat="1" ht="12.75">
      <c r="G1667" s="449"/>
      <c r="H1667" s="98"/>
      <c r="I1667" s="98"/>
    </row>
    <row r="1668" spans="7:9" s="91" customFormat="1" ht="12.75">
      <c r="G1668" s="449"/>
      <c r="H1668" s="98"/>
      <c r="I1668" s="98"/>
    </row>
    <row r="1669" spans="7:9" s="91" customFormat="1" ht="12.75">
      <c r="G1669" s="449"/>
      <c r="H1669" s="98"/>
      <c r="I1669" s="98"/>
    </row>
    <row r="1670" spans="7:9" s="91" customFormat="1" ht="12.75">
      <c r="G1670" s="449"/>
      <c r="H1670" s="98"/>
      <c r="I1670" s="98"/>
    </row>
    <row r="1671" spans="7:9" s="91" customFormat="1" ht="12.75">
      <c r="G1671" s="449"/>
      <c r="H1671" s="98"/>
      <c r="I1671" s="98"/>
    </row>
    <row r="1672" spans="7:9" s="91" customFormat="1" ht="12.75">
      <c r="G1672" s="449"/>
      <c r="H1672" s="98"/>
      <c r="I1672" s="98"/>
    </row>
    <row r="1673" spans="7:9" s="91" customFormat="1" ht="12.75">
      <c r="G1673" s="449"/>
      <c r="H1673" s="98"/>
      <c r="I1673" s="98"/>
    </row>
    <row r="1674" spans="7:9" s="91" customFormat="1" ht="12.75">
      <c r="G1674" s="449"/>
      <c r="H1674" s="98"/>
      <c r="I1674" s="98"/>
    </row>
    <row r="1675" spans="7:9" s="91" customFormat="1" ht="12.75">
      <c r="G1675" s="449"/>
      <c r="H1675" s="98"/>
      <c r="I1675" s="98"/>
    </row>
    <row r="1676" spans="7:9" s="91" customFormat="1" ht="12.75">
      <c r="G1676" s="449"/>
      <c r="H1676" s="98"/>
      <c r="I1676" s="98"/>
    </row>
    <row r="1677" spans="7:9" s="91" customFormat="1" ht="12.75">
      <c r="G1677" s="449"/>
      <c r="H1677" s="98"/>
      <c r="I1677" s="98"/>
    </row>
    <row r="1678" spans="7:9" s="91" customFormat="1" ht="12.75">
      <c r="G1678" s="449"/>
      <c r="H1678" s="98"/>
      <c r="I1678" s="98"/>
    </row>
    <row r="1679" spans="7:9" s="91" customFormat="1" ht="12.75">
      <c r="G1679" s="449"/>
      <c r="H1679" s="98"/>
      <c r="I1679" s="98"/>
    </row>
    <row r="1680" spans="7:9" s="91" customFormat="1" ht="12.75">
      <c r="G1680" s="449"/>
      <c r="H1680" s="98"/>
      <c r="I1680" s="98"/>
    </row>
    <row r="1681" spans="7:9" s="91" customFormat="1" ht="12.75">
      <c r="G1681" s="449"/>
      <c r="H1681" s="98"/>
      <c r="I1681" s="98"/>
    </row>
    <row r="1682" spans="7:9" s="91" customFormat="1" ht="12.75">
      <c r="G1682" s="449"/>
      <c r="H1682" s="98"/>
      <c r="I1682" s="98"/>
    </row>
    <row r="1683" spans="7:9" s="91" customFormat="1" ht="12.75">
      <c r="G1683" s="449"/>
      <c r="H1683" s="98"/>
      <c r="I1683" s="98"/>
    </row>
    <row r="1684" spans="7:9" s="91" customFormat="1" ht="12.75">
      <c r="G1684" s="449"/>
      <c r="H1684" s="98"/>
      <c r="I1684" s="98"/>
    </row>
    <row r="1685" spans="7:9" s="91" customFormat="1" ht="12.75">
      <c r="G1685" s="449"/>
      <c r="H1685" s="98"/>
      <c r="I1685" s="98"/>
    </row>
    <row r="1686" spans="7:9" s="91" customFormat="1" ht="12.75">
      <c r="G1686" s="449"/>
      <c r="H1686" s="98"/>
      <c r="I1686" s="98"/>
    </row>
    <row r="1687" spans="7:9" s="91" customFormat="1" ht="12.75">
      <c r="G1687" s="449"/>
      <c r="H1687" s="98"/>
      <c r="I1687" s="98"/>
    </row>
    <row r="1688" spans="7:9" s="91" customFormat="1" ht="12.75">
      <c r="G1688" s="449"/>
      <c r="H1688" s="98"/>
      <c r="I1688" s="98"/>
    </row>
    <row r="1689" spans="7:9" s="91" customFormat="1" ht="12.75">
      <c r="G1689" s="449"/>
      <c r="H1689" s="98"/>
      <c r="I1689" s="98"/>
    </row>
    <row r="1690" spans="7:9" s="91" customFormat="1" ht="12.75">
      <c r="G1690" s="449"/>
      <c r="H1690" s="98"/>
      <c r="I1690" s="98"/>
    </row>
    <row r="1691" spans="7:9" s="91" customFormat="1" ht="12.75">
      <c r="G1691" s="449"/>
      <c r="H1691" s="98"/>
      <c r="I1691" s="98"/>
    </row>
    <row r="1692" spans="7:9" s="91" customFormat="1" ht="12.75">
      <c r="G1692" s="449"/>
      <c r="H1692" s="98"/>
      <c r="I1692" s="98"/>
    </row>
    <row r="1693" spans="7:9" s="91" customFormat="1" ht="12.75">
      <c r="G1693" s="449"/>
      <c r="H1693" s="98"/>
      <c r="I1693" s="98"/>
    </row>
    <row r="1694" spans="7:9" s="91" customFormat="1" ht="12.75">
      <c r="G1694" s="449"/>
      <c r="H1694" s="98"/>
      <c r="I1694" s="98"/>
    </row>
    <row r="1695" spans="7:9" s="91" customFormat="1" ht="12.75">
      <c r="G1695" s="449"/>
      <c r="H1695" s="98"/>
      <c r="I1695" s="98"/>
    </row>
    <row r="1696" spans="7:9" s="91" customFormat="1" ht="12.75">
      <c r="G1696" s="449"/>
      <c r="H1696" s="98"/>
      <c r="I1696" s="98"/>
    </row>
    <row r="1697" spans="7:9" s="91" customFormat="1" ht="12.75">
      <c r="G1697" s="449"/>
      <c r="H1697" s="98"/>
      <c r="I1697" s="98"/>
    </row>
    <row r="1698" spans="7:9" s="91" customFormat="1" ht="12.75">
      <c r="G1698" s="449"/>
      <c r="H1698" s="98"/>
      <c r="I1698" s="98"/>
    </row>
    <row r="1699" spans="7:9" s="91" customFormat="1" ht="12.75">
      <c r="G1699" s="449"/>
      <c r="H1699" s="98"/>
      <c r="I1699" s="98"/>
    </row>
    <row r="1700" spans="7:9" s="91" customFormat="1" ht="12.75">
      <c r="G1700" s="449"/>
      <c r="H1700" s="98"/>
      <c r="I1700" s="98"/>
    </row>
    <row r="1701" spans="7:9" s="91" customFormat="1" ht="12.75">
      <c r="G1701" s="449"/>
      <c r="H1701" s="98"/>
      <c r="I1701" s="98"/>
    </row>
    <row r="1702" spans="7:9" s="91" customFormat="1" ht="12.75">
      <c r="G1702" s="449"/>
      <c r="H1702" s="98"/>
      <c r="I1702" s="98"/>
    </row>
    <row r="1703" spans="7:9" s="91" customFormat="1" ht="12.75">
      <c r="G1703" s="449"/>
      <c r="H1703" s="98"/>
      <c r="I1703" s="98"/>
    </row>
    <row r="1704" spans="7:9" s="91" customFormat="1" ht="12.75">
      <c r="G1704" s="449"/>
      <c r="H1704" s="98"/>
      <c r="I1704" s="98"/>
    </row>
    <row r="1705" spans="7:9" s="91" customFormat="1" ht="12.75">
      <c r="G1705" s="449"/>
      <c r="H1705" s="98"/>
      <c r="I1705" s="98"/>
    </row>
    <row r="1706" spans="7:9" s="91" customFormat="1" ht="12.75">
      <c r="G1706" s="449"/>
      <c r="H1706" s="98"/>
      <c r="I1706" s="98"/>
    </row>
    <row r="1707" spans="7:9" s="91" customFormat="1" ht="12.75">
      <c r="G1707" s="449"/>
      <c r="H1707" s="98"/>
      <c r="I1707" s="98"/>
    </row>
    <row r="1708" spans="7:9" s="91" customFormat="1" ht="12.75">
      <c r="G1708" s="449"/>
      <c r="H1708" s="98"/>
      <c r="I1708" s="98"/>
    </row>
    <row r="1709" spans="7:9" s="91" customFormat="1" ht="12.75">
      <c r="G1709" s="449"/>
      <c r="H1709" s="98"/>
      <c r="I1709" s="98"/>
    </row>
    <row r="1710" spans="7:9" s="91" customFormat="1" ht="12.75">
      <c r="G1710" s="449"/>
      <c r="H1710" s="98"/>
      <c r="I1710" s="98"/>
    </row>
    <row r="1711" spans="7:9" s="91" customFormat="1" ht="12.75">
      <c r="G1711" s="449"/>
      <c r="H1711" s="98"/>
      <c r="I1711" s="98"/>
    </row>
    <row r="1712" spans="7:9" s="91" customFormat="1" ht="12.75">
      <c r="G1712" s="449"/>
      <c r="H1712" s="98"/>
      <c r="I1712" s="98"/>
    </row>
    <row r="1713" spans="7:9" s="91" customFormat="1" ht="12.75">
      <c r="G1713" s="449"/>
      <c r="H1713" s="98"/>
      <c r="I1713" s="98"/>
    </row>
    <row r="1714" spans="7:9" s="91" customFormat="1" ht="12.75">
      <c r="G1714" s="449"/>
      <c r="H1714" s="98"/>
      <c r="I1714" s="98"/>
    </row>
    <row r="1715" spans="7:9" s="91" customFormat="1" ht="12.75">
      <c r="G1715" s="449"/>
      <c r="H1715" s="98"/>
      <c r="I1715" s="98"/>
    </row>
    <row r="1716" spans="7:9" s="91" customFormat="1" ht="12.75">
      <c r="G1716" s="449"/>
      <c r="H1716" s="98"/>
      <c r="I1716" s="98"/>
    </row>
    <row r="1717" spans="7:9" s="91" customFormat="1" ht="12.75">
      <c r="G1717" s="449"/>
      <c r="H1717" s="98"/>
      <c r="I1717" s="98"/>
    </row>
    <row r="1718" spans="7:9" s="91" customFormat="1" ht="12.75">
      <c r="G1718" s="449"/>
      <c r="H1718" s="98"/>
      <c r="I1718" s="98"/>
    </row>
    <row r="1719" spans="7:9" s="91" customFormat="1" ht="12.75">
      <c r="G1719" s="449"/>
      <c r="H1719" s="98"/>
      <c r="I1719" s="98"/>
    </row>
    <row r="1720" spans="7:9" s="91" customFormat="1" ht="12.75">
      <c r="G1720" s="449"/>
      <c r="H1720" s="98"/>
      <c r="I1720" s="98"/>
    </row>
    <row r="1721" spans="7:9" s="91" customFormat="1" ht="12.75">
      <c r="G1721" s="449"/>
      <c r="H1721" s="98"/>
      <c r="I1721" s="98"/>
    </row>
    <row r="1722" spans="7:9" s="91" customFormat="1" ht="12.75">
      <c r="G1722" s="449"/>
      <c r="H1722" s="98"/>
      <c r="I1722" s="98"/>
    </row>
    <row r="1723" spans="7:9" s="91" customFormat="1" ht="12.75">
      <c r="G1723" s="449"/>
      <c r="H1723" s="98"/>
      <c r="I1723" s="98"/>
    </row>
    <row r="1724" spans="7:9" s="91" customFormat="1" ht="12.75">
      <c r="G1724" s="449"/>
      <c r="H1724" s="98"/>
      <c r="I1724" s="98"/>
    </row>
    <row r="1725" spans="7:9" s="91" customFormat="1" ht="12.75">
      <c r="G1725" s="449"/>
      <c r="H1725" s="98"/>
      <c r="I1725" s="98"/>
    </row>
    <row r="1726" spans="7:9" s="91" customFormat="1" ht="12.75">
      <c r="G1726" s="449"/>
      <c r="H1726" s="98"/>
      <c r="I1726" s="98"/>
    </row>
    <row r="1727" spans="7:9" s="91" customFormat="1" ht="12.75">
      <c r="G1727" s="449"/>
      <c r="H1727" s="98"/>
      <c r="I1727" s="98"/>
    </row>
    <row r="1728" spans="7:9" s="91" customFormat="1" ht="12.75">
      <c r="G1728" s="449"/>
      <c r="H1728" s="98"/>
      <c r="I1728" s="98"/>
    </row>
    <row r="1729" spans="7:9" s="91" customFormat="1" ht="12.75">
      <c r="G1729" s="449"/>
      <c r="H1729" s="98"/>
      <c r="I1729" s="98"/>
    </row>
    <row r="1730" spans="7:9" s="91" customFormat="1" ht="12.75">
      <c r="G1730" s="449"/>
      <c r="H1730" s="98"/>
      <c r="I1730" s="98"/>
    </row>
    <row r="1731" spans="7:9" s="91" customFormat="1" ht="12.75">
      <c r="G1731" s="449"/>
      <c r="H1731" s="98"/>
      <c r="I1731" s="98"/>
    </row>
    <row r="1732" spans="7:9" s="91" customFormat="1" ht="12.75">
      <c r="G1732" s="449"/>
      <c r="H1732" s="98"/>
      <c r="I1732" s="98"/>
    </row>
    <row r="1733" spans="7:9" s="91" customFormat="1" ht="12.75">
      <c r="G1733" s="449"/>
      <c r="H1733" s="98"/>
      <c r="I1733" s="98"/>
    </row>
    <row r="1734" spans="7:9" s="91" customFormat="1" ht="12.75">
      <c r="G1734" s="449"/>
      <c r="H1734" s="98"/>
      <c r="I1734" s="98"/>
    </row>
    <row r="1735" spans="7:9" s="91" customFormat="1" ht="12.75">
      <c r="G1735" s="449"/>
      <c r="H1735" s="98"/>
      <c r="I1735" s="98"/>
    </row>
    <row r="1736" spans="7:9" s="91" customFormat="1" ht="12.75">
      <c r="G1736" s="449"/>
      <c r="H1736" s="98"/>
      <c r="I1736" s="98"/>
    </row>
    <row r="1737" spans="7:9" s="91" customFormat="1" ht="12.75">
      <c r="G1737" s="449"/>
      <c r="H1737" s="98"/>
      <c r="I1737" s="98"/>
    </row>
    <row r="1738" spans="7:9" s="91" customFormat="1" ht="12.75">
      <c r="G1738" s="449"/>
      <c r="H1738" s="98"/>
      <c r="I1738" s="98"/>
    </row>
    <row r="1739" spans="7:9" s="91" customFormat="1" ht="12.75">
      <c r="G1739" s="449"/>
      <c r="H1739" s="98"/>
      <c r="I1739" s="98"/>
    </row>
    <row r="1740" spans="7:9" s="91" customFormat="1" ht="12.75">
      <c r="G1740" s="449"/>
      <c r="H1740" s="98"/>
      <c r="I1740" s="98"/>
    </row>
    <row r="1741" spans="7:9" s="91" customFormat="1" ht="12.75">
      <c r="G1741" s="449"/>
      <c r="H1741" s="98"/>
      <c r="I1741" s="98"/>
    </row>
    <row r="1742" spans="7:9" s="91" customFormat="1" ht="12.75">
      <c r="G1742" s="449"/>
      <c r="H1742" s="98"/>
      <c r="I1742" s="98"/>
    </row>
    <row r="1743" spans="7:9" s="91" customFormat="1" ht="12.75">
      <c r="G1743" s="449"/>
      <c r="H1743" s="98"/>
      <c r="I1743" s="98"/>
    </row>
    <row r="1744" spans="7:9" s="91" customFormat="1" ht="12.75">
      <c r="G1744" s="449"/>
      <c r="H1744" s="98"/>
      <c r="I1744" s="98"/>
    </row>
    <row r="1745" spans="7:9" s="91" customFormat="1" ht="12.75">
      <c r="G1745" s="449"/>
      <c r="H1745" s="98"/>
      <c r="I1745" s="98"/>
    </row>
    <row r="1746" spans="7:9" s="91" customFormat="1" ht="12.75">
      <c r="G1746" s="449"/>
      <c r="H1746" s="98"/>
      <c r="I1746" s="98"/>
    </row>
    <row r="1747" spans="7:9" s="91" customFormat="1" ht="12.75">
      <c r="G1747" s="449"/>
      <c r="H1747" s="98"/>
      <c r="I1747" s="98"/>
    </row>
    <row r="1748" spans="7:9" s="91" customFormat="1" ht="12.75">
      <c r="G1748" s="449"/>
      <c r="H1748" s="98"/>
      <c r="I1748" s="98"/>
    </row>
    <row r="1749" spans="7:9" s="91" customFormat="1" ht="12.75">
      <c r="G1749" s="449"/>
      <c r="H1749" s="98"/>
      <c r="I1749" s="98"/>
    </row>
    <row r="1750" spans="7:9" s="91" customFormat="1" ht="12.75">
      <c r="G1750" s="449"/>
      <c r="H1750" s="98"/>
      <c r="I1750" s="98"/>
    </row>
    <row r="1751" spans="7:9" s="91" customFormat="1" ht="12.75">
      <c r="G1751" s="449"/>
      <c r="H1751" s="98"/>
      <c r="I1751" s="98"/>
    </row>
    <row r="1752" spans="7:9" s="91" customFormat="1" ht="12.75">
      <c r="G1752" s="449"/>
      <c r="H1752" s="98"/>
      <c r="I1752" s="98"/>
    </row>
    <row r="1753" spans="7:9" s="91" customFormat="1" ht="12.75">
      <c r="G1753" s="449"/>
      <c r="H1753" s="98"/>
      <c r="I1753" s="98"/>
    </row>
    <row r="1754" spans="7:9" s="91" customFormat="1" ht="12.75">
      <c r="G1754" s="449"/>
      <c r="H1754" s="98"/>
      <c r="I1754" s="98"/>
    </row>
    <row r="1755" spans="7:9" s="91" customFormat="1" ht="12.75">
      <c r="G1755" s="449"/>
      <c r="H1755" s="98"/>
      <c r="I1755" s="98"/>
    </row>
    <row r="1756" spans="7:9" s="91" customFormat="1" ht="12.75">
      <c r="G1756" s="449"/>
      <c r="H1756" s="98"/>
      <c r="I1756" s="98"/>
    </row>
    <row r="1757" spans="7:9" s="91" customFormat="1" ht="12.75">
      <c r="G1757" s="449"/>
      <c r="H1757" s="98"/>
      <c r="I1757" s="98"/>
    </row>
    <row r="1758" spans="7:9" s="91" customFormat="1" ht="12.75">
      <c r="G1758" s="449"/>
      <c r="H1758" s="98"/>
      <c r="I1758" s="98"/>
    </row>
    <row r="1759" spans="7:9" s="91" customFormat="1" ht="12.75">
      <c r="G1759" s="449"/>
      <c r="H1759" s="98"/>
      <c r="I1759" s="98"/>
    </row>
    <row r="1760" spans="7:9" s="91" customFormat="1" ht="12.75">
      <c r="G1760" s="449"/>
      <c r="H1760" s="98"/>
      <c r="I1760" s="98"/>
    </row>
    <row r="1761" spans="7:9" s="91" customFormat="1" ht="12.75">
      <c r="G1761" s="449"/>
      <c r="H1761" s="98"/>
      <c r="I1761" s="98"/>
    </row>
    <row r="1762" spans="7:9" s="91" customFormat="1" ht="12.75">
      <c r="G1762" s="449"/>
      <c r="H1762" s="98"/>
      <c r="I1762" s="98"/>
    </row>
    <row r="1763" spans="7:9" s="91" customFormat="1" ht="12.75">
      <c r="G1763" s="449"/>
      <c r="H1763" s="98"/>
      <c r="I1763" s="98"/>
    </row>
    <row r="1764" spans="7:9" s="91" customFormat="1" ht="12.75">
      <c r="G1764" s="449"/>
      <c r="H1764" s="98"/>
      <c r="I1764" s="98"/>
    </row>
    <row r="1765" spans="7:9" s="91" customFormat="1" ht="12.75">
      <c r="G1765" s="449"/>
      <c r="H1765" s="98"/>
      <c r="I1765" s="98"/>
    </row>
    <row r="1766" spans="7:9" s="91" customFormat="1" ht="12.75">
      <c r="G1766" s="449"/>
      <c r="H1766" s="98"/>
      <c r="I1766" s="98"/>
    </row>
    <row r="1767" spans="7:9" s="91" customFormat="1" ht="12.75">
      <c r="G1767" s="449"/>
      <c r="H1767" s="98"/>
      <c r="I1767" s="98"/>
    </row>
    <row r="1768" spans="7:9" s="91" customFormat="1" ht="12.75">
      <c r="G1768" s="449"/>
      <c r="H1768" s="98"/>
      <c r="I1768" s="98"/>
    </row>
    <row r="1769" spans="7:9" s="91" customFormat="1" ht="12.75">
      <c r="G1769" s="449"/>
      <c r="H1769" s="98"/>
      <c r="I1769" s="98"/>
    </row>
    <row r="1770" spans="7:9" s="91" customFormat="1" ht="12.75">
      <c r="G1770" s="449"/>
      <c r="H1770" s="98"/>
      <c r="I1770" s="98"/>
    </row>
    <row r="1771" spans="7:9" s="91" customFormat="1" ht="12.75">
      <c r="G1771" s="449"/>
      <c r="H1771" s="98"/>
      <c r="I1771" s="98"/>
    </row>
    <row r="1772" spans="7:9" s="91" customFormat="1" ht="12.75">
      <c r="G1772" s="449"/>
      <c r="H1772" s="98"/>
      <c r="I1772" s="98"/>
    </row>
    <row r="1773" spans="7:9" s="91" customFormat="1" ht="12.75">
      <c r="G1773" s="449"/>
      <c r="H1773" s="98"/>
      <c r="I1773" s="98"/>
    </row>
    <row r="1774" spans="7:9" s="91" customFormat="1" ht="12.75">
      <c r="G1774" s="449"/>
      <c r="H1774" s="98"/>
      <c r="I1774" s="98"/>
    </row>
    <row r="1775" spans="7:9" s="91" customFormat="1" ht="12.75">
      <c r="G1775" s="449"/>
      <c r="H1775" s="98"/>
      <c r="I1775" s="98"/>
    </row>
    <row r="1776" spans="7:9" s="91" customFormat="1" ht="12.75">
      <c r="G1776" s="449"/>
      <c r="H1776" s="98"/>
      <c r="I1776" s="98"/>
    </row>
    <row r="1777" spans="7:9" s="91" customFormat="1" ht="12.75">
      <c r="G1777" s="449"/>
      <c r="H1777" s="98"/>
      <c r="I1777" s="98"/>
    </row>
    <row r="1778" spans="7:9" s="91" customFormat="1" ht="12.75">
      <c r="G1778" s="449"/>
      <c r="H1778" s="98"/>
      <c r="I1778" s="98"/>
    </row>
    <row r="1779" spans="7:9" s="91" customFormat="1" ht="12.75">
      <c r="G1779" s="449"/>
      <c r="H1779" s="98"/>
      <c r="I1779" s="98"/>
    </row>
    <row r="1780" spans="7:9" s="91" customFormat="1" ht="12.75">
      <c r="G1780" s="449"/>
      <c r="H1780" s="98"/>
      <c r="I1780" s="98"/>
    </row>
    <row r="1781" spans="7:9" s="91" customFormat="1" ht="12.75">
      <c r="G1781" s="449"/>
      <c r="H1781" s="98"/>
      <c r="I1781" s="98"/>
    </row>
    <row r="1782" spans="7:9" s="91" customFormat="1" ht="12.75">
      <c r="G1782" s="449"/>
      <c r="H1782" s="98"/>
      <c r="I1782" s="98"/>
    </row>
    <row r="1783" spans="7:9" s="91" customFormat="1" ht="12.75">
      <c r="G1783" s="449"/>
      <c r="H1783" s="98"/>
      <c r="I1783" s="98"/>
    </row>
    <row r="1784" spans="7:9" s="91" customFormat="1" ht="12.75">
      <c r="G1784" s="449"/>
      <c r="H1784" s="98"/>
      <c r="I1784" s="98"/>
    </row>
    <row r="1785" spans="7:9" s="91" customFormat="1" ht="12.75">
      <c r="G1785" s="449"/>
      <c r="H1785" s="98"/>
      <c r="I1785" s="98"/>
    </row>
    <row r="1786" spans="7:9" s="91" customFormat="1" ht="12.75">
      <c r="G1786" s="449"/>
      <c r="H1786" s="98"/>
      <c r="I1786" s="98"/>
    </row>
    <row r="1787" spans="7:9" s="91" customFormat="1" ht="12.75">
      <c r="G1787" s="449"/>
      <c r="H1787" s="98"/>
      <c r="I1787" s="98"/>
    </row>
    <row r="1788" spans="7:9" s="91" customFormat="1" ht="12.75">
      <c r="G1788" s="449"/>
      <c r="H1788" s="98"/>
      <c r="I1788" s="98"/>
    </row>
    <row r="1789" spans="7:9" s="91" customFormat="1" ht="12.75">
      <c r="G1789" s="449"/>
      <c r="H1789" s="98"/>
      <c r="I1789" s="98"/>
    </row>
    <row r="1790" spans="7:9" s="91" customFormat="1" ht="12.75">
      <c r="G1790" s="449"/>
      <c r="H1790" s="98"/>
      <c r="I1790" s="98"/>
    </row>
    <row r="1791" spans="7:9" s="91" customFormat="1" ht="12.75">
      <c r="G1791" s="449"/>
      <c r="H1791" s="98"/>
      <c r="I1791" s="98"/>
    </row>
    <row r="1792" spans="7:9" s="91" customFormat="1" ht="12.75">
      <c r="G1792" s="449"/>
      <c r="H1792" s="98"/>
      <c r="I1792" s="98"/>
    </row>
    <row r="1793" spans="7:9" s="91" customFormat="1" ht="12.75">
      <c r="G1793" s="449"/>
      <c r="H1793" s="98"/>
      <c r="I1793" s="98"/>
    </row>
    <row r="1794" spans="7:9" s="91" customFormat="1" ht="12.75">
      <c r="G1794" s="449"/>
      <c r="H1794" s="98"/>
      <c r="I1794" s="98"/>
    </row>
    <row r="1795" spans="7:9" s="91" customFormat="1" ht="12.75">
      <c r="G1795" s="449"/>
      <c r="H1795" s="98"/>
      <c r="I1795" s="98"/>
    </row>
    <row r="1796" spans="7:9" s="91" customFormat="1" ht="12.75">
      <c r="G1796" s="449"/>
      <c r="H1796" s="98"/>
      <c r="I1796" s="98"/>
    </row>
    <row r="1797" spans="7:9" s="91" customFormat="1" ht="12.75">
      <c r="G1797" s="449"/>
      <c r="H1797" s="98"/>
      <c r="I1797" s="98"/>
    </row>
    <row r="1798" spans="7:9" s="91" customFormat="1" ht="12.75">
      <c r="G1798" s="449"/>
      <c r="H1798" s="98"/>
      <c r="I1798" s="98"/>
    </row>
    <row r="1799" spans="7:9" s="91" customFormat="1" ht="12.75">
      <c r="G1799" s="449"/>
      <c r="H1799" s="98"/>
      <c r="I1799" s="98"/>
    </row>
    <row r="1800" spans="7:9" s="91" customFormat="1" ht="12.75">
      <c r="G1800" s="449"/>
      <c r="H1800" s="98"/>
      <c r="I1800" s="98"/>
    </row>
    <row r="1801" spans="7:9" s="91" customFormat="1" ht="12.75">
      <c r="G1801" s="449"/>
      <c r="H1801" s="98"/>
      <c r="I1801" s="98"/>
    </row>
    <row r="1802" spans="7:9" s="91" customFormat="1" ht="12.75">
      <c r="G1802" s="449"/>
      <c r="H1802" s="98"/>
      <c r="I1802" s="98"/>
    </row>
    <row r="1803" spans="7:9" s="91" customFormat="1" ht="12.75">
      <c r="G1803" s="449"/>
      <c r="H1803" s="98"/>
      <c r="I1803" s="98"/>
    </row>
    <row r="1804" spans="7:9" s="91" customFormat="1" ht="12.75">
      <c r="G1804" s="449"/>
      <c r="H1804" s="98"/>
      <c r="I1804" s="98"/>
    </row>
    <row r="1805" spans="7:9" s="91" customFormat="1" ht="12.75">
      <c r="G1805" s="449"/>
      <c r="H1805" s="98"/>
      <c r="I1805" s="98"/>
    </row>
    <row r="1806" spans="7:9" s="91" customFormat="1" ht="12.75">
      <c r="G1806" s="449"/>
      <c r="H1806" s="98"/>
      <c r="I1806" s="98"/>
    </row>
    <row r="1807" spans="7:9" s="91" customFormat="1" ht="12.75">
      <c r="G1807" s="449"/>
      <c r="H1807" s="98"/>
      <c r="I1807" s="98"/>
    </row>
    <row r="1808" spans="7:9" s="91" customFormat="1" ht="12.75">
      <c r="G1808" s="449"/>
      <c r="H1808" s="98"/>
      <c r="I1808" s="98"/>
    </row>
    <row r="1809" spans="7:9" s="91" customFormat="1" ht="12.75">
      <c r="G1809" s="449"/>
      <c r="H1809" s="98"/>
      <c r="I1809" s="98"/>
    </row>
    <row r="1810" spans="7:9" s="91" customFormat="1" ht="12.75">
      <c r="G1810" s="449"/>
      <c r="H1810" s="98"/>
      <c r="I1810" s="98"/>
    </row>
    <row r="1811" spans="7:9" s="91" customFormat="1" ht="12.75">
      <c r="G1811" s="449"/>
      <c r="H1811" s="98"/>
      <c r="I1811" s="98"/>
    </row>
    <row r="1812" spans="7:9" s="91" customFormat="1" ht="12.75">
      <c r="G1812" s="449"/>
      <c r="H1812" s="98"/>
      <c r="I1812" s="98"/>
    </row>
    <row r="1813" spans="7:9" s="91" customFormat="1" ht="12.75">
      <c r="G1813" s="449"/>
      <c r="H1813" s="98"/>
      <c r="I1813" s="98"/>
    </row>
    <row r="1814" spans="7:9" s="91" customFormat="1" ht="12.75">
      <c r="G1814" s="449"/>
      <c r="H1814" s="98"/>
      <c r="I1814" s="98"/>
    </row>
    <row r="1815" spans="7:9" s="91" customFormat="1" ht="12.75">
      <c r="G1815" s="449"/>
      <c r="H1815" s="98"/>
      <c r="I1815" s="98"/>
    </row>
    <row r="1816" spans="7:9" s="91" customFormat="1" ht="12.75">
      <c r="G1816" s="449"/>
      <c r="H1816" s="98"/>
      <c r="I1816" s="98"/>
    </row>
    <row r="1817" spans="7:9" s="91" customFormat="1" ht="12.75">
      <c r="G1817" s="449"/>
      <c r="H1817" s="98"/>
      <c r="I1817" s="98"/>
    </row>
    <row r="1818" spans="7:9" s="91" customFormat="1" ht="12.75">
      <c r="G1818" s="449"/>
      <c r="H1818" s="98"/>
      <c r="I1818" s="98"/>
    </row>
    <row r="1819" spans="7:9" s="91" customFormat="1" ht="12.75">
      <c r="G1819" s="449"/>
      <c r="H1819" s="98"/>
      <c r="I1819" s="98"/>
    </row>
    <row r="1820" spans="7:9" s="91" customFormat="1" ht="12.75">
      <c r="G1820" s="449"/>
      <c r="H1820" s="98"/>
      <c r="I1820" s="98"/>
    </row>
    <row r="1821" spans="7:9" s="91" customFormat="1" ht="12.75">
      <c r="G1821" s="449"/>
      <c r="H1821" s="98"/>
      <c r="I1821" s="98"/>
    </row>
    <row r="1822" spans="7:9" s="91" customFormat="1" ht="12.75">
      <c r="G1822" s="449"/>
      <c r="H1822" s="98"/>
      <c r="I1822" s="98"/>
    </row>
    <row r="1823" spans="7:9" s="91" customFormat="1" ht="12.75">
      <c r="G1823" s="449"/>
      <c r="H1823" s="98"/>
      <c r="I1823" s="98"/>
    </row>
    <row r="1824" spans="7:9" s="91" customFormat="1" ht="12.75">
      <c r="G1824" s="449"/>
      <c r="H1824" s="98"/>
      <c r="I1824" s="98"/>
    </row>
    <row r="1825" spans="7:9" s="91" customFormat="1" ht="12.75">
      <c r="G1825" s="449"/>
      <c r="H1825" s="98"/>
      <c r="I1825" s="98"/>
    </row>
    <row r="1826" spans="7:9" s="91" customFormat="1" ht="12.75">
      <c r="G1826" s="449"/>
      <c r="H1826" s="98"/>
      <c r="I1826" s="98"/>
    </row>
    <row r="1827" spans="7:9" s="91" customFormat="1" ht="12.75">
      <c r="G1827" s="449"/>
      <c r="H1827" s="98"/>
      <c r="I1827" s="98"/>
    </row>
    <row r="1828" spans="7:9" s="91" customFormat="1" ht="12.75">
      <c r="G1828" s="449"/>
      <c r="H1828" s="98"/>
      <c r="I1828" s="98"/>
    </row>
    <row r="1829" spans="7:9" s="91" customFormat="1" ht="12.75">
      <c r="G1829" s="449"/>
      <c r="H1829" s="98"/>
      <c r="I1829" s="98"/>
    </row>
    <row r="1830" spans="7:9" s="91" customFormat="1" ht="12.75">
      <c r="G1830" s="449"/>
      <c r="H1830" s="98"/>
      <c r="I1830" s="98"/>
    </row>
    <row r="1831" spans="7:9" s="91" customFormat="1" ht="12.75">
      <c r="G1831" s="449"/>
      <c r="H1831" s="98"/>
      <c r="I1831" s="98"/>
    </row>
    <row r="1832" spans="7:9" s="91" customFormat="1" ht="12.75">
      <c r="G1832" s="449"/>
      <c r="H1832" s="98"/>
      <c r="I1832" s="98"/>
    </row>
    <row r="1833" spans="7:9" s="91" customFormat="1" ht="12.75">
      <c r="G1833" s="449"/>
      <c r="H1833" s="98"/>
      <c r="I1833" s="98"/>
    </row>
    <row r="1834" spans="7:9" s="91" customFormat="1" ht="12.75">
      <c r="G1834" s="449"/>
      <c r="H1834" s="98"/>
      <c r="I1834" s="98"/>
    </row>
    <row r="1835" spans="7:9" s="91" customFormat="1" ht="12.75">
      <c r="G1835" s="449"/>
      <c r="H1835" s="98"/>
      <c r="I1835" s="98"/>
    </row>
    <row r="1836" spans="7:9" s="91" customFormat="1" ht="12.75">
      <c r="G1836" s="449"/>
      <c r="H1836" s="98"/>
      <c r="I1836" s="98"/>
    </row>
    <row r="1837" spans="7:9" s="91" customFormat="1" ht="12.75">
      <c r="G1837" s="449"/>
      <c r="H1837" s="98"/>
      <c r="I1837" s="98"/>
    </row>
    <row r="1838" spans="7:9" s="91" customFormat="1" ht="12.75">
      <c r="G1838" s="449"/>
      <c r="H1838" s="98"/>
      <c r="I1838" s="98"/>
    </row>
    <row r="1839" spans="7:9" s="91" customFormat="1" ht="12.75">
      <c r="G1839" s="449"/>
      <c r="H1839" s="98"/>
      <c r="I1839" s="98"/>
    </row>
    <row r="1840" spans="7:9" s="91" customFormat="1" ht="12.75">
      <c r="G1840" s="449"/>
      <c r="H1840" s="98"/>
      <c r="I1840" s="98"/>
    </row>
    <row r="1841" spans="7:9" s="91" customFormat="1" ht="12.75">
      <c r="G1841" s="449"/>
      <c r="H1841" s="98"/>
      <c r="I1841" s="98"/>
    </row>
    <row r="1842" spans="7:9" s="91" customFormat="1" ht="12.75">
      <c r="G1842" s="449"/>
      <c r="H1842" s="98"/>
      <c r="I1842" s="98"/>
    </row>
    <row r="1843" spans="7:9" s="91" customFormat="1" ht="12.75">
      <c r="G1843" s="449"/>
      <c r="H1843" s="98"/>
      <c r="I1843" s="98"/>
    </row>
    <row r="1844" spans="7:9" s="91" customFormat="1" ht="12.75">
      <c r="G1844" s="449"/>
      <c r="H1844" s="98"/>
      <c r="I1844" s="98"/>
    </row>
    <row r="1845" spans="7:9" s="91" customFormat="1" ht="12.75">
      <c r="G1845" s="449"/>
      <c r="H1845" s="98"/>
      <c r="I1845" s="98"/>
    </row>
    <row r="1846" spans="7:9" s="91" customFormat="1" ht="12.75">
      <c r="G1846" s="449"/>
      <c r="H1846" s="98"/>
      <c r="I1846" s="98"/>
    </row>
    <row r="1847" spans="7:9" s="91" customFormat="1" ht="12.75">
      <c r="G1847" s="449"/>
      <c r="H1847" s="98"/>
      <c r="I1847" s="98"/>
    </row>
    <row r="1848" spans="7:9" s="91" customFormat="1" ht="12.75">
      <c r="G1848" s="449"/>
      <c r="H1848" s="98"/>
      <c r="I1848" s="98"/>
    </row>
    <row r="1849" spans="7:9" s="91" customFormat="1" ht="12.75">
      <c r="G1849" s="449"/>
      <c r="H1849" s="98"/>
      <c r="I1849" s="98"/>
    </row>
    <row r="1850" spans="7:9" s="91" customFormat="1" ht="12.75">
      <c r="G1850" s="449"/>
      <c r="H1850" s="98"/>
      <c r="I1850" s="98"/>
    </row>
    <row r="1851" spans="7:9" s="91" customFormat="1" ht="12.75">
      <c r="G1851" s="449"/>
      <c r="H1851" s="98"/>
      <c r="I1851" s="98"/>
    </row>
    <row r="1852" spans="7:9" s="91" customFormat="1" ht="12.75">
      <c r="G1852" s="449"/>
      <c r="H1852" s="98"/>
      <c r="I1852" s="98"/>
    </row>
    <row r="1853" spans="7:9" s="91" customFormat="1" ht="12.75">
      <c r="G1853" s="449"/>
      <c r="H1853" s="98"/>
      <c r="I1853" s="98"/>
    </row>
    <row r="1854" spans="7:9" s="91" customFormat="1" ht="12.75">
      <c r="G1854" s="449"/>
      <c r="H1854" s="98"/>
      <c r="I1854" s="98"/>
    </row>
    <row r="1855" spans="7:9" s="91" customFormat="1" ht="12.75">
      <c r="G1855" s="449"/>
      <c r="H1855" s="98"/>
      <c r="I1855" s="98"/>
    </row>
    <row r="1856" spans="7:9" s="91" customFormat="1" ht="12.75">
      <c r="G1856" s="449"/>
      <c r="H1856" s="98"/>
      <c r="I1856" s="98"/>
    </row>
    <row r="1857" spans="7:9" s="91" customFormat="1" ht="12.75">
      <c r="G1857" s="449"/>
      <c r="H1857" s="98"/>
      <c r="I1857" s="98"/>
    </row>
    <row r="1858" spans="7:9" s="91" customFormat="1" ht="12.75">
      <c r="G1858" s="449"/>
      <c r="H1858" s="98"/>
      <c r="I1858" s="98"/>
    </row>
    <row r="1859" spans="7:9" s="91" customFormat="1" ht="12.75">
      <c r="G1859" s="449"/>
      <c r="H1859" s="98"/>
      <c r="I1859" s="98"/>
    </row>
    <row r="1860" spans="7:9" s="91" customFormat="1" ht="12.75">
      <c r="G1860" s="449"/>
      <c r="H1860" s="98"/>
      <c r="I1860" s="98"/>
    </row>
    <row r="1861" spans="7:9" s="91" customFormat="1" ht="12.75">
      <c r="G1861" s="449"/>
      <c r="H1861" s="98"/>
      <c r="I1861" s="98"/>
    </row>
    <row r="1862" spans="7:9" s="91" customFormat="1" ht="12.75">
      <c r="G1862" s="449"/>
      <c r="H1862" s="98"/>
      <c r="I1862" s="98"/>
    </row>
    <row r="1863" spans="7:9" s="91" customFormat="1" ht="12.75">
      <c r="G1863" s="449"/>
      <c r="H1863" s="98"/>
      <c r="I1863" s="98"/>
    </row>
    <row r="1864" spans="7:9" s="91" customFormat="1" ht="12.75">
      <c r="G1864" s="449"/>
      <c r="H1864" s="98"/>
      <c r="I1864" s="98"/>
    </row>
    <row r="1865" spans="7:9" s="91" customFormat="1" ht="12.75">
      <c r="G1865" s="449"/>
      <c r="H1865" s="98"/>
      <c r="I1865" s="98"/>
    </row>
    <row r="1866" spans="7:9" s="91" customFormat="1" ht="12.75">
      <c r="G1866" s="449"/>
      <c r="H1866" s="98"/>
      <c r="I1866" s="98"/>
    </row>
    <row r="1867" spans="7:9" s="91" customFormat="1" ht="12.75">
      <c r="G1867" s="449"/>
      <c r="H1867" s="98"/>
      <c r="I1867" s="98"/>
    </row>
    <row r="1868" spans="7:9" s="91" customFormat="1" ht="12.75">
      <c r="G1868" s="449"/>
      <c r="H1868" s="98"/>
      <c r="I1868" s="98"/>
    </row>
    <row r="1869" spans="7:9" s="91" customFormat="1" ht="12.75">
      <c r="G1869" s="449"/>
      <c r="H1869" s="98"/>
      <c r="I1869" s="98"/>
    </row>
    <row r="1870" spans="7:9" s="91" customFormat="1" ht="12.75">
      <c r="G1870" s="449"/>
      <c r="H1870" s="98"/>
      <c r="I1870" s="98"/>
    </row>
    <row r="1871" spans="7:9" s="91" customFormat="1" ht="12.75">
      <c r="G1871" s="449"/>
      <c r="H1871" s="98"/>
      <c r="I1871" s="98"/>
    </row>
    <row r="1872" spans="7:9" s="91" customFormat="1" ht="12.75">
      <c r="G1872" s="449"/>
      <c r="H1872" s="98"/>
      <c r="I1872" s="98"/>
    </row>
    <row r="1873" spans="7:9" s="91" customFormat="1" ht="12.75">
      <c r="G1873" s="449"/>
      <c r="H1873" s="98"/>
      <c r="I1873" s="98"/>
    </row>
    <row r="1874" spans="7:9" s="91" customFormat="1" ht="12.75">
      <c r="G1874" s="449"/>
      <c r="H1874" s="98"/>
      <c r="I1874" s="98"/>
    </row>
    <row r="1875" spans="7:9" s="91" customFormat="1" ht="12.75">
      <c r="G1875" s="449"/>
      <c r="H1875" s="98"/>
      <c r="I1875" s="98"/>
    </row>
    <row r="1876" spans="7:9" s="91" customFormat="1" ht="12.75">
      <c r="G1876" s="449"/>
      <c r="H1876" s="98"/>
      <c r="I1876" s="98"/>
    </row>
    <row r="1877" spans="7:9" s="91" customFormat="1" ht="12.75">
      <c r="G1877" s="449"/>
      <c r="H1877" s="98"/>
      <c r="I1877" s="98"/>
    </row>
    <row r="1878" spans="7:9" s="91" customFormat="1" ht="12.75">
      <c r="G1878" s="449"/>
      <c r="H1878" s="98"/>
      <c r="I1878" s="98"/>
    </row>
    <row r="1879" spans="7:9" s="91" customFormat="1" ht="12.75">
      <c r="G1879" s="449"/>
      <c r="H1879" s="98"/>
      <c r="I1879" s="98"/>
    </row>
    <row r="1880" spans="7:9" s="91" customFormat="1" ht="12.75">
      <c r="G1880" s="449"/>
      <c r="H1880" s="98"/>
      <c r="I1880" s="98"/>
    </row>
    <row r="1881" spans="7:9" s="91" customFormat="1" ht="12.75">
      <c r="G1881" s="449"/>
      <c r="H1881" s="98"/>
      <c r="I1881" s="98"/>
    </row>
    <row r="1882" spans="7:9" s="91" customFormat="1" ht="12.75">
      <c r="G1882" s="449"/>
      <c r="H1882" s="98"/>
      <c r="I1882" s="98"/>
    </row>
    <row r="1883" spans="7:9" s="91" customFormat="1" ht="12.75">
      <c r="G1883" s="449"/>
      <c r="H1883" s="98"/>
      <c r="I1883" s="98"/>
    </row>
    <row r="1884" spans="7:9" s="91" customFormat="1" ht="12.75">
      <c r="G1884" s="449"/>
      <c r="H1884" s="98"/>
      <c r="I1884" s="98"/>
    </row>
    <row r="1885" spans="7:9" s="91" customFormat="1" ht="12.75">
      <c r="G1885" s="449"/>
      <c r="H1885" s="98"/>
      <c r="I1885" s="98"/>
    </row>
    <row r="1886" spans="7:9" s="91" customFormat="1" ht="12.75">
      <c r="G1886" s="449"/>
      <c r="H1886" s="98"/>
      <c r="I1886" s="98"/>
    </row>
    <row r="1887" spans="7:9" s="91" customFormat="1" ht="12.75">
      <c r="G1887" s="449"/>
      <c r="H1887" s="98"/>
      <c r="I1887" s="98"/>
    </row>
    <row r="1888" spans="7:9" s="91" customFormat="1" ht="12.75">
      <c r="G1888" s="449"/>
      <c r="H1888" s="98"/>
      <c r="I1888" s="98"/>
    </row>
    <row r="1889" spans="7:9" s="91" customFormat="1" ht="12.75">
      <c r="G1889" s="449"/>
      <c r="H1889" s="98"/>
      <c r="I1889" s="98"/>
    </row>
    <row r="1890" spans="7:9" s="91" customFormat="1" ht="12.75">
      <c r="G1890" s="449"/>
      <c r="H1890" s="98"/>
      <c r="I1890" s="98"/>
    </row>
    <row r="1891" spans="7:9" s="91" customFormat="1" ht="12.75">
      <c r="G1891" s="449"/>
      <c r="H1891" s="98"/>
      <c r="I1891" s="98"/>
    </row>
    <row r="1892" spans="7:9" s="91" customFormat="1" ht="12.75">
      <c r="G1892" s="449"/>
      <c r="H1892" s="98"/>
      <c r="I1892" s="98"/>
    </row>
    <row r="1893" spans="7:9" s="91" customFormat="1" ht="12.75">
      <c r="G1893" s="449"/>
      <c r="H1893" s="98"/>
      <c r="I1893" s="98"/>
    </row>
    <row r="1894" spans="7:9" s="91" customFormat="1" ht="12.75">
      <c r="G1894" s="449"/>
      <c r="H1894" s="98"/>
      <c r="I1894" s="98"/>
    </row>
    <row r="1895" spans="7:9" s="91" customFormat="1" ht="12.75">
      <c r="G1895" s="449"/>
      <c r="H1895" s="98"/>
      <c r="I1895" s="98"/>
    </row>
    <row r="1896" spans="7:9" s="91" customFormat="1" ht="12.75">
      <c r="G1896" s="449"/>
      <c r="H1896" s="98"/>
      <c r="I1896" s="98"/>
    </row>
    <row r="1897" spans="7:9" s="91" customFormat="1" ht="12.75">
      <c r="G1897" s="449"/>
      <c r="H1897" s="98"/>
      <c r="I1897" s="98"/>
    </row>
    <row r="1898" spans="7:9" s="91" customFormat="1" ht="12.75">
      <c r="G1898" s="449"/>
      <c r="H1898" s="98"/>
      <c r="I1898" s="98"/>
    </row>
    <row r="1899" spans="7:9" s="91" customFormat="1" ht="12.75">
      <c r="G1899" s="449"/>
      <c r="H1899" s="98"/>
      <c r="I1899" s="98"/>
    </row>
    <row r="1900" spans="7:9" s="91" customFormat="1" ht="12.75">
      <c r="G1900" s="449"/>
      <c r="H1900" s="98"/>
      <c r="I1900" s="98"/>
    </row>
    <row r="1901" spans="7:9" s="91" customFormat="1" ht="12.75">
      <c r="G1901" s="449"/>
      <c r="H1901" s="98"/>
      <c r="I1901" s="98"/>
    </row>
    <row r="1902" spans="7:9" s="91" customFormat="1" ht="12.75">
      <c r="G1902" s="449"/>
      <c r="H1902" s="98"/>
      <c r="I1902" s="98"/>
    </row>
    <row r="1903" spans="7:9" s="91" customFormat="1" ht="12.75">
      <c r="G1903" s="449"/>
      <c r="H1903" s="98"/>
      <c r="I1903" s="98"/>
    </row>
    <row r="1904" spans="7:9" s="91" customFormat="1" ht="12.75">
      <c r="G1904" s="449"/>
      <c r="H1904" s="98"/>
      <c r="I1904" s="98"/>
    </row>
    <row r="1905" spans="7:9" s="91" customFormat="1" ht="12.75">
      <c r="G1905" s="449"/>
      <c r="H1905" s="98"/>
      <c r="I1905" s="98"/>
    </row>
    <row r="1906" spans="7:9" s="91" customFormat="1" ht="12.75">
      <c r="G1906" s="449"/>
      <c r="H1906" s="98"/>
      <c r="I1906" s="98"/>
    </row>
    <row r="1907" spans="7:9" s="91" customFormat="1" ht="12.75">
      <c r="G1907" s="449"/>
      <c r="H1907" s="98"/>
      <c r="I1907" s="98"/>
    </row>
    <row r="1908" spans="7:9" s="91" customFormat="1" ht="12.75">
      <c r="G1908" s="449"/>
      <c r="H1908" s="98"/>
      <c r="I1908" s="98"/>
    </row>
    <row r="1909" spans="7:9" s="91" customFormat="1" ht="12.75">
      <c r="G1909" s="449"/>
      <c r="H1909" s="98"/>
      <c r="I1909" s="98"/>
    </row>
    <row r="1910" spans="7:9" s="91" customFormat="1" ht="12.75">
      <c r="G1910" s="449"/>
      <c r="H1910" s="98"/>
      <c r="I1910" s="98"/>
    </row>
    <row r="1911" spans="7:9" s="91" customFormat="1" ht="12.75">
      <c r="G1911" s="449"/>
      <c r="H1911" s="98"/>
      <c r="I1911" s="98"/>
    </row>
    <row r="1912" spans="7:9" s="91" customFormat="1" ht="12.75">
      <c r="G1912" s="449"/>
      <c r="H1912" s="98"/>
      <c r="I1912" s="98"/>
    </row>
    <row r="1913" spans="7:9" s="91" customFormat="1" ht="12.75">
      <c r="G1913" s="449"/>
      <c r="H1913" s="98"/>
      <c r="I1913" s="98"/>
    </row>
    <row r="1914" spans="7:9" s="91" customFormat="1" ht="12.75">
      <c r="G1914" s="449"/>
      <c r="H1914" s="98"/>
      <c r="I1914" s="98"/>
    </row>
    <row r="1915" spans="7:9" s="91" customFormat="1" ht="12.75">
      <c r="G1915" s="449"/>
      <c r="H1915" s="98"/>
      <c r="I1915" s="98"/>
    </row>
    <row r="1916" spans="7:9" s="91" customFormat="1" ht="12.75">
      <c r="G1916" s="449"/>
      <c r="H1916" s="98"/>
      <c r="I1916" s="98"/>
    </row>
    <row r="1917" spans="7:9" s="91" customFormat="1" ht="12.75">
      <c r="G1917" s="449"/>
      <c r="H1917" s="98"/>
      <c r="I1917" s="98"/>
    </row>
    <row r="1918" spans="7:9" s="91" customFormat="1" ht="12.75">
      <c r="G1918" s="449"/>
      <c r="H1918" s="98"/>
      <c r="I1918" s="98"/>
    </row>
    <row r="1919" spans="7:9" s="91" customFormat="1" ht="12.75">
      <c r="G1919" s="449"/>
      <c r="H1919" s="98"/>
      <c r="I1919" s="98"/>
    </row>
    <row r="1920" spans="7:9" s="91" customFormat="1" ht="12.75">
      <c r="G1920" s="449"/>
      <c r="H1920" s="98"/>
      <c r="I1920" s="98"/>
    </row>
    <row r="1921" spans="7:9" s="91" customFormat="1" ht="12.75">
      <c r="G1921" s="449"/>
      <c r="H1921" s="98"/>
      <c r="I1921" s="98"/>
    </row>
    <row r="1922" spans="7:9" s="91" customFormat="1" ht="12.75">
      <c r="G1922" s="449"/>
      <c r="H1922" s="98"/>
      <c r="I1922" s="98"/>
    </row>
    <row r="1923" spans="7:9" s="91" customFormat="1" ht="12.75">
      <c r="G1923" s="449"/>
      <c r="H1923" s="98"/>
      <c r="I1923" s="98"/>
    </row>
    <row r="1924" spans="7:9" s="91" customFormat="1" ht="12.75">
      <c r="G1924" s="449"/>
      <c r="H1924" s="98"/>
      <c r="I1924" s="98"/>
    </row>
    <row r="1925" spans="7:9" s="91" customFormat="1" ht="12.75">
      <c r="G1925" s="449"/>
      <c r="H1925" s="98"/>
      <c r="I1925" s="98"/>
    </row>
    <row r="1926" spans="7:9" s="91" customFormat="1" ht="12.75">
      <c r="G1926" s="449"/>
      <c r="H1926" s="98"/>
      <c r="I1926" s="98"/>
    </row>
    <row r="1927" spans="7:9" s="91" customFormat="1" ht="12.75">
      <c r="G1927" s="449"/>
      <c r="H1927" s="98"/>
      <c r="I1927" s="98"/>
    </row>
    <row r="1928" spans="7:9" s="91" customFormat="1" ht="12.75">
      <c r="G1928" s="449"/>
      <c r="H1928" s="98"/>
      <c r="I1928" s="98"/>
    </row>
    <row r="1929" spans="7:9" s="91" customFormat="1" ht="12.75">
      <c r="G1929" s="449"/>
      <c r="H1929" s="98"/>
      <c r="I1929" s="98"/>
    </row>
    <row r="1930" spans="7:9" s="91" customFormat="1" ht="12.75">
      <c r="G1930" s="449"/>
      <c r="H1930" s="98"/>
      <c r="I1930" s="98"/>
    </row>
    <row r="1931" spans="7:9" s="91" customFormat="1" ht="12.75">
      <c r="G1931" s="449"/>
      <c r="H1931" s="98"/>
      <c r="I1931" s="98"/>
    </row>
    <row r="1932" spans="7:9" s="91" customFormat="1" ht="12.75">
      <c r="G1932" s="449"/>
      <c r="H1932" s="98"/>
      <c r="I1932" s="98"/>
    </row>
    <row r="1933" spans="7:9" s="91" customFormat="1" ht="12.75">
      <c r="G1933" s="449"/>
      <c r="H1933" s="98"/>
      <c r="I1933" s="98"/>
    </row>
    <row r="1934" spans="7:9" s="91" customFormat="1" ht="12.75">
      <c r="G1934" s="449"/>
      <c r="H1934" s="98"/>
      <c r="I1934" s="98"/>
    </row>
    <row r="1935" spans="7:9" s="91" customFormat="1" ht="12.75">
      <c r="G1935" s="449"/>
      <c r="H1935" s="98"/>
      <c r="I1935" s="98"/>
    </row>
    <row r="1936" spans="7:9" s="91" customFormat="1" ht="12.75">
      <c r="G1936" s="449"/>
      <c r="H1936" s="98"/>
      <c r="I1936" s="98"/>
    </row>
    <row r="1937" spans="7:9" s="91" customFormat="1" ht="12.75">
      <c r="G1937" s="449"/>
      <c r="H1937" s="98"/>
      <c r="I1937" s="98"/>
    </row>
    <row r="1938" spans="7:9" s="91" customFormat="1" ht="12.75">
      <c r="G1938" s="449"/>
      <c r="H1938" s="98"/>
      <c r="I1938" s="98"/>
    </row>
    <row r="1939" spans="7:9" s="91" customFormat="1" ht="12.75">
      <c r="G1939" s="449"/>
      <c r="H1939" s="98"/>
      <c r="I1939" s="98"/>
    </row>
    <row r="1940" spans="7:9" s="91" customFormat="1" ht="12.75">
      <c r="G1940" s="449"/>
      <c r="H1940" s="98"/>
      <c r="I1940" s="98"/>
    </row>
    <row r="1941" spans="7:9" s="91" customFormat="1" ht="12.75">
      <c r="G1941" s="449"/>
      <c r="H1941" s="98"/>
      <c r="I1941" s="98"/>
    </row>
    <row r="1942" spans="7:9" s="91" customFormat="1" ht="12.75">
      <c r="G1942" s="449"/>
      <c r="H1942" s="98"/>
      <c r="I1942" s="98"/>
    </row>
    <row r="1943" spans="7:9" s="91" customFormat="1" ht="12.75">
      <c r="G1943" s="449"/>
      <c r="H1943" s="98"/>
      <c r="I1943" s="98"/>
    </row>
    <row r="1944" spans="7:9" s="91" customFormat="1" ht="12.75">
      <c r="G1944" s="449"/>
      <c r="H1944" s="98"/>
      <c r="I1944" s="98"/>
    </row>
    <row r="1945" spans="7:9" s="91" customFormat="1" ht="12.75">
      <c r="G1945" s="449"/>
      <c r="H1945" s="98"/>
      <c r="I1945" s="98"/>
    </row>
    <row r="1946" spans="7:9" s="91" customFormat="1" ht="12.75">
      <c r="G1946" s="449"/>
      <c r="H1946" s="98"/>
      <c r="I1946" s="98"/>
    </row>
    <row r="1947" spans="7:9" s="91" customFormat="1" ht="12.75">
      <c r="G1947" s="449"/>
      <c r="H1947" s="98"/>
      <c r="I1947" s="98"/>
    </row>
    <row r="1948" spans="7:9" s="91" customFormat="1" ht="12.75">
      <c r="G1948" s="449"/>
      <c r="H1948" s="98"/>
      <c r="I1948" s="98"/>
    </row>
    <row r="1949" spans="7:9" s="91" customFormat="1" ht="12.75">
      <c r="G1949" s="449"/>
      <c r="H1949" s="98"/>
      <c r="I1949" s="98"/>
    </row>
    <row r="1950" spans="7:9" s="91" customFormat="1" ht="12.75">
      <c r="G1950" s="449"/>
      <c r="H1950" s="98"/>
      <c r="I1950" s="98"/>
    </row>
    <row r="1951" spans="7:9" s="91" customFormat="1" ht="12.75">
      <c r="G1951" s="449"/>
      <c r="H1951" s="98"/>
      <c r="I1951" s="98"/>
    </row>
    <row r="1952" spans="7:9" s="91" customFormat="1" ht="12.75">
      <c r="G1952" s="449"/>
      <c r="H1952" s="98"/>
      <c r="I1952" s="98"/>
    </row>
    <row r="1953" spans="7:9" s="91" customFormat="1" ht="12.75">
      <c r="G1953" s="449"/>
      <c r="H1953" s="98"/>
      <c r="I1953" s="98"/>
    </row>
    <row r="1954" spans="7:9" s="91" customFormat="1" ht="12.75">
      <c r="G1954" s="449"/>
      <c r="H1954" s="98"/>
      <c r="I1954" s="98"/>
    </row>
    <row r="1955" spans="7:9" s="91" customFormat="1" ht="12.75">
      <c r="G1955" s="449"/>
      <c r="H1955" s="98"/>
      <c r="I1955" s="98"/>
    </row>
    <row r="1956" spans="7:9" s="91" customFormat="1" ht="12.75">
      <c r="G1956" s="449"/>
      <c r="H1956" s="98"/>
      <c r="I1956" s="98"/>
    </row>
    <row r="1957" spans="7:9" s="91" customFormat="1" ht="12.75">
      <c r="G1957" s="449"/>
      <c r="H1957" s="98"/>
      <c r="I1957" s="98"/>
    </row>
    <row r="1958" spans="7:9" s="91" customFormat="1" ht="12.75">
      <c r="G1958" s="449"/>
      <c r="H1958" s="98"/>
      <c r="I1958" s="98"/>
    </row>
    <row r="1959" spans="7:9" s="91" customFormat="1" ht="12.75">
      <c r="G1959" s="449"/>
      <c r="H1959" s="98"/>
      <c r="I1959" s="98"/>
    </row>
    <row r="1960" spans="7:9" s="91" customFormat="1" ht="12.75">
      <c r="G1960" s="449"/>
      <c r="H1960" s="98"/>
      <c r="I1960" s="98"/>
    </row>
    <row r="1961" spans="7:9" s="91" customFormat="1" ht="12.75">
      <c r="G1961" s="449"/>
      <c r="H1961" s="98"/>
      <c r="I1961" s="98"/>
    </row>
    <row r="1962" spans="7:9" s="91" customFormat="1" ht="12.75">
      <c r="G1962" s="449"/>
      <c r="H1962" s="98"/>
      <c r="I1962" s="98"/>
    </row>
    <row r="1963" spans="7:9" s="91" customFormat="1" ht="12.75">
      <c r="G1963" s="449"/>
      <c r="H1963" s="98"/>
      <c r="I1963" s="98"/>
    </row>
    <row r="1964" spans="7:9" s="91" customFormat="1" ht="12.75">
      <c r="G1964" s="449"/>
      <c r="H1964" s="98"/>
      <c r="I1964" s="98"/>
    </row>
    <row r="1965" spans="7:9" s="91" customFormat="1" ht="12.75">
      <c r="G1965" s="449"/>
      <c r="H1965" s="98"/>
      <c r="I1965" s="98"/>
    </row>
    <row r="1966" spans="7:9" s="91" customFormat="1" ht="12.75">
      <c r="G1966" s="449"/>
      <c r="H1966" s="98"/>
      <c r="I1966" s="98"/>
    </row>
    <row r="1967" spans="7:9" s="91" customFormat="1" ht="12.75">
      <c r="G1967" s="449"/>
      <c r="H1967" s="98"/>
      <c r="I1967" s="98"/>
    </row>
    <row r="1968" spans="7:9" s="91" customFormat="1" ht="12.75">
      <c r="G1968" s="449"/>
      <c r="H1968" s="98"/>
      <c r="I1968" s="98"/>
    </row>
    <row r="1969" spans="7:9" s="91" customFormat="1" ht="12.75">
      <c r="G1969" s="449"/>
      <c r="H1969" s="98"/>
      <c r="I1969" s="98"/>
    </row>
    <row r="1970" spans="7:9" s="91" customFormat="1" ht="12.75">
      <c r="G1970" s="449"/>
      <c r="H1970" s="98"/>
      <c r="I1970" s="98"/>
    </row>
    <row r="1971" spans="7:9" s="91" customFormat="1" ht="12.75">
      <c r="G1971" s="449"/>
      <c r="H1971" s="98"/>
      <c r="I1971" s="98"/>
    </row>
    <row r="1972" spans="7:9" s="91" customFormat="1" ht="12.75">
      <c r="G1972" s="449"/>
      <c r="H1972" s="98"/>
      <c r="I1972" s="98"/>
    </row>
    <row r="1973" spans="7:9" s="91" customFormat="1" ht="12.75">
      <c r="G1973" s="449"/>
      <c r="H1973" s="98"/>
      <c r="I1973" s="98"/>
    </row>
    <row r="1974" spans="7:9" s="91" customFormat="1" ht="12.75">
      <c r="G1974" s="449"/>
      <c r="H1974" s="98"/>
      <c r="I1974" s="98"/>
    </row>
    <row r="1975" spans="7:9" s="91" customFormat="1" ht="12.75">
      <c r="G1975" s="449"/>
      <c r="H1975" s="98"/>
      <c r="I1975" s="98"/>
    </row>
    <row r="1976" spans="7:9" s="91" customFormat="1" ht="12.75">
      <c r="G1976" s="449"/>
      <c r="H1976" s="98"/>
      <c r="I1976" s="98"/>
    </row>
    <row r="1977" spans="7:9" s="91" customFormat="1" ht="12.75">
      <c r="G1977" s="449"/>
      <c r="H1977" s="98"/>
      <c r="I1977" s="98"/>
    </row>
    <row r="1978" spans="7:9" s="91" customFormat="1" ht="12.75">
      <c r="G1978" s="449"/>
      <c r="H1978" s="98"/>
      <c r="I1978" s="98"/>
    </row>
    <row r="1979" spans="7:9" s="91" customFormat="1" ht="12.75">
      <c r="G1979" s="449"/>
      <c r="H1979" s="98"/>
      <c r="I1979" s="98"/>
    </row>
    <row r="1980" spans="7:9" s="91" customFormat="1" ht="12.75">
      <c r="G1980" s="449"/>
      <c r="H1980" s="98"/>
      <c r="I1980" s="98"/>
    </row>
    <row r="1981" spans="7:9" s="91" customFormat="1" ht="12.75">
      <c r="G1981" s="449"/>
      <c r="H1981" s="98"/>
      <c r="I1981" s="98"/>
    </row>
    <row r="1982" spans="7:9" s="91" customFormat="1" ht="12.75">
      <c r="G1982" s="449"/>
      <c r="H1982" s="98"/>
      <c r="I1982" s="98"/>
    </row>
    <row r="1983" spans="7:9" s="91" customFormat="1" ht="12.75">
      <c r="G1983" s="449"/>
      <c r="H1983" s="98"/>
      <c r="I1983" s="98"/>
    </row>
    <row r="1984" spans="7:9" s="91" customFormat="1" ht="12.75">
      <c r="G1984" s="449"/>
      <c r="H1984" s="98"/>
      <c r="I1984" s="98"/>
    </row>
    <row r="1985" spans="7:9" s="91" customFormat="1" ht="12.75">
      <c r="G1985" s="449"/>
      <c r="H1985" s="98"/>
      <c r="I1985" s="98"/>
    </row>
    <row r="1986" spans="7:9" s="91" customFormat="1" ht="12.75">
      <c r="G1986" s="449"/>
      <c r="H1986" s="98"/>
      <c r="I1986" s="98"/>
    </row>
    <row r="1987" spans="7:9" s="91" customFormat="1" ht="12.75">
      <c r="G1987" s="449"/>
      <c r="H1987" s="98"/>
      <c r="I1987" s="98"/>
    </row>
    <row r="1988" spans="7:9" s="91" customFormat="1" ht="12.75">
      <c r="G1988" s="449"/>
      <c r="H1988" s="98"/>
      <c r="I1988" s="98"/>
    </row>
    <row r="1989" spans="7:9" s="91" customFormat="1" ht="12.75">
      <c r="G1989" s="449"/>
      <c r="H1989" s="98"/>
      <c r="I1989" s="98"/>
    </row>
    <row r="1990" spans="7:9" s="91" customFormat="1" ht="12.75">
      <c r="G1990" s="449"/>
      <c r="H1990" s="98"/>
      <c r="I1990" s="98"/>
    </row>
    <row r="1991" spans="7:9" s="91" customFormat="1" ht="12.75">
      <c r="G1991" s="449"/>
      <c r="H1991" s="98"/>
      <c r="I1991" s="98"/>
    </row>
    <row r="1992" spans="7:9" s="91" customFormat="1" ht="12.75">
      <c r="G1992" s="449"/>
      <c r="H1992" s="98"/>
      <c r="I1992" s="98"/>
    </row>
    <row r="1993" spans="7:9" s="91" customFormat="1" ht="12.75">
      <c r="G1993" s="449"/>
      <c r="H1993" s="98"/>
      <c r="I1993" s="98"/>
    </row>
    <row r="1994" spans="7:9" s="91" customFormat="1" ht="12.75">
      <c r="G1994" s="449"/>
      <c r="H1994" s="98"/>
      <c r="I1994" s="98"/>
    </row>
    <row r="1995" spans="7:9" s="91" customFormat="1" ht="12.75">
      <c r="G1995" s="449"/>
      <c r="H1995" s="98"/>
      <c r="I1995" s="98"/>
    </row>
    <row r="1996" spans="7:9" s="91" customFormat="1" ht="12.75">
      <c r="G1996" s="449"/>
      <c r="H1996" s="98"/>
      <c r="I1996" s="98"/>
    </row>
    <row r="1997" spans="7:9" s="91" customFormat="1" ht="12.75">
      <c r="G1997" s="449"/>
      <c r="H1997" s="98"/>
      <c r="I1997" s="98"/>
    </row>
    <row r="1998" spans="7:9" s="91" customFormat="1" ht="12.75">
      <c r="G1998" s="449"/>
      <c r="H1998" s="98"/>
      <c r="I1998" s="98"/>
    </row>
    <row r="1999" spans="7:9" s="91" customFormat="1" ht="12.75">
      <c r="G1999" s="449"/>
      <c r="H1999" s="98"/>
      <c r="I1999" s="98"/>
    </row>
    <row r="2000" spans="7:9" s="91" customFormat="1" ht="12.75">
      <c r="G2000" s="449"/>
      <c r="H2000" s="98"/>
      <c r="I2000" s="98"/>
    </row>
    <row r="2001" spans="7:9" s="91" customFormat="1" ht="12.75">
      <c r="G2001" s="449"/>
      <c r="H2001" s="98"/>
      <c r="I2001" s="98"/>
    </row>
    <row r="2002" spans="7:9" s="91" customFormat="1" ht="12.75">
      <c r="G2002" s="449"/>
      <c r="H2002" s="98"/>
      <c r="I2002" s="98"/>
    </row>
    <row r="2003" spans="7:9" s="91" customFormat="1" ht="12.75">
      <c r="G2003" s="449"/>
      <c r="H2003" s="98"/>
      <c r="I2003" s="98"/>
    </row>
    <row r="2004" spans="7:9" s="91" customFormat="1" ht="12.75">
      <c r="G2004" s="449"/>
      <c r="H2004" s="98"/>
      <c r="I2004" s="98"/>
    </row>
    <row r="2005" spans="7:9" s="91" customFormat="1" ht="12.75">
      <c r="G2005" s="449"/>
      <c r="H2005" s="98"/>
      <c r="I2005" s="98"/>
    </row>
    <row r="2006" spans="7:9" s="91" customFormat="1" ht="12.75">
      <c r="G2006" s="449"/>
      <c r="H2006" s="98"/>
      <c r="I2006" s="98"/>
    </row>
    <row r="2007" spans="7:9" s="91" customFormat="1" ht="12.75">
      <c r="G2007" s="449"/>
      <c r="H2007" s="98"/>
      <c r="I2007" s="98"/>
    </row>
    <row r="2008" spans="7:9" s="91" customFormat="1" ht="12.75">
      <c r="G2008" s="449"/>
      <c r="H2008" s="98"/>
      <c r="I2008" s="98"/>
    </row>
    <row r="2009" spans="7:9" s="91" customFormat="1" ht="12.75">
      <c r="G2009" s="449"/>
      <c r="H2009" s="98"/>
      <c r="I2009" s="98"/>
    </row>
    <row r="2010" spans="7:9" s="91" customFormat="1" ht="12.75">
      <c r="G2010" s="449"/>
      <c r="H2010" s="98"/>
      <c r="I2010" s="98"/>
    </row>
    <row r="2011" spans="7:9" s="91" customFormat="1" ht="12.75">
      <c r="G2011" s="449"/>
      <c r="H2011" s="98"/>
      <c r="I2011" s="98"/>
    </row>
    <row r="2012" spans="7:9" s="91" customFormat="1" ht="12.75">
      <c r="G2012" s="449"/>
      <c r="H2012" s="98"/>
      <c r="I2012" s="98"/>
    </row>
    <row r="2013" spans="7:9" s="91" customFormat="1" ht="12.75">
      <c r="G2013" s="449"/>
      <c r="H2013" s="98"/>
      <c r="I2013" s="98"/>
    </row>
    <row r="2014" spans="7:9" s="91" customFormat="1" ht="12.75">
      <c r="G2014" s="449"/>
      <c r="H2014" s="98"/>
      <c r="I2014" s="98"/>
    </row>
    <row r="2015" spans="7:9" s="91" customFormat="1" ht="12.75">
      <c r="G2015" s="449"/>
      <c r="H2015" s="98"/>
      <c r="I2015" s="98"/>
    </row>
    <row r="2016" spans="7:9" s="91" customFormat="1" ht="12.75">
      <c r="G2016" s="449"/>
      <c r="H2016" s="98"/>
      <c r="I2016" s="98"/>
    </row>
    <row r="2017" spans="7:9" s="91" customFormat="1" ht="12.75">
      <c r="G2017" s="449"/>
      <c r="H2017" s="98"/>
      <c r="I2017" s="98"/>
    </row>
    <row r="2018" spans="7:9" s="91" customFormat="1" ht="12.75">
      <c r="G2018" s="449"/>
      <c r="H2018" s="98"/>
      <c r="I2018" s="98"/>
    </row>
    <row r="2019" spans="7:9" s="91" customFormat="1" ht="12.75">
      <c r="G2019" s="449"/>
      <c r="H2019" s="98"/>
      <c r="I2019" s="98"/>
    </row>
    <row r="2020" spans="7:9" s="91" customFormat="1" ht="12.75">
      <c r="G2020" s="449"/>
      <c r="H2020" s="98"/>
      <c r="I2020" s="98"/>
    </row>
    <row r="2021" spans="7:9" s="91" customFormat="1" ht="12.75">
      <c r="G2021" s="449"/>
      <c r="H2021" s="98"/>
      <c r="I2021" s="98"/>
    </row>
    <row r="2022" spans="7:9" s="91" customFormat="1" ht="12.75">
      <c r="G2022" s="449"/>
      <c r="H2022" s="98"/>
      <c r="I2022" s="98"/>
    </row>
    <row r="2023" spans="7:9" s="91" customFormat="1" ht="12.75">
      <c r="G2023" s="449"/>
      <c r="H2023" s="98"/>
      <c r="I2023" s="98"/>
    </row>
    <row r="2024" spans="7:9" s="91" customFormat="1" ht="12.75">
      <c r="G2024" s="449"/>
      <c r="H2024" s="98"/>
      <c r="I2024" s="98"/>
    </row>
    <row r="2025" spans="7:9" s="91" customFormat="1" ht="12.75">
      <c r="G2025" s="449"/>
      <c r="H2025" s="98"/>
      <c r="I2025" s="98"/>
    </row>
    <row r="2026" spans="7:9" s="91" customFormat="1" ht="12.75">
      <c r="G2026" s="449"/>
      <c r="H2026" s="98"/>
      <c r="I2026" s="98"/>
    </row>
    <row r="2027" spans="7:9" s="91" customFormat="1" ht="12.75">
      <c r="G2027" s="449"/>
      <c r="H2027" s="98"/>
      <c r="I2027" s="98"/>
    </row>
    <row r="2028" spans="7:9" s="91" customFormat="1" ht="12.75">
      <c r="G2028" s="449"/>
      <c r="H2028" s="98"/>
      <c r="I2028" s="98"/>
    </row>
    <row r="2029" spans="7:9" s="91" customFormat="1" ht="12.75">
      <c r="G2029" s="449"/>
      <c r="H2029" s="98"/>
      <c r="I2029" s="98"/>
    </row>
    <row r="2030" spans="7:9" s="91" customFormat="1" ht="12.75">
      <c r="G2030" s="449"/>
      <c r="H2030" s="98"/>
      <c r="I2030" s="98"/>
    </row>
    <row r="2031" spans="7:9" s="91" customFormat="1" ht="12.75">
      <c r="G2031" s="449"/>
      <c r="H2031" s="98"/>
      <c r="I2031" s="98"/>
    </row>
    <row r="2032" spans="7:9" s="91" customFormat="1" ht="12.75">
      <c r="G2032" s="449"/>
      <c r="H2032" s="98"/>
      <c r="I2032" s="98"/>
    </row>
    <row r="2033" spans="7:9" s="91" customFormat="1" ht="12.75">
      <c r="G2033" s="449"/>
      <c r="H2033" s="98"/>
      <c r="I2033" s="98"/>
    </row>
    <row r="2034" spans="7:9" s="91" customFormat="1" ht="12.75">
      <c r="G2034" s="449"/>
      <c r="H2034" s="98"/>
      <c r="I2034" s="98"/>
    </row>
    <row r="2035" spans="7:9" s="91" customFormat="1" ht="12.75">
      <c r="G2035" s="449"/>
      <c r="H2035" s="98"/>
      <c r="I2035" s="98"/>
    </row>
    <row r="2036" spans="7:9" s="91" customFormat="1" ht="12.75">
      <c r="G2036" s="449"/>
      <c r="H2036" s="98"/>
      <c r="I2036" s="98"/>
    </row>
    <row r="2037" spans="7:9" s="91" customFormat="1" ht="12.75">
      <c r="G2037" s="449"/>
      <c r="H2037" s="98"/>
      <c r="I2037" s="98"/>
    </row>
    <row r="2038" spans="7:9" s="91" customFormat="1" ht="12.75">
      <c r="G2038" s="449"/>
      <c r="H2038" s="98"/>
      <c r="I2038" s="98"/>
    </row>
    <row r="2039" spans="7:9" s="91" customFormat="1" ht="12.75">
      <c r="G2039" s="449"/>
      <c r="H2039" s="98"/>
      <c r="I2039" s="98"/>
    </row>
    <row r="2040" spans="7:9" s="91" customFormat="1" ht="12.75">
      <c r="G2040" s="449"/>
      <c r="H2040" s="98"/>
      <c r="I2040" s="98"/>
    </row>
    <row r="2041" spans="7:9" s="91" customFormat="1" ht="12.75">
      <c r="G2041" s="449"/>
      <c r="H2041" s="98"/>
      <c r="I2041" s="98"/>
    </row>
    <row r="2042" spans="7:9" s="91" customFormat="1" ht="12.75">
      <c r="G2042" s="449"/>
      <c r="H2042" s="98"/>
      <c r="I2042" s="98"/>
    </row>
    <row r="2043" spans="7:9" s="91" customFormat="1" ht="12.75">
      <c r="G2043" s="449"/>
      <c r="H2043" s="98"/>
      <c r="I2043" s="98"/>
    </row>
    <row r="2044" spans="7:9" s="91" customFormat="1" ht="12.75">
      <c r="G2044" s="449"/>
      <c r="H2044" s="98"/>
      <c r="I2044" s="98"/>
    </row>
    <row r="2045" spans="7:9" s="91" customFormat="1" ht="12.75">
      <c r="G2045" s="449"/>
      <c r="H2045" s="98"/>
      <c r="I2045" s="98"/>
    </row>
    <row r="2046" spans="7:9" s="91" customFormat="1" ht="12.75">
      <c r="G2046" s="449"/>
      <c r="H2046" s="98"/>
      <c r="I2046" s="98"/>
    </row>
    <row r="2047" spans="7:9" s="91" customFormat="1" ht="12.75">
      <c r="G2047" s="449"/>
      <c r="H2047" s="98"/>
      <c r="I2047" s="98"/>
    </row>
    <row r="2048" spans="7:9" s="91" customFormat="1" ht="12.75">
      <c r="G2048" s="449"/>
      <c r="H2048" s="98"/>
      <c r="I2048" s="98"/>
    </row>
    <row r="2049" spans="7:9" s="91" customFormat="1" ht="12.75">
      <c r="G2049" s="449"/>
      <c r="H2049" s="98"/>
      <c r="I2049" s="98"/>
    </row>
    <row r="2050" spans="7:9" s="91" customFormat="1" ht="12.75">
      <c r="G2050" s="449"/>
      <c r="H2050" s="98"/>
      <c r="I2050" s="98"/>
    </row>
    <row r="2051" spans="7:9" s="91" customFormat="1" ht="12.75">
      <c r="G2051" s="449"/>
      <c r="H2051" s="98"/>
      <c r="I2051" s="98"/>
    </row>
    <row r="2052" spans="7:9" s="91" customFormat="1" ht="12.75">
      <c r="G2052" s="449"/>
      <c r="H2052" s="98"/>
      <c r="I2052" s="98"/>
    </row>
    <row r="2053" spans="7:9" s="91" customFormat="1" ht="12.75">
      <c r="G2053" s="449"/>
      <c r="H2053" s="98"/>
      <c r="I2053" s="98"/>
    </row>
    <row r="2054" spans="7:9" s="91" customFormat="1" ht="12.75">
      <c r="G2054" s="449"/>
      <c r="H2054" s="98"/>
      <c r="I2054" s="98"/>
    </row>
    <row r="2055" spans="7:9" s="91" customFormat="1" ht="12.75">
      <c r="G2055" s="449"/>
      <c r="H2055" s="98"/>
      <c r="I2055" s="98"/>
    </row>
    <row r="2056" spans="7:9" s="91" customFormat="1" ht="12.75">
      <c r="G2056" s="449"/>
      <c r="H2056" s="98"/>
      <c r="I2056" s="98"/>
    </row>
    <row r="2057" spans="7:9" s="91" customFormat="1" ht="12.75">
      <c r="G2057" s="449"/>
      <c r="H2057" s="98"/>
      <c r="I2057" s="98"/>
    </row>
    <row r="2058" spans="7:9" s="91" customFormat="1" ht="12.75">
      <c r="G2058" s="449"/>
      <c r="H2058" s="98"/>
      <c r="I2058" s="98"/>
    </row>
    <row r="2059" spans="7:9" s="91" customFormat="1" ht="12.75">
      <c r="G2059" s="449"/>
      <c r="H2059" s="98"/>
      <c r="I2059" s="98"/>
    </row>
    <row r="2060" spans="7:9" s="91" customFormat="1" ht="12.75">
      <c r="G2060" s="449"/>
      <c r="H2060" s="98"/>
      <c r="I2060" s="98"/>
    </row>
    <row r="2061" spans="7:9" s="91" customFormat="1" ht="12.75">
      <c r="G2061" s="449"/>
      <c r="H2061" s="98"/>
      <c r="I2061" s="98"/>
    </row>
    <row r="2062" spans="7:9" s="91" customFormat="1" ht="12.75">
      <c r="G2062" s="449"/>
      <c r="H2062" s="98"/>
      <c r="I2062" s="98"/>
    </row>
    <row r="2063" spans="7:9" s="91" customFormat="1" ht="12.75">
      <c r="G2063" s="449"/>
      <c r="H2063" s="98"/>
      <c r="I2063" s="98"/>
    </row>
    <row r="2064" spans="7:9" s="91" customFormat="1" ht="12.75">
      <c r="G2064" s="449"/>
      <c r="H2064" s="98"/>
      <c r="I2064" s="98"/>
    </row>
    <row r="2065" spans="7:9" s="91" customFormat="1" ht="12.75">
      <c r="G2065" s="449"/>
      <c r="H2065" s="98"/>
      <c r="I2065" s="98"/>
    </row>
    <row r="2066" spans="7:9" s="91" customFormat="1" ht="12.75">
      <c r="G2066" s="449"/>
      <c r="H2066" s="98"/>
      <c r="I2066" s="98"/>
    </row>
    <row r="2067" spans="7:9" s="91" customFormat="1" ht="12.75">
      <c r="G2067" s="449"/>
      <c r="H2067" s="98"/>
      <c r="I2067" s="98"/>
    </row>
    <row r="2068" spans="7:9" s="91" customFormat="1" ht="12.75">
      <c r="G2068" s="449"/>
      <c r="H2068" s="98"/>
      <c r="I2068" s="98"/>
    </row>
    <row r="2069" spans="7:9" s="91" customFormat="1" ht="12.75">
      <c r="G2069" s="449"/>
      <c r="H2069" s="98"/>
      <c r="I2069" s="98"/>
    </row>
    <row r="2070" spans="7:9" s="91" customFormat="1" ht="12.75">
      <c r="G2070" s="449"/>
      <c r="H2070" s="98"/>
      <c r="I2070" s="98"/>
    </row>
    <row r="2071" spans="7:9" s="91" customFormat="1" ht="12.75">
      <c r="G2071" s="449"/>
      <c r="H2071" s="98"/>
      <c r="I2071" s="98"/>
    </row>
    <row r="2072" spans="7:9" s="91" customFormat="1" ht="12.75">
      <c r="G2072" s="449"/>
      <c r="H2072" s="98"/>
      <c r="I2072" s="98"/>
    </row>
    <row r="2073" spans="7:9" s="91" customFormat="1" ht="12.75">
      <c r="G2073" s="449"/>
      <c r="H2073" s="98"/>
      <c r="I2073" s="98"/>
    </row>
    <row r="2074" spans="7:9" s="91" customFormat="1" ht="12.75">
      <c r="G2074" s="449"/>
      <c r="H2074" s="98"/>
      <c r="I2074" s="98"/>
    </row>
    <row r="2075" spans="7:9" s="91" customFormat="1" ht="12.75">
      <c r="G2075" s="449"/>
      <c r="H2075" s="98"/>
      <c r="I2075" s="98"/>
    </row>
    <row r="2076" spans="7:9" s="91" customFormat="1" ht="12.75">
      <c r="G2076" s="449"/>
      <c r="H2076" s="98"/>
      <c r="I2076" s="98"/>
    </row>
    <row r="2077" spans="7:9" s="91" customFormat="1" ht="12.75">
      <c r="G2077" s="449"/>
      <c r="H2077" s="98"/>
      <c r="I2077" s="98"/>
    </row>
    <row r="2078" spans="7:9" s="91" customFormat="1" ht="12.75">
      <c r="G2078" s="449"/>
      <c r="H2078" s="98"/>
      <c r="I2078" s="98"/>
    </row>
    <row r="2079" spans="7:9" s="91" customFormat="1" ht="12.75">
      <c r="G2079" s="449"/>
      <c r="H2079" s="98"/>
      <c r="I2079" s="98"/>
    </row>
    <row r="2080" spans="7:9" s="91" customFormat="1" ht="12.75">
      <c r="G2080" s="449"/>
      <c r="H2080" s="98"/>
      <c r="I2080" s="98"/>
    </row>
    <row r="2081" spans="7:9" s="91" customFormat="1" ht="12.75">
      <c r="G2081" s="449"/>
      <c r="H2081" s="98"/>
      <c r="I2081" s="98"/>
    </row>
    <row r="2082" spans="7:9" s="91" customFormat="1" ht="12.75">
      <c r="G2082" s="449"/>
      <c r="H2082" s="98"/>
      <c r="I2082" s="98"/>
    </row>
    <row r="2083" spans="7:9" s="91" customFormat="1" ht="12.75">
      <c r="G2083" s="449"/>
      <c r="H2083" s="98"/>
      <c r="I2083" s="98"/>
    </row>
    <row r="2084" spans="7:9" s="91" customFormat="1" ht="12.75">
      <c r="G2084" s="449"/>
      <c r="H2084" s="98"/>
      <c r="I2084" s="98"/>
    </row>
    <row r="2085" spans="7:9" s="91" customFormat="1" ht="12.75">
      <c r="G2085" s="449"/>
      <c r="H2085" s="98"/>
      <c r="I2085" s="98"/>
    </row>
    <row r="2086" spans="7:9" s="91" customFormat="1" ht="12.75">
      <c r="G2086" s="449"/>
      <c r="H2086" s="98"/>
      <c r="I2086" s="98"/>
    </row>
    <row r="2087" spans="7:9" s="91" customFormat="1" ht="12.75">
      <c r="G2087" s="449"/>
      <c r="H2087" s="98"/>
      <c r="I2087" s="98"/>
    </row>
    <row r="2088" spans="7:9" s="91" customFormat="1" ht="12.75">
      <c r="G2088" s="449"/>
      <c r="H2088" s="98"/>
      <c r="I2088" s="98"/>
    </row>
    <row r="2089" spans="7:9" s="91" customFormat="1" ht="12.75">
      <c r="G2089" s="449"/>
      <c r="H2089" s="98"/>
      <c r="I2089" s="98"/>
    </row>
    <row r="2090" spans="7:9" s="91" customFormat="1" ht="12.75">
      <c r="G2090" s="449"/>
      <c r="H2090" s="98"/>
      <c r="I2090" s="98"/>
    </row>
    <row r="2091" spans="7:9" s="91" customFormat="1" ht="12.75">
      <c r="G2091" s="449"/>
      <c r="H2091" s="98"/>
      <c r="I2091" s="98"/>
    </row>
    <row r="2092" spans="7:9" s="91" customFormat="1" ht="12.75">
      <c r="G2092" s="449"/>
      <c r="H2092" s="98"/>
      <c r="I2092" s="98"/>
    </row>
    <row r="2093" spans="7:9" s="91" customFormat="1" ht="12.75">
      <c r="G2093" s="449"/>
      <c r="H2093" s="98"/>
      <c r="I2093" s="98"/>
    </row>
    <row r="2094" spans="7:9" s="91" customFormat="1" ht="12.75">
      <c r="G2094" s="449"/>
      <c r="H2094" s="98"/>
      <c r="I2094" s="98"/>
    </row>
    <row r="2095" spans="7:9" s="91" customFormat="1" ht="12.75">
      <c r="G2095" s="449"/>
      <c r="H2095" s="98"/>
      <c r="I2095" s="98"/>
    </row>
    <row r="2096" spans="7:9" s="91" customFormat="1" ht="12.75">
      <c r="G2096" s="449"/>
      <c r="H2096" s="98"/>
      <c r="I2096" s="98"/>
    </row>
    <row r="2097" spans="7:9" s="91" customFormat="1" ht="12.75">
      <c r="G2097" s="449"/>
      <c r="H2097" s="98"/>
      <c r="I2097" s="98"/>
    </row>
    <row r="2098" spans="7:9" s="91" customFormat="1" ht="12.75">
      <c r="G2098" s="449"/>
      <c r="H2098" s="98"/>
      <c r="I2098" s="98"/>
    </row>
    <row r="2099" spans="7:9" s="91" customFormat="1" ht="12.75">
      <c r="G2099" s="449"/>
      <c r="H2099" s="98"/>
      <c r="I2099" s="98"/>
    </row>
    <row r="2100" spans="7:9" s="91" customFormat="1" ht="12.75">
      <c r="G2100" s="449"/>
      <c r="H2100" s="98"/>
      <c r="I2100" s="98"/>
    </row>
    <row r="2101" spans="7:9" s="91" customFormat="1" ht="12.75">
      <c r="G2101" s="449"/>
      <c r="H2101" s="98"/>
      <c r="I2101" s="98"/>
    </row>
    <row r="2102" spans="7:9" s="91" customFormat="1" ht="12.75">
      <c r="G2102" s="449"/>
      <c r="H2102" s="98"/>
      <c r="I2102" s="98"/>
    </row>
    <row r="2103" spans="7:9" s="91" customFormat="1" ht="12.75">
      <c r="G2103" s="449"/>
      <c r="H2103" s="98"/>
      <c r="I2103" s="98"/>
    </row>
    <row r="2104" spans="7:9" s="91" customFormat="1" ht="12.75">
      <c r="G2104" s="449"/>
      <c r="H2104" s="98"/>
      <c r="I2104" s="98"/>
    </row>
    <row r="2105" spans="7:9" s="91" customFormat="1" ht="12.75">
      <c r="G2105" s="449"/>
      <c r="H2105" s="98"/>
      <c r="I2105" s="98"/>
    </row>
    <row r="2106" spans="7:9" s="91" customFormat="1" ht="12.75">
      <c r="G2106" s="449"/>
      <c r="H2106" s="98"/>
      <c r="I2106" s="98"/>
    </row>
    <row r="2107" spans="7:9" s="91" customFormat="1" ht="12.75">
      <c r="G2107" s="449"/>
      <c r="H2107" s="98"/>
      <c r="I2107" s="98"/>
    </row>
    <row r="2108" spans="7:9" s="91" customFormat="1" ht="12.75">
      <c r="G2108" s="449"/>
      <c r="H2108" s="98"/>
      <c r="I2108" s="98"/>
    </row>
    <row r="2109" spans="7:9" s="91" customFormat="1" ht="12.75">
      <c r="G2109" s="449"/>
      <c r="H2109" s="98"/>
      <c r="I2109" s="98"/>
    </row>
    <row r="2110" spans="7:9" s="91" customFormat="1" ht="12.75">
      <c r="G2110" s="449"/>
      <c r="H2110" s="98"/>
      <c r="I2110" s="98"/>
    </row>
    <row r="2111" spans="7:9" s="91" customFormat="1" ht="12.75">
      <c r="G2111" s="449"/>
      <c r="H2111" s="98"/>
      <c r="I2111" s="98"/>
    </row>
    <row r="2112" spans="7:9" s="91" customFormat="1" ht="12.75">
      <c r="G2112" s="449"/>
      <c r="H2112" s="98"/>
      <c r="I2112" s="98"/>
    </row>
    <row r="2113" spans="7:9" s="91" customFormat="1" ht="12.75">
      <c r="G2113" s="449"/>
      <c r="H2113" s="98"/>
      <c r="I2113" s="98"/>
    </row>
    <row r="2114" spans="7:9" s="91" customFormat="1" ht="12.75">
      <c r="G2114" s="449"/>
      <c r="H2114" s="98"/>
      <c r="I2114" s="98"/>
    </row>
    <row r="2115" spans="7:9" s="91" customFormat="1" ht="12.75">
      <c r="G2115" s="449"/>
      <c r="H2115" s="98"/>
      <c r="I2115" s="98"/>
    </row>
    <row r="2116" spans="7:9" s="91" customFormat="1" ht="12.75">
      <c r="G2116" s="449"/>
      <c r="H2116" s="98"/>
      <c r="I2116" s="98"/>
    </row>
    <row r="2117" spans="7:9" s="91" customFormat="1" ht="12.75">
      <c r="G2117" s="449"/>
      <c r="H2117" s="98"/>
      <c r="I2117" s="98"/>
    </row>
    <row r="2118" spans="7:9" s="91" customFormat="1" ht="12.75">
      <c r="G2118" s="449"/>
      <c r="H2118" s="98"/>
      <c r="I2118" s="98"/>
    </row>
    <row r="2119" spans="7:9" s="91" customFormat="1" ht="12.75">
      <c r="G2119" s="449"/>
      <c r="H2119" s="98"/>
      <c r="I2119" s="98"/>
    </row>
    <row r="2120" spans="7:9" s="91" customFormat="1" ht="12.75">
      <c r="G2120" s="449"/>
      <c r="H2120" s="98"/>
      <c r="I2120" s="98"/>
    </row>
    <row r="2121" spans="7:9" s="91" customFormat="1" ht="12.75">
      <c r="G2121" s="449"/>
      <c r="H2121" s="98"/>
      <c r="I2121" s="98"/>
    </row>
    <row r="2122" spans="7:9" s="91" customFormat="1" ht="12.75">
      <c r="G2122" s="449"/>
      <c r="H2122" s="98"/>
      <c r="I2122" s="98"/>
    </row>
    <row r="2123" spans="7:9" s="91" customFormat="1" ht="12.75">
      <c r="G2123" s="449"/>
      <c r="H2123" s="98"/>
      <c r="I2123" s="98"/>
    </row>
    <row r="2124" spans="7:9" s="91" customFormat="1" ht="12.75">
      <c r="G2124" s="449"/>
      <c r="H2124" s="98"/>
      <c r="I2124" s="98"/>
    </row>
    <row r="2125" spans="7:9" s="91" customFormat="1" ht="12.75">
      <c r="G2125" s="449"/>
      <c r="H2125" s="98"/>
      <c r="I2125" s="98"/>
    </row>
    <row r="2126" spans="7:9" s="91" customFormat="1" ht="12.75">
      <c r="G2126" s="449"/>
      <c r="H2126" s="98"/>
      <c r="I2126" s="98"/>
    </row>
    <row r="2127" spans="7:9" s="91" customFormat="1" ht="12.75">
      <c r="G2127" s="449"/>
      <c r="H2127" s="98"/>
      <c r="I2127" s="98"/>
    </row>
    <row r="2128" spans="7:9" s="91" customFormat="1" ht="12.75">
      <c r="G2128" s="449"/>
      <c r="H2128" s="98"/>
      <c r="I2128" s="98"/>
    </row>
    <row r="2129" spans="7:9" s="91" customFormat="1" ht="12.75">
      <c r="G2129" s="449"/>
      <c r="H2129" s="98"/>
      <c r="I2129" s="98"/>
    </row>
    <row r="2130" spans="7:9" s="91" customFormat="1" ht="12.75">
      <c r="G2130" s="449"/>
      <c r="H2130" s="98"/>
      <c r="I2130" s="98"/>
    </row>
    <row r="2131" spans="7:9" s="91" customFormat="1" ht="12.75">
      <c r="G2131" s="449"/>
      <c r="H2131" s="98"/>
      <c r="I2131" s="98"/>
    </row>
    <row r="2132" spans="7:9" s="91" customFormat="1" ht="12.75">
      <c r="G2132" s="449"/>
      <c r="H2132" s="98"/>
      <c r="I2132" s="98"/>
    </row>
    <row r="2133" spans="7:9" s="91" customFormat="1" ht="12.75">
      <c r="G2133" s="449"/>
      <c r="H2133" s="98"/>
      <c r="I2133" s="98"/>
    </row>
    <row r="2134" spans="7:9" s="91" customFormat="1" ht="12.75">
      <c r="G2134" s="449"/>
      <c r="H2134" s="98"/>
      <c r="I2134" s="98"/>
    </row>
    <row r="2135" spans="7:9" s="91" customFormat="1" ht="12.75">
      <c r="G2135" s="449"/>
      <c r="H2135" s="98"/>
      <c r="I2135" s="98"/>
    </row>
    <row r="2136" spans="7:9" s="91" customFormat="1" ht="12.75">
      <c r="G2136" s="449"/>
      <c r="H2136" s="98"/>
      <c r="I2136" s="98"/>
    </row>
    <row r="2137" spans="7:9" s="91" customFormat="1" ht="12.75">
      <c r="G2137" s="449"/>
      <c r="H2137" s="98"/>
      <c r="I2137" s="98"/>
    </row>
    <row r="2138" spans="7:9" s="91" customFormat="1" ht="12.75">
      <c r="G2138" s="449"/>
      <c r="H2138" s="98"/>
      <c r="I2138" s="98"/>
    </row>
    <row r="2139" spans="7:9" s="91" customFormat="1" ht="12.75">
      <c r="G2139" s="449"/>
      <c r="H2139" s="98"/>
      <c r="I2139" s="98"/>
    </row>
    <row r="2140" spans="7:9" s="91" customFormat="1" ht="12.75">
      <c r="G2140" s="449"/>
      <c r="H2140" s="98"/>
      <c r="I2140" s="98"/>
    </row>
    <row r="2141" spans="7:9" s="91" customFormat="1" ht="12.75">
      <c r="G2141" s="449"/>
      <c r="H2141" s="98"/>
      <c r="I2141" s="98"/>
    </row>
    <row r="2142" spans="7:9" s="91" customFormat="1" ht="12.75">
      <c r="G2142" s="449"/>
      <c r="H2142" s="98"/>
      <c r="I2142" s="98"/>
    </row>
    <row r="2143" spans="7:9" s="91" customFormat="1" ht="12.75">
      <c r="G2143" s="449"/>
      <c r="H2143" s="98"/>
      <c r="I2143" s="98"/>
    </row>
    <row r="2144" spans="7:9" s="91" customFormat="1" ht="12.75">
      <c r="G2144" s="449"/>
      <c r="H2144" s="98"/>
      <c r="I2144" s="98"/>
    </row>
    <row r="2145" spans="7:9" s="91" customFormat="1" ht="12.75">
      <c r="G2145" s="449"/>
      <c r="H2145" s="98"/>
      <c r="I2145" s="98"/>
    </row>
    <row r="2146" spans="7:9" s="91" customFormat="1" ht="12.75">
      <c r="G2146" s="449"/>
      <c r="H2146" s="98"/>
      <c r="I2146" s="98"/>
    </row>
    <row r="2147" spans="7:9" s="91" customFormat="1" ht="12.75">
      <c r="G2147" s="449"/>
      <c r="H2147" s="98"/>
      <c r="I2147" s="98"/>
    </row>
    <row r="2148" spans="7:9" s="91" customFormat="1" ht="12.75">
      <c r="G2148" s="449"/>
      <c r="H2148" s="98"/>
      <c r="I2148" s="98"/>
    </row>
    <row r="2149" spans="7:9" s="91" customFormat="1" ht="12.75">
      <c r="G2149" s="449"/>
      <c r="H2149" s="98"/>
      <c r="I2149" s="98"/>
    </row>
    <row r="2150" spans="7:9" s="91" customFormat="1" ht="12.75">
      <c r="G2150" s="449"/>
      <c r="H2150" s="98"/>
      <c r="I2150" s="98"/>
    </row>
    <row r="2151" spans="7:9" s="91" customFormat="1" ht="12.75">
      <c r="G2151" s="449"/>
      <c r="H2151" s="98"/>
      <c r="I2151" s="98"/>
    </row>
    <row r="2152" spans="7:9" s="91" customFormat="1" ht="12.75">
      <c r="G2152" s="449"/>
      <c r="H2152" s="98"/>
      <c r="I2152" s="98"/>
    </row>
    <row r="2153" spans="7:9" s="91" customFormat="1" ht="12.75">
      <c r="G2153" s="449"/>
      <c r="H2153" s="98"/>
      <c r="I2153" s="98"/>
    </row>
    <row r="2154" spans="7:9" s="91" customFormat="1" ht="12.75">
      <c r="G2154" s="449"/>
      <c r="H2154" s="98"/>
      <c r="I2154" s="98"/>
    </row>
    <row r="2155" spans="7:9" s="91" customFormat="1" ht="12.75">
      <c r="G2155" s="449"/>
      <c r="H2155" s="98"/>
      <c r="I2155" s="98"/>
    </row>
    <row r="2156" spans="7:9" s="91" customFormat="1" ht="12.75">
      <c r="G2156" s="449"/>
      <c r="H2156" s="98"/>
      <c r="I2156" s="98"/>
    </row>
    <row r="2157" spans="7:9" s="91" customFormat="1" ht="12.75">
      <c r="G2157" s="449"/>
      <c r="H2157" s="98"/>
      <c r="I2157" s="98"/>
    </row>
    <row r="2158" spans="7:9" s="91" customFormat="1" ht="12.75">
      <c r="G2158" s="449"/>
      <c r="H2158" s="98"/>
      <c r="I2158" s="98"/>
    </row>
    <row r="2159" spans="7:9" s="91" customFormat="1" ht="12.75">
      <c r="G2159" s="449"/>
      <c r="H2159" s="98"/>
      <c r="I2159" s="98"/>
    </row>
    <row r="2160" spans="7:9" s="91" customFormat="1" ht="12.75">
      <c r="G2160" s="449"/>
      <c r="H2160" s="98"/>
      <c r="I2160" s="98"/>
    </row>
    <row r="2161" spans="7:9" s="91" customFormat="1" ht="12.75">
      <c r="G2161" s="449"/>
      <c r="H2161" s="98"/>
      <c r="I2161" s="98"/>
    </row>
    <row r="2162" spans="7:9" s="91" customFormat="1" ht="12.75">
      <c r="G2162" s="449"/>
      <c r="H2162" s="98"/>
      <c r="I2162" s="98"/>
    </row>
    <row r="2163" spans="7:9" s="91" customFormat="1" ht="12.75">
      <c r="G2163" s="449"/>
      <c r="H2163" s="98"/>
      <c r="I2163" s="98"/>
    </row>
    <row r="2164" spans="7:9" s="91" customFormat="1" ht="12.75">
      <c r="G2164" s="449"/>
      <c r="H2164" s="98"/>
      <c r="I2164" s="98"/>
    </row>
    <row r="2165" spans="7:9" s="91" customFormat="1" ht="12.75">
      <c r="G2165" s="449"/>
      <c r="H2165" s="98"/>
      <c r="I2165" s="98"/>
    </row>
    <row r="2166" spans="7:9" s="91" customFormat="1" ht="12.75">
      <c r="G2166" s="449"/>
      <c r="H2166" s="98"/>
      <c r="I2166" s="98"/>
    </row>
    <row r="2167" spans="7:9" s="91" customFormat="1" ht="12.75">
      <c r="G2167" s="449"/>
      <c r="H2167" s="98"/>
      <c r="I2167" s="98"/>
    </row>
    <row r="2168" spans="7:9" s="91" customFormat="1" ht="12.75">
      <c r="G2168" s="449"/>
      <c r="H2168" s="98"/>
      <c r="I2168" s="98"/>
    </row>
    <row r="2169" spans="7:9" s="91" customFormat="1" ht="12.75">
      <c r="G2169" s="449"/>
      <c r="H2169" s="98"/>
      <c r="I2169" s="98"/>
    </row>
    <row r="2170" spans="7:9" s="91" customFormat="1" ht="12.75">
      <c r="G2170" s="449"/>
      <c r="H2170" s="98"/>
      <c r="I2170" s="98"/>
    </row>
    <row r="2171" spans="7:9" s="91" customFormat="1" ht="12.75">
      <c r="G2171" s="449"/>
      <c r="H2171" s="98"/>
      <c r="I2171" s="98"/>
    </row>
    <row r="2172" spans="7:9" s="91" customFormat="1" ht="12.75">
      <c r="G2172" s="449"/>
      <c r="H2172" s="98"/>
      <c r="I2172" s="98"/>
    </row>
    <row r="2173" spans="7:9" s="91" customFormat="1" ht="12.75">
      <c r="G2173" s="449"/>
      <c r="H2173" s="98"/>
      <c r="I2173" s="98"/>
    </row>
    <row r="2174" spans="7:9" s="91" customFormat="1" ht="12.75">
      <c r="G2174" s="449"/>
      <c r="H2174" s="98"/>
      <c r="I2174" s="98"/>
    </row>
    <row r="2175" spans="7:9" s="91" customFormat="1" ht="12.75">
      <c r="G2175" s="449"/>
      <c r="H2175" s="98"/>
      <c r="I2175" s="98"/>
    </row>
    <row r="2176" spans="7:9" s="91" customFormat="1" ht="12.75">
      <c r="G2176" s="449"/>
      <c r="H2176" s="98"/>
      <c r="I2176" s="98"/>
    </row>
    <row r="2177" spans="7:9" s="91" customFormat="1" ht="12.75">
      <c r="G2177" s="449"/>
      <c r="H2177" s="98"/>
      <c r="I2177" s="98"/>
    </row>
    <row r="2178" spans="7:9" s="91" customFormat="1" ht="12.75">
      <c r="G2178" s="449"/>
      <c r="H2178" s="98"/>
      <c r="I2178" s="98"/>
    </row>
    <row r="2179" spans="7:9" s="91" customFormat="1" ht="12.75">
      <c r="G2179" s="449"/>
      <c r="H2179" s="98"/>
      <c r="I2179" s="98"/>
    </row>
    <row r="2180" spans="7:9" s="91" customFormat="1" ht="12.75">
      <c r="G2180" s="449"/>
      <c r="H2180" s="98"/>
      <c r="I2180" s="98"/>
    </row>
    <row r="2181" spans="7:9" s="91" customFormat="1" ht="12.75">
      <c r="G2181" s="449"/>
      <c r="H2181" s="98"/>
      <c r="I2181" s="98"/>
    </row>
    <row r="2182" spans="7:9" s="91" customFormat="1" ht="12.75">
      <c r="G2182" s="449"/>
      <c r="H2182" s="98"/>
      <c r="I2182" s="98"/>
    </row>
    <row r="2183" spans="7:9" s="91" customFormat="1" ht="12.75">
      <c r="G2183" s="449"/>
      <c r="H2183" s="98"/>
      <c r="I2183" s="98"/>
    </row>
    <row r="2184" spans="7:9" s="91" customFormat="1" ht="12.75">
      <c r="G2184" s="449"/>
      <c r="H2184" s="98"/>
      <c r="I2184" s="98"/>
    </row>
    <row r="2185" spans="7:9" s="91" customFormat="1" ht="12.75">
      <c r="G2185" s="449"/>
      <c r="H2185" s="98"/>
      <c r="I2185" s="98"/>
    </row>
    <row r="2186" spans="7:9" s="91" customFormat="1" ht="12.75">
      <c r="G2186" s="449"/>
      <c r="H2186" s="98"/>
      <c r="I2186" s="98"/>
    </row>
    <row r="2187" spans="7:9" s="91" customFormat="1" ht="12.75">
      <c r="G2187" s="449"/>
      <c r="H2187" s="98"/>
      <c r="I2187" s="98"/>
    </row>
    <row r="2188" spans="7:9" s="91" customFormat="1" ht="12.75">
      <c r="G2188" s="449"/>
      <c r="H2188" s="98"/>
      <c r="I2188" s="98"/>
    </row>
    <row r="2189" spans="7:9" s="91" customFormat="1" ht="12.75">
      <c r="G2189" s="449"/>
      <c r="H2189" s="98"/>
      <c r="I2189" s="98"/>
    </row>
    <row r="2190" spans="7:9" s="91" customFormat="1" ht="12.75">
      <c r="G2190" s="449"/>
      <c r="H2190" s="98"/>
      <c r="I2190" s="98"/>
    </row>
    <row r="2191" spans="7:9" s="91" customFormat="1" ht="12.75">
      <c r="G2191" s="449"/>
      <c r="H2191" s="98"/>
      <c r="I2191" s="98"/>
    </row>
    <row r="2192" spans="7:9" s="91" customFormat="1" ht="12.75">
      <c r="G2192" s="449"/>
      <c r="H2192" s="98"/>
      <c r="I2192" s="98"/>
    </row>
    <row r="2193" spans="7:9" s="91" customFormat="1" ht="12.75">
      <c r="G2193" s="449"/>
      <c r="H2193" s="98"/>
      <c r="I2193" s="98"/>
    </row>
    <row r="2194" spans="7:9" s="91" customFormat="1" ht="12.75">
      <c r="G2194" s="449"/>
      <c r="H2194" s="98"/>
      <c r="I2194" s="98"/>
    </row>
    <row r="2195" spans="7:9" s="91" customFormat="1" ht="12.75">
      <c r="G2195" s="449"/>
      <c r="H2195" s="98"/>
      <c r="I2195" s="98"/>
    </row>
    <row r="2196" spans="7:9" s="91" customFormat="1" ht="12.75">
      <c r="G2196" s="449"/>
      <c r="H2196" s="98"/>
      <c r="I2196" s="98"/>
    </row>
    <row r="2197" spans="7:9" s="91" customFormat="1" ht="12.75">
      <c r="G2197" s="449"/>
      <c r="H2197" s="98"/>
      <c r="I2197" s="98"/>
    </row>
    <row r="2198" spans="7:9" s="91" customFormat="1" ht="12.75">
      <c r="G2198" s="449"/>
      <c r="H2198" s="98"/>
      <c r="I2198" s="98"/>
    </row>
    <row r="2199" spans="7:9" s="91" customFormat="1" ht="12.75">
      <c r="G2199" s="449"/>
      <c r="H2199" s="98"/>
      <c r="I2199" s="98"/>
    </row>
    <row r="2200" spans="7:9" s="91" customFormat="1" ht="12.75">
      <c r="G2200" s="449"/>
      <c r="H2200" s="98"/>
      <c r="I2200" s="98"/>
    </row>
    <row r="2201" spans="7:9" s="91" customFormat="1" ht="12.75">
      <c r="G2201" s="449"/>
      <c r="H2201" s="98"/>
      <c r="I2201" s="98"/>
    </row>
    <row r="2202" spans="7:9" s="91" customFormat="1" ht="12.75">
      <c r="G2202" s="449"/>
      <c r="H2202" s="98"/>
      <c r="I2202" s="98"/>
    </row>
    <row r="2203" spans="7:9" s="91" customFormat="1" ht="12.75">
      <c r="G2203" s="449"/>
      <c r="H2203" s="98"/>
      <c r="I2203" s="98"/>
    </row>
    <row r="2204" spans="7:9" s="91" customFormat="1" ht="12.75">
      <c r="G2204" s="449"/>
      <c r="H2204" s="98"/>
      <c r="I2204" s="98"/>
    </row>
    <row r="2205" spans="7:9" s="91" customFormat="1" ht="12.75">
      <c r="G2205" s="449"/>
      <c r="H2205" s="98"/>
      <c r="I2205" s="98"/>
    </row>
    <row r="2206" spans="7:9" s="91" customFormat="1" ht="12.75">
      <c r="G2206" s="449"/>
      <c r="H2206" s="98"/>
      <c r="I2206" s="98"/>
    </row>
    <row r="2207" spans="7:9" s="91" customFormat="1" ht="12.75">
      <c r="G2207" s="449"/>
      <c r="H2207" s="98"/>
      <c r="I2207" s="98"/>
    </row>
    <row r="2208" spans="7:9" s="91" customFormat="1" ht="12.75">
      <c r="G2208" s="449"/>
      <c r="H2208" s="98"/>
      <c r="I2208" s="98"/>
    </row>
    <row r="2209" spans="7:9" s="91" customFormat="1" ht="12.75">
      <c r="G2209" s="449"/>
      <c r="H2209" s="98"/>
      <c r="I2209" s="98"/>
    </row>
    <row r="2210" spans="7:9" s="91" customFormat="1" ht="12.75">
      <c r="G2210" s="449"/>
      <c r="H2210" s="98"/>
      <c r="I2210" s="98"/>
    </row>
    <row r="2211" spans="7:9" s="91" customFormat="1" ht="12.75">
      <c r="G2211" s="449"/>
      <c r="H2211" s="98"/>
      <c r="I2211" s="98"/>
    </row>
    <row r="2212" spans="7:9" s="91" customFormat="1" ht="12.75">
      <c r="G2212" s="449"/>
      <c r="H2212" s="98"/>
      <c r="I2212" s="98"/>
    </row>
    <row r="2213" spans="7:9" s="91" customFormat="1" ht="12.75">
      <c r="G2213" s="449"/>
      <c r="H2213" s="98"/>
      <c r="I2213" s="98"/>
    </row>
    <row r="2214" spans="7:9" s="91" customFormat="1" ht="12.75">
      <c r="G2214" s="449"/>
      <c r="H2214" s="98"/>
      <c r="I2214" s="98"/>
    </row>
    <row r="2215" spans="7:9" s="91" customFormat="1" ht="12.75">
      <c r="G2215" s="449"/>
      <c r="H2215" s="98"/>
      <c r="I2215" s="98"/>
    </row>
    <row r="2216" spans="7:9" s="91" customFormat="1" ht="12.75">
      <c r="G2216" s="449"/>
      <c r="H2216" s="98"/>
      <c r="I2216" s="98"/>
    </row>
    <row r="2217" spans="7:9" s="91" customFormat="1" ht="12.75">
      <c r="G2217" s="449"/>
      <c r="H2217" s="98"/>
      <c r="I2217" s="98"/>
    </row>
    <row r="2218" spans="7:9" s="91" customFormat="1" ht="12.75">
      <c r="G2218" s="449"/>
      <c r="H2218" s="98"/>
      <c r="I2218" s="98"/>
    </row>
    <row r="2219" spans="7:9" s="91" customFormat="1" ht="12.75">
      <c r="G2219" s="449"/>
      <c r="H2219" s="98"/>
      <c r="I2219" s="98"/>
    </row>
    <row r="2220" spans="7:9" s="91" customFormat="1" ht="12.75">
      <c r="G2220" s="449"/>
      <c r="H2220" s="98"/>
      <c r="I2220" s="98"/>
    </row>
    <row r="2221" spans="7:9" s="91" customFormat="1" ht="12.75">
      <c r="G2221" s="449"/>
      <c r="H2221" s="98"/>
      <c r="I2221" s="98"/>
    </row>
    <row r="2222" spans="7:9" s="91" customFormat="1" ht="12.75">
      <c r="G2222" s="449"/>
      <c r="H2222" s="98"/>
      <c r="I2222" s="98"/>
    </row>
    <row r="2223" spans="7:9" s="91" customFormat="1" ht="12.75">
      <c r="G2223" s="449"/>
      <c r="H2223" s="98"/>
      <c r="I2223" s="98"/>
    </row>
    <row r="2224" spans="7:9" s="91" customFormat="1" ht="12.75">
      <c r="G2224" s="449"/>
      <c r="H2224" s="98"/>
      <c r="I2224" s="98"/>
    </row>
    <row r="2225" spans="7:9" s="91" customFormat="1" ht="12.75">
      <c r="G2225" s="449"/>
      <c r="H2225" s="98"/>
      <c r="I2225" s="98"/>
    </row>
    <row r="2226" spans="7:9" s="91" customFormat="1" ht="12.75">
      <c r="G2226" s="449"/>
      <c r="H2226" s="98"/>
      <c r="I2226" s="98"/>
    </row>
    <row r="2227" spans="7:9" s="91" customFormat="1" ht="12.75">
      <c r="G2227" s="449"/>
      <c r="H2227" s="98"/>
      <c r="I2227" s="98"/>
    </row>
    <row r="2228" spans="7:9" s="91" customFormat="1" ht="12.75">
      <c r="G2228" s="449"/>
      <c r="H2228" s="98"/>
      <c r="I2228" s="98"/>
    </row>
    <row r="2229" spans="7:9" s="91" customFormat="1" ht="12.75">
      <c r="G2229" s="449"/>
      <c r="H2229" s="98"/>
      <c r="I2229" s="98"/>
    </row>
    <row r="2230" spans="7:9" s="91" customFormat="1" ht="12.75">
      <c r="G2230" s="449"/>
      <c r="H2230" s="98"/>
      <c r="I2230" s="98"/>
    </row>
    <row r="2231" spans="7:9" s="91" customFormat="1" ht="12.75">
      <c r="G2231" s="449"/>
      <c r="H2231" s="98"/>
      <c r="I2231" s="98"/>
    </row>
    <row r="2232" spans="7:9" s="91" customFormat="1" ht="12.75">
      <c r="G2232" s="449"/>
      <c r="H2232" s="98"/>
      <c r="I2232" s="98"/>
    </row>
    <row r="2233" spans="7:9" s="91" customFormat="1" ht="12.75">
      <c r="G2233" s="449"/>
      <c r="H2233" s="98"/>
      <c r="I2233" s="98"/>
    </row>
    <row r="2234" spans="7:9" s="91" customFormat="1" ht="12.75">
      <c r="G2234" s="449"/>
      <c r="H2234" s="98"/>
      <c r="I2234" s="98"/>
    </row>
    <row r="2235" spans="7:9" s="91" customFormat="1" ht="12.75">
      <c r="G2235" s="449"/>
      <c r="H2235" s="98"/>
      <c r="I2235" s="98"/>
    </row>
    <row r="2236" spans="7:9" s="91" customFormat="1" ht="12.75">
      <c r="G2236" s="449"/>
      <c r="H2236" s="98"/>
      <c r="I2236" s="98"/>
    </row>
    <row r="2237" spans="7:9" s="91" customFormat="1" ht="12.75">
      <c r="G2237" s="449"/>
      <c r="H2237" s="98"/>
      <c r="I2237" s="98"/>
    </row>
    <row r="2238" spans="7:9" s="91" customFormat="1" ht="12.75">
      <c r="G2238" s="449"/>
      <c r="H2238" s="98"/>
      <c r="I2238" s="98"/>
    </row>
    <row r="2239" spans="7:9" s="91" customFormat="1" ht="12.75">
      <c r="G2239" s="449"/>
      <c r="H2239" s="98"/>
      <c r="I2239" s="98"/>
    </row>
    <row r="2240" spans="7:9" s="91" customFormat="1" ht="12.75">
      <c r="G2240" s="449"/>
      <c r="H2240" s="98"/>
      <c r="I2240" s="98"/>
    </row>
    <row r="2241" spans="7:9" s="91" customFormat="1" ht="12.75">
      <c r="G2241" s="449"/>
      <c r="H2241" s="98"/>
      <c r="I2241" s="98"/>
    </row>
    <row r="2242" spans="7:9" s="91" customFormat="1" ht="12.75">
      <c r="G2242" s="449"/>
      <c r="H2242" s="98"/>
      <c r="I2242" s="98"/>
    </row>
    <row r="2243" spans="7:9" s="91" customFormat="1" ht="12.75">
      <c r="G2243" s="449"/>
      <c r="H2243" s="98"/>
      <c r="I2243" s="98"/>
    </row>
    <row r="2244" spans="7:9" s="91" customFormat="1" ht="12.75">
      <c r="G2244" s="449"/>
      <c r="H2244" s="98"/>
      <c r="I2244" s="98"/>
    </row>
    <row r="2245" spans="7:9" s="91" customFormat="1" ht="12.75">
      <c r="G2245" s="449"/>
      <c r="H2245" s="98"/>
      <c r="I2245" s="98"/>
    </row>
    <row r="2246" spans="7:9" s="91" customFormat="1" ht="12.75">
      <c r="G2246" s="449"/>
      <c r="H2246" s="98"/>
      <c r="I2246" s="98"/>
    </row>
    <row r="2247" spans="7:9" s="91" customFormat="1" ht="12.75">
      <c r="G2247" s="449"/>
      <c r="H2247" s="98"/>
      <c r="I2247" s="98"/>
    </row>
    <row r="2248" spans="7:9" s="91" customFormat="1" ht="12.75">
      <c r="G2248" s="449"/>
      <c r="H2248" s="98"/>
      <c r="I2248" s="98"/>
    </row>
    <row r="2249" spans="7:9" s="91" customFormat="1" ht="12.75">
      <c r="G2249" s="449"/>
      <c r="H2249" s="98"/>
      <c r="I2249" s="98"/>
    </row>
    <row r="2250" spans="7:9" s="91" customFormat="1" ht="12.75">
      <c r="G2250" s="449"/>
      <c r="H2250" s="98"/>
      <c r="I2250" s="98"/>
    </row>
    <row r="2251" spans="7:9" s="91" customFormat="1" ht="12.75">
      <c r="G2251" s="449"/>
      <c r="H2251" s="98"/>
      <c r="I2251" s="98"/>
    </row>
    <row r="2252" spans="7:9" s="91" customFormat="1" ht="12.75">
      <c r="G2252" s="449"/>
      <c r="H2252" s="98"/>
      <c r="I2252" s="98"/>
    </row>
    <row r="2253" spans="7:9" s="91" customFormat="1" ht="12.75">
      <c r="G2253" s="449"/>
      <c r="H2253" s="98"/>
      <c r="I2253" s="98"/>
    </row>
    <row r="2254" spans="7:9" s="91" customFormat="1" ht="12.75">
      <c r="G2254" s="449"/>
      <c r="H2254" s="98"/>
      <c r="I2254" s="98"/>
    </row>
    <row r="2255" spans="7:9" s="91" customFormat="1" ht="12.75">
      <c r="G2255" s="449"/>
      <c r="H2255" s="98"/>
      <c r="I2255" s="98"/>
    </row>
    <row r="2256" spans="7:9" s="91" customFormat="1" ht="12.75">
      <c r="G2256" s="449"/>
      <c r="H2256" s="98"/>
      <c r="I2256" s="98"/>
    </row>
    <row r="2257" spans="7:9" s="91" customFormat="1" ht="12.75">
      <c r="G2257" s="449"/>
      <c r="H2257" s="98"/>
      <c r="I2257" s="98"/>
    </row>
    <row r="2258" spans="7:9" s="91" customFormat="1" ht="12.75">
      <c r="G2258" s="449"/>
      <c r="H2258" s="98"/>
      <c r="I2258" s="98"/>
    </row>
    <row r="2259" spans="7:9" s="91" customFormat="1" ht="12.75">
      <c r="G2259" s="449"/>
      <c r="H2259" s="98"/>
      <c r="I2259" s="98"/>
    </row>
    <row r="2260" spans="7:9" s="91" customFormat="1" ht="12.75">
      <c r="G2260" s="449"/>
      <c r="H2260" s="98"/>
      <c r="I2260" s="98"/>
    </row>
    <row r="2261" spans="7:9" s="91" customFormat="1" ht="12.75">
      <c r="G2261" s="449"/>
      <c r="H2261" s="98"/>
      <c r="I2261" s="98"/>
    </row>
    <row r="2262" spans="7:9" s="91" customFormat="1" ht="12.75">
      <c r="G2262" s="449"/>
      <c r="H2262" s="98"/>
      <c r="I2262" s="98"/>
    </row>
    <row r="2263" spans="7:9" s="91" customFormat="1" ht="12.75">
      <c r="G2263" s="449"/>
      <c r="H2263" s="98"/>
      <c r="I2263" s="98"/>
    </row>
    <row r="2264" spans="7:9" s="91" customFormat="1" ht="12.75">
      <c r="G2264" s="449"/>
      <c r="H2264" s="98"/>
      <c r="I2264" s="98"/>
    </row>
    <row r="2265" spans="7:9" s="91" customFormat="1" ht="12.75">
      <c r="G2265" s="449"/>
      <c r="H2265" s="98"/>
      <c r="I2265" s="98"/>
    </row>
    <row r="2266" spans="7:9" s="91" customFormat="1" ht="12.75">
      <c r="G2266" s="449"/>
      <c r="H2266" s="98"/>
      <c r="I2266" s="98"/>
    </row>
    <row r="2267" spans="7:9" s="91" customFormat="1" ht="12.75">
      <c r="G2267" s="449"/>
      <c r="H2267" s="98"/>
      <c r="I2267" s="98"/>
    </row>
    <row r="2268" spans="7:9" s="91" customFormat="1" ht="12.75">
      <c r="G2268" s="449"/>
      <c r="H2268" s="98"/>
      <c r="I2268" s="98"/>
    </row>
    <row r="2269" spans="7:9" s="91" customFormat="1" ht="12.75">
      <c r="G2269" s="449"/>
      <c r="H2269" s="98"/>
      <c r="I2269" s="98"/>
    </row>
    <row r="2270" spans="7:9" s="91" customFormat="1" ht="12.75">
      <c r="G2270" s="449"/>
      <c r="H2270" s="98"/>
      <c r="I2270" s="98"/>
    </row>
    <row r="2271" spans="7:9" s="91" customFormat="1" ht="12.75">
      <c r="G2271" s="449"/>
      <c r="H2271" s="98"/>
      <c r="I2271" s="98"/>
    </row>
    <row r="2272" spans="7:9" s="91" customFormat="1" ht="12.75">
      <c r="G2272" s="449"/>
      <c r="H2272" s="98"/>
      <c r="I2272" s="98"/>
    </row>
    <row r="2273" spans="7:9" s="91" customFormat="1" ht="12.75">
      <c r="G2273" s="449"/>
      <c r="H2273" s="98"/>
      <c r="I2273" s="98"/>
    </row>
    <row r="2274" spans="7:9" s="91" customFormat="1" ht="12.75">
      <c r="G2274" s="449"/>
      <c r="H2274" s="98"/>
      <c r="I2274" s="98"/>
    </row>
    <row r="2275" spans="7:9" s="91" customFormat="1" ht="12.75">
      <c r="G2275" s="449"/>
      <c r="H2275" s="98"/>
      <c r="I2275" s="98"/>
    </row>
    <row r="2276" spans="7:9" s="91" customFormat="1" ht="12.75">
      <c r="G2276" s="449"/>
      <c r="H2276" s="98"/>
      <c r="I2276" s="98"/>
    </row>
    <row r="2277" spans="7:9" s="91" customFormat="1" ht="12.75">
      <c r="G2277" s="449"/>
      <c r="H2277" s="98"/>
      <c r="I2277" s="98"/>
    </row>
    <row r="2278" spans="7:9" s="91" customFormat="1" ht="12.75">
      <c r="G2278" s="449"/>
      <c r="H2278" s="98"/>
      <c r="I2278" s="98"/>
    </row>
    <row r="2279" spans="7:9" s="91" customFormat="1" ht="12.75">
      <c r="G2279" s="449"/>
      <c r="H2279" s="98"/>
      <c r="I2279" s="98"/>
    </row>
    <row r="2280" spans="7:9" s="91" customFormat="1" ht="12.75">
      <c r="G2280" s="449"/>
      <c r="H2280" s="98"/>
      <c r="I2280" s="98"/>
    </row>
    <row r="2281" spans="7:9" s="91" customFormat="1" ht="12.75">
      <c r="G2281" s="449"/>
      <c r="H2281" s="98"/>
      <c r="I2281" s="98"/>
    </row>
    <row r="2282" spans="7:9" s="91" customFormat="1" ht="12.75">
      <c r="G2282" s="449"/>
      <c r="H2282" s="98"/>
      <c r="I2282" s="98"/>
    </row>
    <row r="2283" spans="7:9" s="91" customFormat="1" ht="12.75">
      <c r="G2283" s="449"/>
      <c r="H2283" s="98"/>
      <c r="I2283" s="98"/>
    </row>
    <row r="2284" spans="7:9" s="91" customFormat="1" ht="12.75">
      <c r="G2284" s="449"/>
      <c r="H2284" s="98"/>
      <c r="I2284" s="98"/>
    </row>
    <row r="2285" spans="7:9" s="91" customFormat="1" ht="12.75">
      <c r="G2285" s="449"/>
      <c r="H2285" s="98"/>
      <c r="I2285" s="98"/>
    </row>
    <row r="2286" spans="7:9" s="91" customFormat="1" ht="12.75">
      <c r="G2286" s="449"/>
      <c r="H2286" s="98"/>
      <c r="I2286" s="98"/>
    </row>
    <row r="2287" spans="7:9" s="91" customFormat="1" ht="12.75">
      <c r="G2287" s="449"/>
      <c r="H2287" s="98"/>
      <c r="I2287" s="98"/>
    </row>
    <row r="2288" spans="7:9" s="91" customFormat="1" ht="12.75">
      <c r="G2288" s="449"/>
      <c r="H2288" s="98"/>
      <c r="I2288" s="98"/>
    </row>
    <row r="2289" spans="7:9" s="91" customFormat="1" ht="12.75">
      <c r="G2289" s="449"/>
      <c r="H2289" s="98"/>
      <c r="I2289" s="98"/>
    </row>
    <row r="2290" spans="7:9" s="91" customFormat="1" ht="12.75">
      <c r="G2290" s="449"/>
      <c r="H2290" s="98"/>
      <c r="I2290" s="98"/>
    </row>
    <row r="2291" spans="7:9" s="91" customFormat="1" ht="12.75">
      <c r="G2291" s="449"/>
      <c r="H2291" s="98"/>
      <c r="I2291" s="98"/>
    </row>
    <row r="2292" spans="7:9" s="91" customFormat="1" ht="12.75">
      <c r="G2292" s="449"/>
      <c r="H2292" s="98"/>
      <c r="I2292" s="98"/>
    </row>
    <row r="2293" spans="7:9" s="91" customFormat="1" ht="12.75">
      <c r="G2293" s="449"/>
      <c r="H2293" s="98"/>
      <c r="I2293" s="98"/>
    </row>
    <row r="2294" spans="7:9" s="91" customFormat="1" ht="12.75">
      <c r="G2294" s="449"/>
      <c r="H2294" s="98"/>
      <c r="I2294" s="98"/>
    </row>
    <row r="2295" spans="7:9" s="91" customFormat="1" ht="12.75">
      <c r="G2295" s="449"/>
      <c r="H2295" s="98"/>
      <c r="I2295" s="98"/>
    </row>
    <row r="2296" spans="7:9" s="91" customFormat="1" ht="12.75">
      <c r="G2296" s="449"/>
      <c r="H2296" s="98"/>
      <c r="I2296" s="98"/>
    </row>
    <row r="2297" spans="7:9" s="91" customFormat="1" ht="12.75">
      <c r="G2297" s="449"/>
      <c r="H2297" s="98"/>
      <c r="I2297" s="98"/>
    </row>
    <row r="2298" spans="7:9" s="91" customFormat="1" ht="12.75">
      <c r="G2298" s="449"/>
      <c r="H2298" s="98"/>
      <c r="I2298" s="98"/>
    </row>
    <row r="2299" spans="7:9" s="91" customFormat="1" ht="12.75">
      <c r="G2299" s="449"/>
      <c r="H2299" s="98"/>
      <c r="I2299" s="98"/>
    </row>
    <row r="2300" spans="7:9" s="91" customFormat="1" ht="12.75">
      <c r="G2300" s="449"/>
      <c r="H2300" s="98"/>
      <c r="I2300" s="98"/>
    </row>
    <row r="2301" spans="7:9" s="91" customFormat="1" ht="12.75">
      <c r="G2301" s="449"/>
      <c r="H2301" s="98"/>
      <c r="I2301" s="98"/>
    </row>
    <row r="2302" spans="7:9" s="91" customFormat="1" ht="12.75">
      <c r="G2302" s="449"/>
      <c r="H2302" s="98"/>
      <c r="I2302" s="98"/>
    </row>
    <row r="2303" spans="7:9" s="91" customFormat="1" ht="12.75">
      <c r="G2303" s="449"/>
      <c r="H2303" s="98"/>
      <c r="I2303" s="98"/>
    </row>
    <row r="2304" spans="7:9" s="91" customFormat="1" ht="12.75">
      <c r="G2304" s="449"/>
      <c r="H2304" s="98"/>
      <c r="I2304" s="98"/>
    </row>
    <row r="2305" spans="7:9" s="91" customFormat="1" ht="12.75">
      <c r="G2305" s="449"/>
      <c r="H2305" s="98"/>
      <c r="I2305" s="98"/>
    </row>
    <row r="2306" spans="7:9" s="91" customFormat="1" ht="12.75">
      <c r="G2306" s="449"/>
      <c r="H2306" s="98"/>
      <c r="I2306" s="98"/>
    </row>
    <row r="2307" spans="7:9" s="91" customFormat="1" ht="12.75">
      <c r="G2307" s="449"/>
      <c r="H2307" s="98"/>
      <c r="I2307" s="98"/>
    </row>
    <row r="2308" spans="7:9" s="91" customFormat="1" ht="12.75">
      <c r="G2308" s="449"/>
      <c r="H2308" s="98"/>
      <c r="I2308" s="98"/>
    </row>
    <row r="2309" spans="7:9" s="91" customFormat="1" ht="12.75">
      <c r="G2309" s="449"/>
      <c r="H2309" s="98"/>
      <c r="I2309" s="98"/>
    </row>
    <row r="2310" spans="7:9" s="91" customFormat="1" ht="12.75">
      <c r="G2310" s="449"/>
      <c r="H2310" s="98"/>
      <c r="I2310" s="98"/>
    </row>
    <row r="2311" spans="7:9" s="91" customFormat="1" ht="12.75">
      <c r="G2311" s="449"/>
      <c r="H2311" s="98"/>
      <c r="I2311" s="98"/>
    </row>
    <row r="2312" spans="7:9" s="91" customFormat="1" ht="12.75">
      <c r="G2312" s="449"/>
      <c r="H2312" s="98"/>
      <c r="I2312" s="98"/>
    </row>
    <row r="2313" spans="7:9" s="91" customFormat="1" ht="12.75">
      <c r="G2313" s="449"/>
      <c r="H2313" s="98"/>
      <c r="I2313" s="98"/>
    </row>
    <row r="2314" spans="7:9" s="91" customFormat="1" ht="12.75">
      <c r="G2314" s="449"/>
      <c r="H2314" s="98"/>
      <c r="I2314" s="98"/>
    </row>
    <row r="2315" spans="7:9" s="91" customFormat="1" ht="12.75">
      <c r="G2315" s="449"/>
      <c r="H2315" s="98"/>
      <c r="I2315" s="98"/>
    </row>
    <row r="2316" spans="7:9" s="91" customFormat="1" ht="12.75">
      <c r="G2316" s="449"/>
      <c r="H2316" s="98"/>
      <c r="I2316" s="98"/>
    </row>
    <row r="2317" spans="7:9" s="91" customFormat="1" ht="12.75">
      <c r="G2317" s="449"/>
      <c r="H2317" s="98"/>
      <c r="I2317" s="98"/>
    </row>
    <row r="2318" spans="7:9" s="91" customFormat="1" ht="12.75">
      <c r="G2318" s="449"/>
      <c r="H2318" s="98"/>
      <c r="I2318" s="98"/>
    </row>
    <row r="2319" spans="7:9" s="91" customFormat="1" ht="12.75">
      <c r="G2319" s="449"/>
      <c r="H2319" s="98"/>
      <c r="I2319" s="98"/>
    </row>
    <row r="2320" spans="7:9" s="91" customFormat="1" ht="12.75">
      <c r="G2320" s="449"/>
      <c r="H2320" s="98"/>
      <c r="I2320" s="98"/>
    </row>
    <row r="2321" spans="7:9" s="91" customFormat="1" ht="12.75">
      <c r="G2321" s="449"/>
      <c r="H2321" s="98"/>
      <c r="I2321" s="98"/>
    </row>
    <row r="2322" spans="7:9" s="91" customFormat="1" ht="12.75">
      <c r="G2322" s="449"/>
      <c r="H2322" s="98"/>
      <c r="I2322" s="98"/>
    </row>
    <row r="2323" spans="7:9" s="91" customFormat="1" ht="12.75">
      <c r="G2323" s="449"/>
      <c r="H2323" s="98"/>
      <c r="I2323" s="98"/>
    </row>
    <row r="2324" spans="7:9" s="91" customFormat="1" ht="12.75">
      <c r="G2324" s="449"/>
      <c r="H2324" s="98"/>
      <c r="I2324" s="98"/>
    </row>
    <row r="2325" spans="7:9" s="91" customFormat="1" ht="12.75">
      <c r="G2325" s="449"/>
      <c r="H2325" s="98"/>
      <c r="I2325" s="98"/>
    </row>
    <row r="2326" spans="7:9" s="91" customFormat="1" ht="12.75">
      <c r="G2326" s="449"/>
      <c r="H2326" s="98"/>
      <c r="I2326" s="98"/>
    </row>
    <row r="2327" spans="7:9" s="91" customFormat="1" ht="12.75">
      <c r="G2327" s="449"/>
      <c r="H2327" s="98"/>
      <c r="I2327" s="98"/>
    </row>
    <row r="2328" spans="7:9" s="91" customFormat="1" ht="12.75">
      <c r="G2328" s="449"/>
      <c r="H2328" s="98"/>
      <c r="I2328" s="98"/>
    </row>
    <row r="2329" spans="7:9" s="91" customFormat="1" ht="12.75">
      <c r="G2329" s="449"/>
      <c r="H2329" s="98"/>
      <c r="I2329" s="98"/>
    </row>
    <row r="2330" spans="7:9" s="91" customFormat="1" ht="12.75">
      <c r="G2330" s="449"/>
      <c r="H2330" s="98"/>
      <c r="I2330" s="98"/>
    </row>
    <row r="2331" spans="7:9" s="91" customFormat="1" ht="12.75">
      <c r="G2331" s="449"/>
      <c r="H2331" s="98"/>
      <c r="I2331" s="98"/>
    </row>
    <row r="2332" spans="7:9" s="91" customFormat="1" ht="12.75">
      <c r="G2332" s="449"/>
      <c r="H2332" s="98"/>
      <c r="I2332" s="98"/>
    </row>
    <row r="2333" spans="7:9" s="91" customFormat="1" ht="12.75">
      <c r="G2333" s="449"/>
      <c r="H2333" s="98"/>
      <c r="I2333" s="98"/>
    </row>
    <row r="2334" spans="7:9" s="91" customFormat="1" ht="12.75">
      <c r="G2334" s="449"/>
      <c r="H2334" s="98"/>
      <c r="I2334" s="98"/>
    </row>
    <row r="2335" spans="7:9" s="91" customFormat="1" ht="12.75">
      <c r="G2335" s="449"/>
      <c r="H2335" s="98"/>
      <c r="I2335" s="98"/>
    </row>
    <row r="2336" spans="7:9" s="91" customFormat="1" ht="12.75">
      <c r="G2336" s="449"/>
      <c r="H2336" s="98"/>
      <c r="I2336" s="98"/>
    </row>
    <row r="2337" spans="7:9" s="91" customFormat="1" ht="12.75">
      <c r="G2337" s="449"/>
      <c r="H2337" s="98"/>
      <c r="I2337" s="98"/>
    </row>
    <row r="2338" spans="7:9" s="91" customFormat="1" ht="12.75">
      <c r="G2338" s="449"/>
      <c r="H2338" s="98"/>
      <c r="I2338" s="98"/>
    </row>
    <row r="2339" spans="7:9" s="91" customFormat="1" ht="12.75">
      <c r="G2339" s="449"/>
      <c r="H2339" s="98"/>
      <c r="I2339" s="98"/>
    </row>
    <row r="2340" spans="7:9" s="91" customFormat="1" ht="12.75">
      <c r="G2340" s="449"/>
      <c r="H2340" s="98"/>
      <c r="I2340" s="98"/>
    </row>
    <row r="2341" spans="7:9" s="91" customFormat="1" ht="12.75">
      <c r="G2341" s="449"/>
      <c r="H2341" s="98"/>
      <c r="I2341" s="98"/>
    </row>
    <row r="2342" spans="7:9" s="91" customFormat="1" ht="12.75">
      <c r="G2342" s="449"/>
      <c r="H2342" s="98"/>
      <c r="I2342" s="98"/>
    </row>
    <row r="2343" spans="7:9" s="91" customFormat="1" ht="12.75">
      <c r="G2343" s="449"/>
      <c r="H2343" s="98"/>
      <c r="I2343" s="98"/>
    </row>
    <row r="2344" spans="7:9" s="91" customFormat="1" ht="12.75">
      <c r="G2344" s="449"/>
      <c r="H2344" s="98"/>
      <c r="I2344" s="98"/>
    </row>
    <row r="2345" spans="7:9" s="91" customFormat="1" ht="12.75">
      <c r="G2345" s="449"/>
      <c r="H2345" s="98"/>
      <c r="I2345" s="98"/>
    </row>
    <row r="2346" spans="7:9" s="91" customFormat="1" ht="12.75">
      <c r="G2346" s="449"/>
      <c r="H2346" s="98"/>
      <c r="I2346" s="98"/>
    </row>
    <row r="2347" spans="7:9" s="91" customFormat="1" ht="12.75">
      <c r="G2347" s="449"/>
      <c r="H2347" s="98"/>
      <c r="I2347" s="98"/>
    </row>
    <row r="2348" spans="7:9" s="91" customFormat="1" ht="12.75">
      <c r="G2348" s="449"/>
      <c r="H2348" s="98"/>
      <c r="I2348" s="98"/>
    </row>
    <row r="2349" spans="7:9" s="91" customFormat="1" ht="12.75">
      <c r="G2349" s="449"/>
      <c r="H2349" s="98"/>
      <c r="I2349" s="98"/>
    </row>
    <row r="2350" spans="7:9" s="91" customFormat="1" ht="12.75">
      <c r="G2350" s="449"/>
      <c r="H2350" s="98"/>
      <c r="I2350" s="98"/>
    </row>
    <row r="2351" spans="7:9" s="91" customFormat="1" ht="12.75">
      <c r="G2351" s="449"/>
      <c r="H2351" s="98"/>
      <c r="I2351" s="98"/>
    </row>
    <row r="2352" spans="7:9" s="91" customFormat="1" ht="12.75">
      <c r="G2352" s="449"/>
      <c r="H2352" s="98"/>
      <c r="I2352" s="98"/>
    </row>
    <row r="2353" spans="7:9" s="91" customFormat="1" ht="12.75">
      <c r="G2353" s="449"/>
      <c r="H2353" s="98"/>
      <c r="I2353" s="98"/>
    </row>
    <row r="2354" spans="7:9" s="91" customFormat="1" ht="12.75">
      <c r="G2354" s="449"/>
      <c r="H2354" s="98"/>
      <c r="I2354" s="98"/>
    </row>
    <row r="2355" spans="7:9" s="91" customFormat="1" ht="12.75">
      <c r="G2355" s="449"/>
      <c r="H2355" s="98"/>
      <c r="I2355" s="98"/>
    </row>
    <row r="2356" spans="7:9" s="91" customFormat="1" ht="12.75">
      <c r="G2356" s="449"/>
      <c r="H2356" s="98"/>
      <c r="I2356" s="98"/>
    </row>
    <row r="2357" spans="7:9" s="91" customFormat="1" ht="12.75">
      <c r="G2357" s="449"/>
      <c r="H2357" s="98"/>
      <c r="I2357" s="98"/>
    </row>
    <row r="2358" spans="7:9" s="91" customFormat="1" ht="12.75">
      <c r="G2358" s="449"/>
      <c r="H2358" s="98"/>
      <c r="I2358" s="98"/>
    </row>
    <row r="2359" spans="7:9" s="91" customFormat="1" ht="12.75">
      <c r="G2359" s="449"/>
      <c r="H2359" s="98"/>
      <c r="I2359" s="98"/>
    </row>
    <row r="2360" spans="7:9" s="91" customFormat="1" ht="12.75">
      <c r="G2360" s="449"/>
      <c r="H2360" s="98"/>
      <c r="I2360" s="98"/>
    </row>
    <row r="2361" spans="7:9" s="91" customFormat="1" ht="12.75">
      <c r="G2361" s="449"/>
      <c r="H2361" s="98"/>
      <c r="I2361" s="98"/>
    </row>
    <row r="2362" spans="7:9" s="91" customFormat="1" ht="12.75">
      <c r="G2362" s="449"/>
      <c r="H2362" s="98"/>
      <c r="I2362" s="98"/>
    </row>
    <row r="2363" spans="7:9" s="91" customFormat="1" ht="12.75">
      <c r="G2363" s="449"/>
      <c r="H2363" s="98"/>
      <c r="I2363" s="98"/>
    </row>
    <row r="2364" spans="7:9" s="91" customFormat="1" ht="12.75">
      <c r="G2364" s="449"/>
      <c r="H2364" s="98"/>
      <c r="I2364" s="98"/>
    </row>
    <row r="2365" spans="7:9" s="91" customFormat="1" ht="12.75">
      <c r="G2365" s="449"/>
      <c r="H2365" s="98"/>
      <c r="I2365" s="98"/>
    </row>
    <row r="2366" spans="7:9" s="91" customFormat="1" ht="12.75">
      <c r="G2366" s="449"/>
      <c r="H2366" s="98"/>
      <c r="I2366" s="98"/>
    </row>
    <row r="2367" spans="7:9" s="91" customFormat="1" ht="12.75">
      <c r="G2367" s="449"/>
      <c r="H2367" s="98"/>
      <c r="I2367" s="98"/>
    </row>
    <row r="2368" spans="7:9" s="91" customFormat="1" ht="12.75">
      <c r="G2368" s="449"/>
      <c r="H2368" s="98"/>
      <c r="I2368" s="98"/>
    </row>
    <row r="2369" spans="7:9" s="91" customFormat="1" ht="12.75">
      <c r="G2369" s="449"/>
      <c r="H2369" s="98"/>
      <c r="I2369" s="98"/>
    </row>
    <row r="2370" spans="7:9" s="91" customFormat="1" ht="12.75">
      <c r="G2370" s="449"/>
      <c r="H2370" s="98"/>
      <c r="I2370" s="98"/>
    </row>
    <row r="2371" spans="7:9" s="91" customFormat="1" ht="12.75">
      <c r="G2371" s="449"/>
      <c r="H2371" s="98"/>
      <c r="I2371" s="98"/>
    </row>
    <row r="2372" spans="7:9" s="91" customFormat="1" ht="12.75">
      <c r="G2372" s="449"/>
      <c r="H2372" s="98"/>
      <c r="I2372" s="98"/>
    </row>
    <row r="2373" spans="7:9" s="91" customFormat="1" ht="12.75">
      <c r="G2373" s="449"/>
      <c r="H2373" s="98"/>
      <c r="I2373" s="98"/>
    </row>
    <row r="2374" spans="7:9" s="91" customFormat="1" ht="12.75">
      <c r="G2374" s="449"/>
      <c r="H2374" s="98"/>
      <c r="I2374" s="98"/>
    </row>
    <row r="2375" spans="7:9" s="91" customFormat="1" ht="12.75">
      <c r="G2375" s="449"/>
      <c r="H2375" s="98"/>
      <c r="I2375" s="98"/>
    </row>
    <row r="2376" spans="7:9" s="91" customFormat="1" ht="12.75">
      <c r="G2376" s="449"/>
      <c r="H2376" s="98"/>
      <c r="I2376" s="98"/>
    </row>
    <row r="2377" spans="7:9" s="91" customFormat="1" ht="12.75">
      <c r="G2377" s="449"/>
      <c r="H2377" s="98"/>
      <c r="I2377" s="98"/>
    </row>
    <row r="2378" spans="7:9" s="91" customFormat="1" ht="12.75">
      <c r="G2378" s="449"/>
      <c r="H2378" s="98"/>
      <c r="I2378" s="98"/>
    </row>
    <row r="2379" spans="7:9" s="91" customFormat="1" ht="12.75">
      <c r="G2379" s="449"/>
      <c r="H2379" s="98"/>
      <c r="I2379" s="98"/>
    </row>
    <row r="2380" spans="7:9" s="91" customFormat="1" ht="12.75">
      <c r="G2380" s="449"/>
      <c r="H2380" s="98"/>
      <c r="I2380" s="98"/>
    </row>
    <row r="2381" spans="7:9" s="91" customFormat="1" ht="12.75">
      <c r="G2381" s="449"/>
      <c r="H2381" s="98"/>
      <c r="I2381" s="98"/>
    </row>
    <row r="2382" spans="7:9" s="91" customFormat="1" ht="12.75">
      <c r="G2382" s="449"/>
      <c r="H2382" s="98"/>
      <c r="I2382" s="98"/>
    </row>
    <row r="2383" spans="7:9" s="91" customFormat="1" ht="12.75">
      <c r="G2383" s="449"/>
      <c r="H2383" s="98"/>
      <c r="I2383" s="98"/>
    </row>
    <row r="2384" spans="7:9" s="91" customFormat="1" ht="12.75">
      <c r="G2384" s="449"/>
      <c r="H2384" s="98"/>
      <c r="I2384" s="98"/>
    </row>
    <row r="2385" spans="7:9" s="91" customFormat="1" ht="12.75">
      <c r="G2385" s="449"/>
      <c r="H2385" s="98"/>
      <c r="I2385" s="98"/>
    </row>
    <row r="2386" spans="7:9" s="91" customFormat="1" ht="12.75">
      <c r="G2386" s="449"/>
      <c r="H2386" s="98"/>
      <c r="I2386" s="98"/>
    </row>
    <row r="2387" spans="7:9" s="91" customFormat="1" ht="12.75">
      <c r="G2387" s="449"/>
      <c r="H2387" s="98"/>
      <c r="I2387" s="98"/>
    </row>
    <row r="2388" spans="7:9" s="91" customFormat="1" ht="12.75">
      <c r="G2388" s="449"/>
      <c r="H2388" s="98"/>
      <c r="I2388" s="98"/>
    </row>
    <row r="2389" spans="7:9" s="91" customFormat="1" ht="12.75">
      <c r="G2389" s="449"/>
      <c r="H2389" s="98"/>
      <c r="I2389" s="98"/>
    </row>
    <row r="2390" spans="7:9" s="91" customFormat="1" ht="12.75">
      <c r="G2390" s="449"/>
      <c r="H2390" s="98"/>
      <c r="I2390" s="98"/>
    </row>
    <row r="2391" spans="7:9" s="91" customFormat="1" ht="12.75">
      <c r="G2391" s="449"/>
      <c r="H2391" s="98"/>
      <c r="I2391" s="98"/>
    </row>
    <row r="2392" spans="7:9" s="91" customFormat="1" ht="12.75">
      <c r="G2392" s="449"/>
      <c r="H2392" s="98"/>
      <c r="I2392" s="98"/>
    </row>
    <row r="2393" spans="7:9" s="91" customFormat="1" ht="12.75">
      <c r="G2393" s="449"/>
      <c r="H2393" s="98"/>
      <c r="I2393" s="98"/>
    </row>
    <row r="2394" spans="7:9" s="91" customFormat="1" ht="12.75">
      <c r="G2394" s="449"/>
      <c r="H2394" s="98"/>
      <c r="I2394" s="98"/>
    </row>
    <row r="2395" spans="7:9" s="91" customFormat="1" ht="12.75">
      <c r="G2395" s="449"/>
      <c r="H2395" s="98"/>
      <c r="I2395" s="98"/>
    </row>
    <row r="2396" spans="7:9" s="91" customFormat="1" ht="12.75">
      <c r="G2396" s="449"/>
      <c r="H2396" s="98"/>
      <c r="I2396" s="98"/>
    </row>
    <row r="2397" spans="7:9" s="91" customFormat="1" ht="12.75">
      <c r="G2397" s="449"/>
      <c r="H2397" s="98"/>
      <c r="I2397" s="98"/>
    </row>
    <row r="2398" spans="7:9" s="91" customFormat="1" ht="12.75">
      <c r="G2398" s="449"/>
      <c r="H2398" s="98"/>
      <c r="I2398" s="98"/>
    </row>
    <row r="2399" spans="7:9" s="91" customFormat="1" ht="12.75">
      <c r="G2399" s="449"/>
      <c r="H2399" s="98"/>
      <c r="I2399" s="98"/>
    </row>
    <row r="2400" spans="7:9" s="91" customFormat="1" ht="12.75">
      <c r="G2400" s="449"/>
      <c r="H2400" s="98"/>
      <c r="I2400" s="98"/>
    </row>
    <row r="2401" spans="7:9" s="91" customFormat="1" ht="12.75">
      <c r="G2401" s="449"/>
      <c r="H2401" s="98"/>
      <c r="I2401" s="98"/>
    </row>
    <row r="2402" spans="7:9" s="91" customFormat="1" ht="12.75">
      <c r="G2402" s="449"/>
      <c r="H2402" s="98"/>
      <c r="I2402" s="98"/>
    </row>
    <row r="2403" spans="7:9" s="91" customFormat="1" ht="12.75">
      <c r="G2403" s="449"/>
      <c r="H2403" s="98"/>
      <c r="I2403" s="98"/>
    </row>
    <row r="2404" spans="7:9" s="91" customFormat="1" ht="12.75">
      <c r="G2404" s="449"/>
      <c r="H2404" s="98"/>
      <c r="I2404" s="98"/>
    </row>
    <row r="2405" spans="7:9" s="91" customFormat="1" ht="12.75">
      <c r="G2405" s="449"/>
      <c r="H2405" s="98"/>
      <c r="I2405" s="98"/>
    </row>
    <row r="2406" spans="7:9" s="91" customFormat="1" ht="12.75">
      <c r="G2406" s="449"/>
      <c r="H2406" s="98"/>
      <c r="I2406" s="98"/>
    </row>
    <row r="2407" spans="7:9" s="91" customFormat="1" ht="12.75">
      <c r="G2407" s="449"/>
      <c r="H2407" s="98"/>
      <c r="I2407" s="98"/>
    </row>
    <row r="2408" spans="7:9" s="91" customFormat="1" ht="12.75">
      <c r="G2408" s="449"/>
      <c r="H2408" s="98"/>
      <c r="I2408" s="98"/>
    </row>
    <row r="2409" spans="7:9" s="91" customFormat="1" ht="12.75">
      <c r="G2409" s="449"/>
      <c r="H2409" s="98"/>
      <c r="I2409" s="98"/>
    </row>
    <row r="2410" spans="7:9" s="91" customFormat="1" ht="12.75">
      <c r="G2410" s="449"/>
      <c r="H2410" s="98"/>
      <c r="I2410" s="98"/>
    </row>
    <row r="2411" spans="7:9" s="91" customFormat="1" ht="12.75">
      <c r="G2411" s="449"/>
      <c r="H2411" s="98"/>
      <c r="I2411" s="98"/>
    </row>
    <row r="2412" spans="7:9" s="91" customFormat="1" ht="12.75">
      <c r="G2412" s="449"/>
      <c r="H2412" s="98"/>
      <c r="I2412" s="98"/>
    </row>
    <row r="2413" spans="7:9" s="91" customFormat="1" ht="12.75">
      <c r="G2413" s="449"/>
      <c r="H2413" s="98"/>
      <c r="I2413" s="98"/>
    </row>
    <row r="2414" spans="7:9" s="91" customFormat="1" ht="12.75">
      <c r="G2414" s="449"/>
      <c r="H2414" s="98"/>
      <c r="I2414" s="98"/>
    </row>
    <row r="2415" spans="7:9" s="91" customFormat="1" ht="12.75">
      <c r="G2415" s="449"/>
      <c r="H2415" s="98"/>
      <c r="I2415" s="98"/>
    </row>
    <row r="2416" spans="7:9" s="91" customFormat="1" ht="12.75">
      <c r="G2416" s="449"/>
      <c r="H2416" s="98"/>
      <c r="I2416" s="98"/>
    </row>
    <row r="2417" spans="7:9" s="91" customFormat="1" ht="12.75">
      <c r="G2417" s="449"/>
      <c r="H2417" s="98"/>
      <c r="I2417" s="98"/>
    </row>
    <row r="2418" spans="7:9" s="91" customFormat="1" ht="12.75">
      <c r="G2418" s="449"/>
      <c r="H2418" s="98"/>
      <c r="I2418" s="98"/>
    </row>
    <row r="2419" spans="7:9" s="91" customFormat="1" ht="12.75">
      <c r="G2419" s="449"/>
      <c r="H2419" s="98"/>
      <c r="I2419" s="98"/>
    </row>
    <row r="2420" spans="7:9" s="91" customFormat="1" ht="12.75">
      <c r="G2420" s="449"/>
      <c r="H2420" s="98"/>
      <c r="I2420" s="98"/>
    </row>
    <row r="2421" spans="7:9" s="91" customFormat="1" ht="12.75">
      <c r="G2421" s="449"/>
      <c r="H2421" s="98"/>
      <c r="I2421" s="98"/>
    </row>
    <row r="2422" spans="7:9" s="91" customFormat="1" ht="12.75">
      <c r="G2422" s="449"/>
      <c r="H2422" s="98"/>
      <c r="I2422" s="98"/>
    </row>
    <row r="2423" spans="7:9" s="91" customFormat="1" ht="12.75">
      <c r="G2423" s="449"/>
      <c r="H2423" s="98"/>
      <c r="I2423" s="98"/>
    </row>
    <row r="2424" spans="7:9" s="91" customFormat="1" ht="12.75">
      <c r="G2424" s="449"/>
      <c r="H2424" s="98"/>
      <c r="I2424" s="98"/>
    </row>
    <row r="2425" spans="7:9" s="91" customFormat="1" ht="12.75">
      <c r="G2425" s="449"/>
      <c r="H2425" s="98"/>
      <c r="I2425" s="98"/>
    </row>
    <row r="2426" spans="7:9" s="91" customFormat="1" ht="12.75">
      <c r="G2426" s="449"/>
      <c r="H2426" s="98"/>
      <c r="I2426" s="98"/>
    </row>
    <row r="2427" spans="7:9" s="91" customFormat="1" ht="12.75">
      <c r="G2427" s="449"/>
      <c r="H2427" s="98"/>
      <c r="I2427" s="98"/>
    </row>
    <row r="2428" spans="7:9" s="91" customFormat="1" ht="12.75">
      <c r="G2428" s="449"/>
      <c r="H2428" s="98"/>
      <c r="I2428" s="98"/>
    </row>
    <row r="2429" spans="7:9" s="91" customFormat="1" ht="12.75">
      <c r="G2429" s="449"/>
      <c r="H2429" s="98"/>
      <c r="I2429" s="98"/>
    </row>
    <row r="2430" spans="7:9" s="91" customFormat="1" ht="12.75">
      <c r="G2430" s="449"/>
      <c r="H2430" s="98"/>
      <c r="I2430" s="98"/>
    </row>
    <row r="2431" spans="7:9" s="91" customFormat="1" ht="12.75">
      <c r="G2431" s="449"/>
      <c r="H2431" s="98"/>
      <c r="I2431" s="98"/>
    </row>
    <row r="2432" spans="7:9" s="91" customFormat="1" ht="12.75">
      <c r="G2432" s="449"/>
      <c r="H2432" s="98"/>
      <c r="I2432" s="98"/>
    </row>
    <row r="2433" spans="7:9" s="91" customFormat="1" ht="12.75">
      <c r="G2433" s="449"/>
      <c r="H2433" s="98"/>
      <c r="I2433" s="98"/>
    </row>
    <row r="2434" spans="7:9" s="91" customFormat="1" ht="12.75">
      <c r="G2434" s="449"/>
      <c r="H2434" s="98"/>
      <c r="I2434" s="98"/>
    </row>
    <row r="2435" spans="7:9" s="91" customFormat="1" ht="12.75">
      <c r="G2435" s="449"/>
      <c r="H2435" s="98"/>
      <c r="I2435" s="98"/>
    </row>
    <row r="2436" spans="7:9" s="91" customFormat="1" ht="12.75">
      <c r="G2436" s="449"/>
      <c r="H2436" s="98"/>
      <c r="I2436" s="98"/>
    </row>
    <row r="2437" spans="7:9" s="91" customFormat="1" ht="12.75">
      <c r="G2437" s="449"/>
      <c r="H2437" s="98"/>
      <c r="I2437" s="98"/>
    </row>
    <row r="2438" spans="7:9" s="91" customFormat="1" ht="12.75">
      <c r="G2438" s="449"/>
      <c r="H2438" s="98"/>
      <c r="I2438" s="98"/>
    </row>
    <row r="2439" spans="7:9" s="91" customFormat="1" ht="12.75">
      <c r="G2439" s="449"/>
      <c r="H2439" s="98"/>
      <c r="I2439" s="98"/>
    </row>
    <row r="2440" spans="7:9" s="91" customFormat="1" ht="12.75">
      <c r="G2440" s="449"/>
      <c r="H2440" s="98"/>
      <c r="I2440" s="98"/>
    </row>
    <row r="2441" spans="7:9" s="91" customFormat="1" ht="12.75">
      <c r="G2441" s="449"/>
      <c r="H2441" s="98"/>
      <c r="I2441" s="98"/>
    </row>
    <row r="2442" spans="7:9" s="91" customFormat="1" ht="12.75">
      <c r="G2442" s="449"/>
      <c r="H2442" s="98"/>
      <c r="I2442" s="98"/>
    </row>
    <row r="2443" spans="7:9" s="91" customFormat="1" ht="12.75">
      <c r="G2443" s="449"/>
      <c r="H2443" s="98"/>
      <c r="I2443" s="98"/>
    </row>
    <row r="2444" spans="7:9" s="91" customFormat="1" ht="12.75">
      <c r="G2444" s="449"/>
      <c r="H2444" s="98"/>
      <c r="I2444" s="98"/>
    </row>
    <row r="2445" spans="7:9" s="91" customFormat="1" ht="12.75">
      <c r="G2445" s="449"/>
      <c r="H2445" s="98"/>
      <c r="I2445" s="98"/>
    </row>
    <row r="2446" spans="7:9" s="91" customFormat="1" ht="12.75">
      <c r="G2446" s="449"/>
      <c r="H2446" s="98"/>
      <c r="I2446" s="98"/>
    </row>
    <row r="2447" spans="7:9" s="91" customFormat="1" ht="12.75">
      <c r="G2447" s="449"/>
      <c r="H2447" s="98"/>
      <c r="I2447" s="98"/>
    </row>
    <row r="2448" spans="7:9" s="91" customFormat="1" ht="12.75">
      <c r="G2448" s="449"/>
      <c r="H2448" s="98"/>
      <c r="I2448" s="98"/>
    </row>
    <row r="2449" spans="7:9" s="91" customFormat="1" ht="12.75">
      <c r="G2449" s="449"/>
      <c r="H2449" s="98"/>
      <c r="I2449" s="98"/>
    </row>
    <row r="2450" spans="7:9" s="91" customFormat="1" ht="12.75">
      <c r="G2450" s="449"/>
      <c r="H2450" s="98"/>
      <c r="I2450" s="98"/>
    </row>
    <row r="2451" spans="7:9" s="91" customFormat="1" ht="12.75">
      <c r="G2451" s="449"/>
      <c r="H2451" s="98"/>
      <c r="I2451" s="98"/>
    </row>
    <row r="2452" spans="7:9" s="91" customFormat="1" ht="12.75">
      <c r="G2452" s="449"/>
      <c r="H2452" s="98"/>
      <c r="I2452" s="98"/>
    </row>
    <row r="2453" spans="7:9" s="91" customFormat="1" ht="12.75">
      <c r="G2453" s="449"/>
      <c r="H2453" s="98"/>
      <c r="I2453" s="98"/>
    </row>
    <row r="2454" spans="7:9" s="91" customFormat="1" ht="12.75">
      <c r="G2454" s="449"/>
      <c r="H2454" s="98"/>
      <c r="I2454" s="98"/>
    </row>
    <row r="2455" spans="7:9" s="91" customFormat="1" ht="12.75">
      <c r="G2455" s="449"/>
      <c r="H2455" s="98"/>
      <c r="I2455" s="98"/>
    </row>
    <row r="2456" spans="7:9" s="91" customFormat="1" ht="12.75">
      <c r="G2456" s="449"/>
      <c r="H2456" s="98"/>
      <c r="I2456" s="98"/>
    </row>
    <row r="2457" spans="7:9" s="91" customFormat="1" ht="12.75">
      <c r="G2457" s="449"/>
      <c r="H2457" s="98"/>
      <c r="I2457" s="98"/>
    </row>
    <row r="2458" spans="7:9" s="91" customFormat="1" ht="12.75">
      <c r="G2458" s="449"/>
      <c r="H2458" s="98"/>
      <c r="I2458" s="98"/>
    </row>
    <row r="2459" spans="7:9" s="91" customFormat="1" ht="12.75">
      <c r="G2459" s="449"/>
      <c r="H2459" s="98"/>
      <c r="I2459" s="98"/>
    </row>
    <row r="2460" spans="7:9" s="91" customFormat="1" ht="12.75">
      <c r="G2460" s="449"/>
      <c r="H2460" s="98"/>
      <c r="I2460" s="98"/>
    </row>
    <row r="2461" spans="7:9" s="91" customFormat="1" ht="12.75">
      <c r="G2461" s="449"/>
      <c r="H2461" s="98"/>
      <c r="I2461" s="98"/>
    </row>
    <row r="2462" spans="7:9" s="91" customFormat="1" ht="12.75">
      <c r="G2462" s="449"/>
      <c r="H2462" s="98"/>
      <c r="I2462" s="98"/>
    </row>
    <row r="2463" spans="7:9" s="91" customFormat="1" ht="12.75">
      <c r="G2463" s="449"/>
      <c r="H2463" s="98"/>
      <c r="I2463" s="98"/>
    </row>
    <row r="2464" spans="7:9" s="91" customFormat="1" ht="12.75">
      <c r="G2464" s="449"/>
      <c r="H2464" s="98"/>
      <c r="I2464" s="98"/>
    </row>
    <row r="2465" spans="7:9" s="91" customFormat="1" ht="12.75">
      <c r="G2465" s="449"/>
      <c r="H2465" s="98"/>
      <c r="I2465" s="98"/>
    </row>
    <row r="2466" spans="7:9" s="91" customFormat="1" ht="12.75">
      <c r="G2466" s="449"/>
      <c r="H2466" s="98"/>
      <c r="I2466" s="98"/>
    </row>
    <row r="2467" spans="7:9" s="91" customFormat="1" ht="12.75">
      <c r="G2467" s="449"/>
      <c r="H2467" s="98"/>
      <c r="I2467" s="98"/>
    </row>
    <row r="2468" spans="7:9" s="91" customFormat="1" ht="12.75">
      <c r="G2468" s="449"/>
      <c r="H2468" s="98"/>
      <c r="I2468" s="98"/>
    </row>
    <row r="2469" spans="7:9" s="91" customFormat="1" ht="12.75">
      <c r="G2469" s="449"/>
      <c r="H2469" s="98"/>
      <c r="I2469" s="98"/>
    </row>
    <row r="2470" spans="7:9" s="91" customFormat="1" ht="12.75">
      <c r="G2470" s="449"/>
      <c r="H2470" s="98"/>
      <c r="I2470" s="98"/>
    </row>
    <row r="2471" spans="7:9" s="91" customFormat="1" ht="12.75">
      <c r="G2471" s="449"/>
      <c r="H2471" s="98"/>
      <c r="I2471" s="98"/>
    </row>
    <row r="2472" spans="7:9" s="91" customFormat="1" ht="12.75">
      <c r="G2472" s="449"/>
      <c r="H2472" s="98"/>
      <c r="I2472" s="98"/>
    </row>
    <row r="2473" spans="7:9" s="91" customFormat="1" ht="12.75">
      <c r="G2473" s="449"/>
      <c r="H2473" s="98"/>
      <c r="I2473" s="98"/>
    </row>
    <row r="2474" spans="7:9" s="91" customFormat="1" ht="12.75">
      <c r="G2474" s="449"/>
      <c r="H2474" s="98"/>
      <c r="I2474" s="98"/>
    </row>
    <row r="2475" spans="7:9" s="91" customFormat="1" ht="12.75">
      <c r="G2475" s="449"/>
      <c r="H2475" s="98"/>
      <c r="I2475" s="98"/>
    </row>
    <row r="2476" spans="7:9" s="91" customFormat="1" ht="12.75">
      <c r="G2476" s="449"/>
      <c r="H2476" s="98"/>
      <c r="I2476" s="98"/>
    </row>
    <row r="2477" spans="7:9" s="91" customFormat="1" ht="12.75">
      <c r="G2477" s="449"/>
      <c r="H2477" s="98"/>
      <c r="I2477" s="98"/>
    </row>
    <row r="2478" spans="7:9" s="91" customFormat="1" ht="12.75">
      <c r="G2478" s="449"/>
      <c r="H2478" s="98"/>
      <c r="I2478" s="98"/>
    </row>
    <row r="2479" spans="7:9" s="91" customFormat="1" ht="12.75">
      <c r="G2479" s="449"/>
      <c r="H2479" s="98"/>
      <c r="I2479" s="98"/>
    </row>
    <row r="2480" spans="7:9" s="91" customFormat="1" ht="12.75">
      <c r="G2480" s="449"/>
      <c r="H2480" s="98"/>
      <c r="I2480" s="98"/>
    </row>
    <row r="2481" spans="7:9" s="91" customFormat="1" ht="12.75">
      <c r="G2481" s="449"/>
      <c r="H2481" s="98"/>
      <c r="I2481" s="98"/>
    </row>
    <row r="2482" spans="7:9" s="91" customFormat="1" ht="12.75">
      <c r="G2482" s="449"/>
      <c r="H2482" s="98"/>
      <c r="I2482" s="98"/>
    </row>
    <row r="2483" spans="7:9" s="91" customFormat="1" ht="12.75">
      <c r="G2483" s="449"/>
      <c r="H2483" s="98"/>
      <c r="I2483" s="98"/>
    </row>
    <row r="2484" spans="7:9" s="91" customFormat="1" ht="12.75">
      <c r="G2484" s="449"/>
      <c r="H2484" s="98"/>
      <c r="I2484" s="98"/>
    </row>
    <row r="2485" spans="7:9" s="91" customFormat="1" ht="12.75">
      <c r="G2485" s="449"/>
      <c r="H2485" s="98"/>
      <c r="I2485" s="98"/>
    </row>
    <row r="2486" spans="7:9" s="91" customFormat="1" ht="12.75">
      <c r="G2486" s="449"/>
      <c r="H2486" s="98"/>
      <c r="I2486" s="98"/>
    </row>
    <row r="2487" spans="7:9" s="91" customFormat="1" ht="12.75">
      <c r="G2487" s="449"/>
      <c r="H2487" s="98"/>
      <c r="I2487" s="98"/>
    </row>
    <row r="2488" spans="7:9" s="91" customFormat="1" ht="12.75">
      <c r="G2488" s="449"/>
      <c r="H2488" s="98"/>
      <c r="I2488" s="98"/>
    </row>
    <row r="2489" spans="7:9" s="91" customFormat="1" ht="12.75">
      <c r="G2489" s="449"/>
      <c r="H2489" s="98"/>
      <c r="I2489" s="98"/>
    </row>
    <row r="2490" spans="7:9" s="91" customFormat="1" ht="12.75">
      <c r="G2490" s="449"/>
      <c r="H2490" s="98"/>
      <c r="I2490" s="98"/>
    </row>
    <row r="2491" spans="7:9" s="91" customFormat="1" ht="12.75">
      <c r="G2491" s="449"/>
      <c r="H2491" s="98"/>
      <c r="I2491" s="98"/>
    </row>
    <row r="2492" spans="7:9" s="91" customFormat="1" ht="12.75">
      <c r="G2492" s="449"/>
      <c r="H2492" s="98"/>
      <c r="I2492" s="98"/>
    </row>
    <row r="2493" spans="7:9" s="91" customFormat="1" ht="12.75">
      <c r="G2493" s="449"/>
      <c r="H2493" s="98"/>
      <c r="I2493" s="98"/>
    </row>
    <row r="2494" spans="7:9" s="91" customFormat="1" ht="12.75">
      <c r="G2494" s="449"/>
      <c r="H2494" s="98"/>
      <c r="I2494" s="98"/>
    </row>
    <row r="2495" spans="7:9" s="91" customFormat="1" ht="12.75">
      <c r="G2495" s="449"/>
      <c r="H2495" s="98"/>
      <c r="I2495" s="98"/>
    </row>
    <row r="2496" spans="7:9" s="91" customFormat="1" ht="12.75">
      <c r="G2496" s="449"/>
      <c r="H2496" s="98"/>
      <c r="I2496" s="98"/>
    </row>
    <row r="2497" spans="7:9" s="91" customFormat="1" ht="12.75">
      <c r="G2497" s="449"/>
      <c r="H2497" s="98"/>
      <c r="I2497" s="98"/>
    </row>
    <row r="2498" spans="7:9" s="91" customFormat="1" ht="12.75">
      <c r="G2498" s="449"/>
      <c r="H2498" s="98"/>
      <c r="I2498" s="98"/>
    </row>
    <row r="2499" spans="7:9" s="91" customFormat="1" ht="12.75">
      <c r="G2499" s="449"/>
      <c r="H2499" s="98"/>
      <c r="I2499" s="98"/>
    </row>
    <row r="2500" spans="7:9" s="91" customFormat="1" ht="12.75">
      <c r="G2500" s="449"/>
      <c r="H2500" s="98"/>
      <c r="I2500" s="98"/>
    </row>
    <row r="2501" spans="7:9" s="91" customFormat="1" ht="12.75">
      <c r="G2501" s="449"/>
      <c r="H2501" s="98"/>
      <c r="I2501" s="98"/>
    </row>
    <row r="2502" spans="7:9" s="91" customFormat="1" ht="12.75">
      <c r="G2502" s="449"/>
      <c r="H2502" s="98"/>
      <c r="I2502" s="98"/>
    </row>
    <row r="2503" spans="7:9" s="91" customFormat="1" ht="12.75">
      <c r="G2503" s="449"/>
      <c r="H2503" s="98"/>
      <c r="I2503" s="98"/>
    </row>
    <row r="2504" spans="7:9" s="91" customFormat="1" ht="12.75">
      <c r="G2504" s="449"/>
      <c r="H2504" s="98"/>
      <c r="I2504" s="98"/>
    </row>
    <row r="2505" spans="7:9" s="91" customFormat="1" ht="12.75">
      <c r="G2505" s="449"/>
      <c r="H2505" s="98"/>
      <c r="I2505" s="98"/>
    </row>
    <row r="2506" spans="7:9" s="91" customFormat="1" ht="12.75">
      <c r="G2506" s="449"/>
      <c r="H2506" s="98"/>
      <c r="I2506" s="98"/>
    </row>
    <row r="2507" spans="7:9" s="91" customFormat="1" ht="12.75">
      <c r="G2507" s="449"/>
      <c r="H2507" s="98"/>
      <c r="I2507" s="98"/>
    </row>
    <row r="2508" spans="7:9" s="91" customFormat="1" ht="12.75">
      <c r="G2508" s="449"/>
      <c r="H2508" s="98"/>
      <c r="I2508" s="98"/>
    </row>
    <row r="2509" spans="7:9" s="91" customFormat="1" ht="12.75">
      <c r="G2509" s="449"/>
      <c r="H2509" s="98"/>
      <c r="I2509" s="98"/>
    </row>
    <row r="2510" spans="7:9" s="91" customFormat="1" ht="12.75">
      <c r="G2510" s="449"/>
      <c r="H2510" s="98"/>
      <c r="I2510" s="98"/>
    </row>
    <row r="2511" spans="7:9" s="91" customFormat="1" ht="12.75">
      <c r="G2511" s="449"/>
      <c r="H2511" s="98"/>
      <c r="I2511" s="98"/>
    </row>
    <row r="2512" spans="7:9" s="91" customFormat="1" ht="12.75">
      <c r="G2512" s="449"/>
      <c r="H2512" s="98"/>
      <c r="I2512" s="98"/>
    </row>
    <row r="2513" spans="7:9" s="91" customFormat="1" ht="12.75">
      <c r="G2513" s="449"/>
      <c r="H2513" s="98"/>
      <c r="I2513" s="98"/>
    </row>
    <row r="2514" spans="7:9" s="91" customFormat="1" ht="12.75">
      <c r="G2514" s="449"/>
      <c r="H2514" s="98"/>
      <c r="I2514" s="98"/>
    </row>
    <row r="2515" spans="7:9" s="91" customFormat="1" ht="12.75">
      <c r="G2515" s="449"/>
      <c r="H2515" s="98"/>
      <c r="I2515" s="98"/>
    </row>
    <row r="2516" spans="7:9" s="91" customFormat="1" ht="12.75">
      <c r="G2516" s="449"/>
      <c r="H2516" s="98"/>
      <c r="I2516" s="98"/>
    </row>
    <row r="2517" spans="7:9" s="91" customFormat="1" ht="12.75">
      <c r="G2517" s="449"/>
      <c r="H2517" s="98"/>
      <c r="I2517" s="98"/>
    </row>
    <row r="2518" spans="7:9" s="91" customFormat="1" ht="12.75">
      <c r="G2518" s="449"/>
      <c r="H2518" s="98"/>
      <c r="I2518" s="98"/>
    </row>
    <row r="2519" spans="7:9" s="91" customFormat="1" ht="12.75">
      <c r="G2519" s="449"/>
      <c r="H2519" s="98"/>
      <c r="I2519" s="98"/>
    </row>
    <row r="2520" spans="7:9" s="91" customFormat="1" ht="12.75">
      <c r="G2520" s="449"/>
      <c r="H2520" s="98"/>
      <c r="I2520" s="98"/>
    </row>
    <row r="2521" spans="7:9" s="91" customFormat="1" ht="12.75">
      <c r="G2521" s="449"/>
      <c r="H2521" s="98"/>
      <c r="I2521" s="98"/>
    </row>
    <row r="2522" spans="7:9" s="91" customFormat="1" ht="12.75">
      <c r="G2522" s="449"/>
      <c r="H2522" s="98"/>
      <c r="I2522" s="98"/>
    </row>
    <row r="2523" spans="7:9" s="91" customFormat="1" ht="12.75">
      <c r="G2523" s="449"/>
      <c r="H2523" s="98"/>
      <c r="I2523" s="98"/>
    </row>
    <row r="2524" spans="7:9" s="91" customFormat="1" ht="12.75">
      <c r="G2524" s="449"/>
      <c r="H2524" s="98"/>
      <c r="I2524" s="98"/>
    </row>
    <row r="2525" spans="7:9" s="91" customFormat="1" ht="12.75">
      <c r="G2525" s="449"/>
      <c r="H2525" s="98"/>
      <c r="I2525" s="98"/>
    </row>
    <row r="2526" spans="7:9" s="91" customFormat="1" ht="12.75">
      <c r="G2526" s="449"/>
      <c r="H2526" s="98"/>
      <c r="I2526" s="98"/>
    </row>
    <row r="2527" spans="7:9" s="91" customFormat="1" ht="12.75">
      <c r="G2527" s="449"/>
      <c r="H2527" s="98"/>
      <c r="I2527" s="98"/>
    </row>
    <row r="2528" spans="7:9" s="91" customFormat="1" ht="12.75">
      <c r="G2528" s="449"/>
      <c r="H2528" s="98"/>
      <c r="I2528" s="98"/>
    </row>
    <row r="2529" spans="7:9" s="91" customFormat="1" ht="12.75">
      <c r="G2529" s="449"/>
      <c r="H2529" s="98"/>
      <c r="I2529" s="98"/>
    </row>
    <row r="2530" spans="7:9" s="91" customFormat="1" ht="12.75">
      <c r="G2530" s="449"/>
      <c r="H2530" s="98"/>
      <c r="I2530" s="98"/>
    </row>
    <row r="2531" spans="7:9" s="91" customFormat="1" ht="12.75">
      <c r="G2531" s="449"/>
      <c r="H2531" s="98"/>
      <c r="I2531" s="98"/>
    </row>
    <row r="2532" spans="7:9" s="91" customFormat="1" ht="12.75">
      <c r="G2532" s="449"/>
      <c r="H2532" s="98"/>
      <c r="I2532" s="98"/>
    </row>
    <row r="2533" spans="7:9" s="91" customFormat="1" ht="12.75">
      <c r="G2533" s="449"/>
      <c r="H2533" s="98"/>
      <c r="I2533" s="98"/>
    </row>
    <row r="2534" spans="7:9" s="91" customFormat="1" ht="12.75">
      <c r="G2534" s="449"/>
      <c r="H2534" s="98"/>
      <c r="I2534" s="98"/>
    </row>
    <row r="2535" spans="7:9" s="91" customFormat="1" ht="12.75">
      <c r="G2535" s="449"/>
      <c r="H2535" s="98"/>
      <c r="I2535" s="98"/>
    </row>
    <row r="2536" spans="7:9" s="91" customFormat="1" ht="12.75">
      <c r="G2536" s="449"/>
      <c r="H2536" s="98"/>
      <c r="I2536" s="98"/>
    </row>
    <row r="2537" spans="7:9" s="91" customFormat="1" ht="12.75">
      <c r="G2537" s="449"/>
      <c r="H2537" s="98"/>
      <c r="I2537" s="98"/>
    </row>
    <row r="2538" spans="7:9" s="91" customFormat="1" ht="12.75">
      <c r="G2538" s="449"/>
      <c r="H2538" s="98"/>
      <c r="I2538" s="98"/>
    </row>
    <row r="2539" spans="7:9" s="91" customFormat="1" ht="12.75">
      <c r="G2539" s="449"/>
      <c r="H2539" s="98"/>
      <c r="I2539" s="98"/>
    </row>
    <row r="2540" spans="7:9" s="91" customFormat="1" ht="12.75">
      <c r="G2540" s="449"/>
      <c r="H2540" s="98"/>
      <c r="I2540" s="98"/>
    </row>
    <row r="2541" spans="7:9" s="91" customFormat="1" ht="12.75">
      <c r="G2541" s="449"/>
      <c r="H2541" s="98"/>
      <c r="I2541" s="98"/>
    </row>
    <row r="2542" spans="7:9" s="91" customFormat="1" ht="12.75">
      <c r="G2542" s="449"/>
      <c r="H2542" s="98"/>
      <c r="I2542" s="98"/>
    </row>
    <row r="2543" spans="7:9" s="91" customFormat="1" ht="12.75">
      <c r="G2543" s="449"/>
      <c r="H2543" s="98"/>
      <c r="I2543" s="98"/>
    </row>
    <row r="2544" spans="7:9" s="91" customFormat="1" ht="12.75">
      <c r="G2544" s="449"/>
      <c r="H2544" s="98"/>
      <c r="I2544" s="98"/>
    </row>
    <row r="2545" spans="7:9" s="91" customFormat="1" ht="12.75">
      <c r="G2545" s="449"/>
      <c r="H2545" s="98"/>
      <c r="I2545" s="98"/>
    </row>
    <row r="2546" spans="7:9" s="91" customFormat="1" ht="12.75">
      <c r="G2546" s="449"/>
      <c r="H2546" s="98"/>
      <c r="I2546" s="98"/>
    </row>
    <row r="2547" spans="7:9" s="91" customFormat="1" ht="12.75">
      <c r="G2547" s="449"/>
      <c r="H2547" s="98"/>
      <c r="I2547" s="98"/>
    </row>
    <row r="2548" spans="7:9" s="91" customFormat="1" ht="12.75">
      <c r="G2548" s="449"/>
      <c r="H2548" s="98"/>
      <c r="I2548" s="98"/>
    </row>
    <row r="2549" spans="7:9" s="91" customFormat="1" ht="12.75">
      <c r="G2549" s="449"/>
      <c r="H2549" s="98"/>
      <c r="I2549" s="98"/>
    </row>
    <row r="2550" spans="7:9" s="91" customFormat="1" ht="12.75">
      <c r="G2550" s="449"/>
      <c r="H2550" s="98"/>
      <c r="I2550" s="98"/>
    </row>
    <row r="2551" spans="7:9" s="91" customFormat="1" ht="12.75">
      <c r="G2551" s="449"/>
      <c r="H2551" s="98"/>
      <c r="I2551" s="98"/>
    </row>
    <row r="2552" spans="7:9" s="91" customFormat="1" ht="12.75">
      <c r="G2552" s="449"/>
      <c r="H2552" s="98"/>
      <c r="I2552" s="98"/>
    </row>
    <row r="2553" spans="7:9" s="91" customFormat="1" ht="12.75">
      <c r="G2553" s="449"/>
      <c r="H2553" s="98"/>
      <c r="I2553" s="98"/>
    </row>
    <row r="2554" spans="7:9" s="91" customFormat="1" ht="12.75">
      <c r="G2554" s="449"/>
      <c r="H2554" s="98"/>
      <c r="I2554" s="98"/>
    </row>
    <row r="2555" spans="7:9" s="91" customFormat="1" ht="12.75">
      <c r="G2555" s="449"/>
      <c r="H2555" s="98"/>
      <c r="I2555" s="98"/>
    </row>
    <row r="2556" spans="7:9" s="91" customFormat="1" ht="12.75">
      <c r="G2556" s="449"/>
      <c r="H2556" s="98"/>
      <c r="I2556" s="98"/>
    </row>
    <row r="2557" spans="7:9" s="91" customFormat="1" ht="12.75">
      <c r="G2557" s="449"/>
      <c r="H2557" s="98"/>
      <c r="I2557" s="98"/>
    </row>
    <row r="2558" spans="7:9" s="91" customFormat="1" ht="12.75">
      <c r="G2558" s="449"/>
      <c r="H2558" s="98"/>
      <c r="I2558" s="98"/>
    </row>
    <row r="2559" spans="7:9" s="91" customFormat="1" ht="12.75">
      <c r="G2559" s="449"/>
      <c r="H2559" s="98"/>
      <c r="I2559" s="98"/>
    </row>
    <row r="2560" spans="7:9" s="91" customFormat="1" ht="12.75">
      <c r="G2560" s="449"/>
      <c r="H2560" s="98"/>
      <c r="I2560" s="98"/>
    </row>
    <row r="2561" spans="7:9" s="91" customFormat="1" ht="12.75">
      <c r="G2561" s="449"/>
      <c r="H2561" s="98"/>
      <c r="I2561" s="98"/>
    </row>
    <row r="2562" spans="7:9" s="91" customFormat="1" ht="12.75">
      <c r="G2562" s="449"/>
      <c r="H2562" s="98"/>
      <c r="I2562" s="98"/>
    </row>
    <row r="2563" spans="7:9" s="91" customFormat="1" ht="12.75">
      <c r="G2563" s="449"/>
      <c r="H2563" s="98"/>
      <c r="I2563" s="98"/>
    </row>
    <row r="2564" spans="7:9" s="91" customFormat="1" ht="12.75">
      <c r="G2564" s="449"/>
      <c r="H2564" s="98"/>
      <c r="I2564" s="98"/>
    </row>
    <row r="2565" spans="7:9" s="91" customFormat="1" ht="12.75">
      <c r="G2565" s="449"/>
      <c r="H2565" s="98"/>
      <c r="I2565" s="98"/>
    </row>
    <row r="2566" spans="7:9" s="91" customFormat="1" ht="12.75">
      <c r="G2566" s="449"/>
      <c r="H2566" s="98"/>
      <c r="I2566" s="98"/>
    </row>
    <row r="2567" spans="7:9" s="91" customFormat="1" ht="12.75">
      <c r="G2567" s="449"/>
      <c r="H2567" s="98"/>
      <c r="I2567" s="98"/>
    </row>
    <row r="2568" spans="7:9" s="91" customFormat="1" ht="12.75">
      <c r="G2568" s="449"/>
      <c r="H2568" s="98"/>
      <c r="I2568" s="98"/>
    </row>
    <row r="2569" spans="7:9" s="91" customFormat="1" ht="12.75">
      <c r="G2569" s="449"/>
      <c r="H2569" s="98"/>
      <c r="I2569" s="98"/>
    </row>
    <row r="2570" spans="7:9" s="91" customFormat="1" ht="12.75">
      <c r="G2570" s="449"/>
      <c r="H2570" s="98"/>
      <c r="I2570" s="98"/>
    </row>
    <row r="2571" spans="7:9" s="91" customFormat="1" ht="12.75">
      <c r="G2571" s="449"/>
      <c r="H2571" s="98"/>
      <c r="I2571" s="98"/>
    </row>
    <row r="2572" spans="7:9" s="91" customFormat="1" ht="12.75">
      <c r="G2572" s="449"/>
      <c r="H2572" s="98"/>
      <c r="I2572" s="98"/>
    </row>
    <row r="2573" spans="7:9" s="91" customFormat="1" ht="12.75">
      <c r="G2573" s="449"/>
      <c r="H2573" s="98"/>
      <c r="I2573" s="98"/>
    </row>
    <row r="2574" spans="7:9" s="91" customFormat="1" ht="12.75">
      <c r="G2574" s="449"/>
      <c r="H2574" s="98"/>
      <c r="I2574" s="98"/>
    </row>
    <row r="2575" spans="7:9" s="91" customFormat="1" ht="12.75">
      <c r="G2575" s="449"/>
      <c r="H2575" s="98"/>
      <c r="I2575" s="98"/>
    </row>
    <row r="2576" spans="7:9" s="91" customFormat="1" ht="12.75">
      <c r="G2576" s="449"/>
      <c r="H2576" s="98"/>
      <c r="I2576" s="98"/>
    </row>
    <row r="2577" spans="7:9" s="91" customFormat="1" ht="12.75">
      <c r="G2577" s="449"/>
      <c r="H2577" s="98"/>
      <c r="I2577" s="98"/>
    </row>
    <row r="2578" spans="7:9" s="91" customFormat="1" ht="12.75">
      <c r="G2578" s="449"/>
      <c r="H2578" s="98"/>
      <c r="I2578" s="98"/>
    </row>
    <row r="2579" spans="7:9" s="91" customFormat="1" ht="12.75">
      <c r="G2579" s="449"/>
      <c r="H2579" s="98"/>
      <c r="I2579" s="98"/>
    </row>
    <row r="2580" spans="7:9" s="91" customFormat="1" ht="12.75">
      <c r="G2580" s="449"/>
      <c r="H2580" s="98"/>
      <c r="I2580" s="98"/>
    </row>
    <row r="2581" spans="7:9" s="91" customFormat="1" ht="12.75">
      <c r="G2581" s="449"/>
      <c r="H2581" s="98"/>
      <c r="I2581" s="98"/>
    </row>
    <row r="2582" spans="7:9" s="91" customFormat="1" ht="12.75">
      <c r="G2582" s="449"/>
      <c r="H2582" s="98"/>
      <c r="I2582" s="98"/>
    </row>
    <row r="2583" spans="7:9" s="91" customFormat="1" ht="12.75">
      <c r="G2583" s="449"/>
      <c r="H2583" s="98"/>
      <c r="I2583" s="98"/>
    </row>
    <row r="2584" spans="7:9" s="91" customFormat="1" ht="12.75">
      <c r="G2584" s="449"/>
      <c r="H2584" s="98"/>
      <c r="I2584" s="98"/>
    </row>
    <row r="2585" spans="7:9" s="91" customFormat="1" ht="12.75">
      <c r="G2585" s="449"/>
      <c r="H2585" s="98"/>
      <c r="I2585" s="98"/>
    </row>
    <row r="2586" spans="7:9" s="91" customFormat="1" ht="12.75">
      <c r="G2586" s="449"/>
      <c r="H2586" s="98"/>
      <c r="I2586" s="98"/>
    </row>
    <row r="2587" spans="7:9" s="91" customFormat="1" ht="12.75">
      <c r="G2587" s="449"/>
      <c r="H2587" s="98"/>
      <c r="I2587" s="98"/>
    </row>
    <row r="2588" spans="7:9" s="91" customFormat="1" ht="12.75">
      <c r="G2588" s="449"/>
      <c r="H2588" s="98"/>
      <c r="I2588" s="98"/>
    </row>
    <row r="2589" spans="7:9" s="91" customFormat="1" ht="12.75">
      <c r="G2589" s="449"/>
      <c r="H2589" s="98"/>
      <c r="I2589" s="98"/>
    </row>
    <row r="2590" spans="7:9" s="91" customFormat="1" ht="12.75">
      <c r="G2590" s="449"/>
      <c r="H2590" s="98"/>
      <c r="I2590" s="98"/>
    </row>
    <row r="2591" spans="7:9" s="91" customFormat="1" ht="12.75">
      <c r="G2591" s="449"/>
      <c r="H2591" s="98"/>
      <c r="I2591" s="98"/>
    </row>
    <row r="2592" spans="7:9" s="91" customFormat="1" ht="12.75">
      <c r="G2592" s="449"/>
      <c r="H2592" s="98"/>
      <c r="I2592" s="98"/>
    </row>
    <row r="2593" spans="7:9" s="91" customFormat="1" ht="12.75">
      <c r="G2593" s="449"/>
      <c r="H2593" s="98"/>
      <c r="I2593" s="98"/>
    </row>
    <row r="2594" spans="7:9" s="91" customFormat="1" ht="12.75">
      <c r="G2594" s="449"/>
      <c r="H2594" s="98"/>
      <c r="I2594" s="98"/>
    </row>
    <row r="2595" spans="7:9" s="91" customFormat="1" ht="12.75">
      <c r="G2595" s="449"/>
      <c r="H2595" s="98"/>
      <c r="I2595" s="98"/>
    </row>
    <row r="2596" spans="7:9" s="91" customFormat="1" ht="12.75">
      <c r="G2596" s="449"/>
      <c r="H2596" s="98"/>
      <c r="I2596" s="98"/>
    </row>
    <row r="2597" spans="7:9" s="91" customFormat="1" ht="12.75">
      <c r="G2597" s="449"/>
      <c r="H2597" s="98"/>
      <c r="I2597" s="98"/>
    </row>
    <row r="2598" spans="7:9" s="91" customFormat="1" ht="12.75">
      <c r="G2598" s="449"/>
      <c r="H2598" s="98"/>
      <c r="I2598" s="98"/>
    </row>
    <row r="2599" spans="7:9" s="91" customFormat="1" ht="12.75">
      <c r="G2599" s="449"/>
      <c r="H2599" s="98"/>
      <c r="I2599" s="98"/>
    </row>
    <row r="2600" spans="7:9" s="91" customFormat="1" ht="12.75">
      <c r="G2600" s="449"/>
      <c r="H2600" s="98"/>
      <c r="I2600" s="98"/>
    </row>
    <row r="2601" spans="7:9" s="91" customFormat="1" ht="12.75">
      <c r="G2601" s="449"/>
      <c r="H2601" s="98"/>
      <c r="I2601" s="98"/>
    </row>
    <row r="2602" spans="7:9" s="91" customFormat="1" ht="12.75">
      <c r="G2602" s="449"/>
      <c r="H2602" s="98"/>
      <c r="I2602" s="98"/>
    </row>
    <row r="2603" spans="7:9" s="91" customFormat="1" ht="12.75">
      <c r="G2603" s="449"/>
      <c r="H2603" s="98"/>
      <c r="I2603" s="98"/>
    </row>
    <row r="2604" spans="7:9" s="91" customFormat="1" ht="12.75">
      <c r="G2604" s="449"/>
      <c r="H2604" s="98"/>
      <c r="I2604" s="98"/>
    </row>
    <row r="2605" spans="7:9" s="91" customFormat="1" ht="12.75">
      <c r="G2605" s="449"/>
      <c r="H2605" s="98"/>
      <c r="I2605" s="98"/>
    </row>
    <row r="2606" spans="7:9" s="91" customFormat="1" ht="12.75">
      <c r="G2606" s="449"/>
      <c r="H2606" s="98"/>
      <c r="I2606" s="98"/>
    </row>
    <row r="2607" spans="7:9" s="91" customFormat="1" ht="12.75">
      <c r="G2607" s="449"/>
      <c r="H2607" s="98"/>
      <c r="I2607" s="98"/>
    </row>
    <row r="2608" spans="7:9" s="91" customFormat="1" ht="12.75">
      <c r="G2608" s="449"/>
      <c r="H2608" s="98"/>
      <c r="I2608" s="98"/>
    </row>
    <row r="2609" spans="7:9" s="91" customFormat="1" ht="12.75">
      <c r="G2609" s="449"/>
      <c r="H2609" s="98"/>
      <c r="I2609" s="98"/>
    </row>
    <row r="2610" spans="7:9" s="91" customFormat="1" ht="12.75">
      <c r="G2610" s="449"/>
      <c r="H2610" s="98"/>
      <c r="I2610" s="98"/>
    </row>
    <row r="2611" spans="7:9" s="91" customFormat="1" ht="12.75">
      <c r="G2611" s="449"/>
      <c r="H2611" s="98"/>
      <c r="I2611" s="98"/>
    </row>
    <row r="2612" spans="7:9" s="91" customFormat="1" ht="12.75">
      <c r="G2612" s="449"/>
      <c r="H2612" s="98"/>
      <c r="I2612" s="98"/>
    </row>
    <row r="2613" spans="7:9" s="91" customFormat="1" ht="12.75">
      <c r="G2613" s="449"/>
      <c r="H2613" s="98"/>
      <c r="I2613" s="98"/>
    </row>
    <row r="2614" spans="7:9" s="91" customFormat="1" ht="12.75">
      <c r="G2614" s="449"/>
      <c r="H2614" s="98"/>
      <c r="I2614" s="98"/>
    </row>
    <row r="2615" spans="7:9" s="91" customFormat="1" ht="12.75">
      <c r="G2615" s="449"/>
      <c r="H2615" s="98"/>
      <c r="I2615" s="98"/>
    </row>
    <row r="2616" spans="7:9" s="91" customFormat="1" ht="12.75">
      <c r="G2616" s="449"/>
      <c r="H2616" s="98"/>
      <c r="I2616" s="98"/>
    </row>
    <row r="2617" spans="7:9" s="91" customFormat="1" ht="12.75">
      <c r="G2617" s="449"/>
      <c r="H2617" s="98"/>
      <c r="I2617" s="98"/>
    </row>
    <row r="2618" spans="7:9" s="91" customFormat="1" ht="12.75">
      <c r="G2618" s="449"/>
      <c r="H2618" s="98"/>
      <c r="I2618" s="98"/>
    </row>
    <row r="2619" spans="7:9" s="91" customFormat="1" ht="12.75">
      <c r="G2619" s="449"/>
      <c r="H2619" s="98"/>
      <c r="I2619" s="98"/>
    </row>
    <row r="2620" spans="7:9" s="91" customFormat="1" ht="12.75">
      <c r="G2620" s="449"/>
      <c r="H2620" s="98"/>
      <c r="I2620" s="98"/>
    </row>
    <row r="2621" spans="7:9" s="91" customFormat="1" ht="12.75">
      <c r="G2621" s="449"/>
      <c r="H2621" s="98"/>
      <c r="I2621" s="98"/>
    </row>
    <row r="2622" spans="7:9" s="91" customFormat="1" ht="12.75">
      <c r="G2622" s="449"/>
      <c r="H2622" s="98"/>
      <c r="I2622" s="98"/>
    </row>
    <row r="2623" spans="7:9" s="91" customFormat="1" ht="12.75">
      <c r="G2623" s="449"/>
      <c r="H2623" s="98"/>
      <c r="I2623" s="98"/>
    </row>
    <row r="2624" spans="7:9" s="91" customFormat="1" ht="12.75">
      <c r="G2624" s="449"/>
      <c r="H2624" s="98"/>
      <c r="I2624" s="98"/>
    </row>
    <row r="2625" spans="7:9" s="91" customFormat="1" ht="12.75">
      <c r="G2625" s="449"/>
      <c r="H2625" s="98"/>
      <c r="I2625" s="98"/>
    </row>
    <row r="2626" spans="7:9" s="91" customFormat="1" ht="12.75">
      <c r="G2626" s="449"/>
      <c r="H2626" s="98"/>
      <c r="I2626" s="98"/>
    </row>
    <row r="2627" spans="7:9" s="91" customFormat="1" ht="12.75">
      <c r="G2627" s="449"/>
      <c r="H2627" s="98"/>
      <c r="I2627" s="98"/>
    </row>
    <row r="2628" spans="7:9" s="91" customFormat="1" ht="12.75">
      <c r="G2628" s="449"/>
      <c r="H2628" s="98"/>
      <c r="I2628" s="98"/>
    </row>
    <row r="2629" spans="7:9" s="91" customFormat="1" ht="12.75">
      <c r="G2629" s="449"/>
      <c r="H2629" s="98"/>
      <c r="I2629" s="98"/>
    </row>
    <row r="2630" spans="7:9" s="91" customFormat="1" ht="12.75">
      <c r="G2630" s="449"/>
      <c r="H2630" s="98"/>
      <c r="I2630" s="98"/>
    </row>
    <row r="2631" spans="7:9" s="91" customFormat="1" ht="12.75">
      <c r="G2631" s="449"/>
      <c r="H2631" s="98"/>
      <c r="I2631" s="98"/>
    </row>
    <row r="2632" spans="7:9" s="91" customFormat="1" ht="12.75">
      <c r="G2632" s="449"/>
      <c r="H2632" s="98"/>
      <c r="I2632" s="98"/>
    </row>
    <row r="2633" spans="7:9" s="91" customFormat="1" ht="12.75">
      <c r="G2633" s="449"/>
      <c r="H2633" s="98"/>
      <c r="I2633" s="98"/>
    </row>
    <row r="2634" spans="7:9" s="91" customFormat="1" ht="12.75">
      <c r="G2634" s="449"/>
      <c r="H2634" s="98"/>
      <c r="I2634" s="98"/>
    </row>
    <row r="2635" spans="7:9" s="91" customFormat="1" ht="12.75">
      <c r="G2635" s="449"/>
      <c r="H2635" s="98"/>
      <c r="I2635" s="98"/>
    </row>
    <row r="2636" spans="7:9" s="91" customFormat="1" ht="12.75">
      <c r="G2636" s="449"/>
      <c r="H2636" s="98"/>
      <c r="I2636" s="98"/>
    </row>
    <row r="2637" spans="7:9" s="91" customFormat="1" ht="12.75">
      <c r="G2637" s="449"/>
      <c r="H2637" s="98"/>
      <c r="I2637" s="98"/>
    </row>
    <row r="2638" spans="7:9" s="91" customFormat="1" ht="12.75">
      <c r="G2638" s="449"/>
      <c r="H2638" s="98"/>
      <c r="I2638" s="98"/>
    </row>
    <row r="2639" spans="7:9" s="91" customFormat="1" ht="12.75">
      <c r="G2639" s="449"/>
      <c r="H2639" s="98"/>
      <c r="I2639" s="98"/>
    </row>
    <row r="2640" spans="7:9" s="91" customFormat="1" ht="12.75">
      <c r="G2640" s="449"/>
      <c r="H2640" s="98"/>
      <c r="I2640" s="98"/>
    </row>
    <row r="2641" spans="7:9" s="91" customFormat="1" ht="12.75">
      <c r="G2641" s="449"/>
      <c r="H2641" s="98"/>
      <c r="I2641" s="98"/>
    </row>
    <row r="2642" spans="7:9" s="91" customFormat="1" ht="12.75">
      <c r="G2642" s="449"/>
      <c r="H2642" s="98"/>
      <c r="I2642" s="98"/>
    </row>
    <row r="2643" spans="7:9" s="91" customFormat="1" ht="12.75">
      <c r="G2643" s="449"/>
      <c r="H2643" s="98"/>
      <c r="I2643" s="98"/>
    </row>
    <row r="2644" spans="7:9" s="91" customFormat="1" ht="12.75">
      <c r="G2644" s="449"/>
      <c r="H2644" s="98"/>
      <c r="I2644" s="98"/>
    </row>
    <row r="2645" spans="7:9" s="91" customFormat="1" ht="12.75">
      <c r="G2645" s="449"/>
      <c r="H2645" s="98"/>
      <c r="I2645" s="98"/>
    </row>
    <row r="2646" spans="7:9" s="91" customFormat="1" ht="12.75">
      <c r="G2646" s="449"/>
      <c r="H2646" s="98"/>
      <c r="I2646" s="98"/>
    </row>
    <row r="2647" spans="7:9" s="91" customFormat="1" ht="12.75">
      <c r="G2647" s="449"/>
      <c r="H2647" s="98"/>
      <c r="I2647" s="98"/>
    </row>
    <row r="2648" spans="7:9" s="91" customFormat="1" ht="12.75">
      <c r="G2648" s="449"/>
      <c r="H2648" s="98"/>
      <c r="I2648" s="98"/>
    </row>
    <row r="2649" spans="7:9" s="91" customFormat="1" ht="12.75">
      <c r="G2649" s="449"/>
      <c r="H2649" s="98"/>
      <c r="I2649" s="98"/>
    </row>
    <row r="2650" spans="7:9" s="91" customFormat="1" ht="12.75">
      <c r="G2650" s="449"/>
      <c r="H2650" s="98"/>
      <c r="I2650" s="98"/>
    </row>
  </sheetData>
  <sheetProtection/>
  <mergeCells count="10">
    <mergeCell ref="G10:G12"/>
    <mergeCell ref="A579:D579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8" right="0.24" top="0.27" bottom="0.25" header="0.11811023622047245" footer="0.11811023622047245"/>
  <pageSetup fitToHeight="10" fitToWidth="10" horizontalDpi="600" verticalDpi="600" orientation="portrait" paperSize="9" r:id="rId1"/>
  <rowBreaks count="1" manualBreakCount="1">
    <brk id="47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zoomScalePageLayoutView="0" workbookViewId="0" topLeftCell="A2">
      <pane ySplit="11" topLeftCell="A13" activePane="bottomLeft" state="frozen"/>
      <selection pane="topLeft" activeCell="A2" sqref="A2"/>
      <selection pane="bottomLeft" activeCell="L16" sqref="L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6" t="s">
        <v>272</v>
      </c>
      <c r="N1" s="6"/>
    </row>
    <row r="2" spans="13:14" ht="12.75">
      <c r="M2" s="6" t="s">
        <v>669</v>
      </c>
      <c r="N2" s="6"/>
    </row>
    <row r="3" spans="7:14" ht="12.75">
      <c r="G3" s="639"/>
      <c r="M3" s="6" t="s">
        <v>273</v>
      </c>
      <c r="N3" s="6"/>
    </row>
    <row r="4" spans="13:14" ht="12.75">
      <c r="M4" s="6" t="s">
        <v>660</v>
      </c>
      <c r="N4" s="6"/>
    </row>
    <row r="6" spans="1:14" ht="18">
      <c r="A6" s="839" t="s">
        <v>612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401</v>
      </c>
    </row>
    <row r="8" spans="1:14" s="33" customFormat="1" ht="19.5" customHeight="1">
      <c r="A8" s="840" t="s">
        <v>419</v>
      </c>
      <c r="B8" s="837" t="s">
        <v>363</v>
      </c>
      <c r="C8" s="837" t="s">
        <v>400</v>
      </c>
      <c r="D8" s="837" t="s">
        <v>17</v>
      </c>
      <c r="E8" s="842" t="s">
        <v>10</v>
      </c>
      <c r="F8" s="842" t="s">
        <v>15</v>
      </c>
      <c r="G8" s="842" t="s">
        <v>430</v>
      </c>
      <c r="H8" s="842"/>
      <c r="I8" s="842"/>
      <c r="J8" s="842"/>
      <c r="K8" s="842"/>
      <c r="L8" s="842"/>
      <c r="M8" s="842"/>
      <c r="N8" s="843" t="s">
        <v>18</v>
      </c>
    </row>
    <row r="9" spans="1:14" s="33" customFormat="1" ht="19.5" customHeight="1">
      <c r="A9" s="841"/>
      <c r="B9" s="838"/>
      <c r="C9" s="838"/>
      <c r="D9" s="838"/>
      <c r="E9" s="835"/>
      <c r="F9" s="835"/>
      <c r="G9" s="835" t="s">
        <v>513</v>
      </c>
      <c r="H9" s="835" t="s">
        <v>34</v>
      </c>
      <c r="I9" s="835"/>
      <c r="J9" s="835"/>
      <c r="K9" s="835"/>
      <c r="L9" s="835" t="s">
        <v>417</v>
      </c>
      <c r="M9" s="835" t="s">
        <v>358</v>
      </c>
      <c r="N9" s="844"/>
    </row>
    <row r="10" spans="1:14" s="33" customFormat="1" ht="29.25" customHeight="1">
      <c r="A10" s="841"/>
      <c r="B10" s="838"/>
      <c r="C10" s="838"/>
      <c r="D10" s="838"/>
      <c r="E10" s="835"/>
      <c r="F10" s="835"/>
      <c r="G10" s="835"/>
      <c r="H10" s="835" t="s">
        <v>19</v>
      </c>
      <c r="I10" s="835" t="s">
        <v>8</v>
      </c>
      <c r="J10" s="835" t="s">
        <v>36</v>
      </c>
      <c r="K10" s="835" t="s">
        <v>9</v>
      </c>
      <c r="L10" s="835"/>
      <c r="M10" s="835"/>
      <c r="N10" s="844"/>
    </row>
    <row r="11" spans="1:14" s="33" customFormat="1" ht="19.5" customHeight="1">
      <c r="A11" s="841"/>
      <c r="B11" s="838"/>
      <c r="C11" s="838"/>
      <c r="D11" s="838"/>
      <c r="E11" s="835"/>
      <c r="F11" s="835"/>
      <c r="G11" s="835"/>
      <c r="H11" s="835"/>
      <c r="I11" s="835"/>
      <c r="J11" s="835"/>
      <c r="K11" s="835"/>
      <c r="L11" s="835"/>
      <c r="M11" s="835"/>
      <c r="N11" s="844"/>
    </row>
    <row r="12" spans="1:14" s="33" customFormat="1" ht="19.5" customHeight="1">
      <c r="A12" s="841"/>
      <c r="B12" s="838"/>
      <c r="C12" s="838"/>
      <c r="D12" s="838"/>
      <c r="E12" s="835"/>
      <c r="F12" s="835"/>
      <c r="G12" s="835"/>
      <c r="H12" s="835"/>
      <c r="I12" s="835"/>
      <c r="J12" s="835"/>
      <c r="K12" s="835"/>
      <c r="L12" s="835"/>
      <c r="M12" s="835"/>
      <c r="N12" s="844"/>
    </row>
    <row r="13" spans="1:14" ht="7.5" customHeight="1">
      <c r="A13" s="1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7">
        <v>14</v>
      </c>
    </row>
    <row r="14" spans="1:14" ht="45.75" customHeight="1">
      <c r="A14" s="142" t="s">
        <v>372</v>
      </c>
      <c r="B14" s="141">
        <v>600</v>
      </c>
      <c r="C14" s="17">
        <v>60014</v>
      </c>
      <c r="D14" s="17">
        <v>6050</v>
      </c>
      <c r="E14" s="524" t="s">
        <v>354</v>
      </c>
      <c r="F14" s="139">
        <v>1200000</v>
      </c>
      <c r="G14" s="139">
        <v>300000</v>
      </c>
      <c r="H14" s="139">
        <v>45000</v>
      </c>
      <c r="I14" s="139"/>
      <c r="J14" s="140" t="s">
        <v>614</v>
      </c>
      <c r="K14" s="139"/>
      <c r="L14" s="139">
        <v>900000</v>
      </c>
      <c r="M14" s="139">
        <v>0</v>
      </c>
      <c r="N14" s="531" t="s">
        <v>523</v>
      </c>
    </row>
    <row r="15" spans="1:14" ht="51">
      <c r="A15" s="143" t="s">
        <v>373</v>
      </c>
      <c r="B15" s="141">
        <v>600</v>
      </c>
      <c r="C15" s="17">
        <v>60014</v>
      </c>
      <c r="D15" s="17">
        <v>6050</v>
      </c>
      <c r="E15" s="524" t="s">
        <v>524</v>
      </c>
      <c r="F15" s="139">
        <v>3700000</v>
      </c>
      <c r="G15" s="139">
        <v>64000</v>
      </c>
      <c r="H15" s="139">
        <v>12800</v>
      </c>
      <c r="I15" s="139"/>
      <c r="J15" s="140" t="s">
        <v>615</v>
      </c>
      <c r="K15" s="139"/>
      <c r="L15" s="139">
        <v>1836000</v>
      </c>
      <c r="M15" s="139">
        <v>1800000</v>
      </c>
      <c r="N15" s="531" t="s">
        <v>523</v>
      </c>
    </row>
    <row r="16" spans="1:14" ht="63.75">
      <c r="A16" s="143" t="s">
        <v>374</v>
      </c>
      <c r="B16" s="141">
        <v>600</v>
      </c>
      <c r="C16" s="17">
        <v>60014</v>
      </c>
      <c r="D16" s="17">
        <v>6050</v>
      </c>
      <c r="E16" s="525" t="s">
        <v>0</v>
      </c>
      <c r="F16" s="139">
        <v>3080000</v>
      </c>
      <c r="G16" s="139">
        <v>80000</v>
      </c>
      <c r="H16" s="139">
        <v>16000</v>
      </c>
      <c r="I16" s="139"/>
      <c r="J16" s="140" t="s">
        <v>616</v>
      </c>
      <c r="K16" s="139"/>
      <c r="L16" s="139">
        <v>1500000</v>
      </c>
      <c r="M16" s="139">
        <v>1500000</v>
      </c>
      <c r="N16" s="531" t="s">
        <v>523</v>
      </c>
    </row>
    <row r="17" spans="1:14" ht="51">
      <c r="A17" s="138" t="s">
        <v>362</v>
      </c>
      <c r="B17" s="141">
        <v>600</v>
      </c>
      <c r="C17" s="17">
        <v>60014</v>
      </c>
      <c r="D17" s="17">
        <v>6050</v>
      </c>
      <c r="E17" s="525" t="s">
        <v>628</v>
      </c>
      <c r="F17" s="139">
        <v>3470000</v>
      </c>
      <c r="G17" s="139">
        <v>100000</v>
      </c>
      <c r="H17" s="139">
        <v>20000</v>
      </c>
      <c r="I17" s="139"/>
      <c r="J17" s="140" t="s">
        <v>617</v>
      </c>
      <c r="K17" s="139"/>
      <c r="L17" s="139">
        <v>970000</v>
      </c>
      <c r="M17" s="139">
        <v>1200000</v>
      </c>
      <c r="N17" s="531" t="s">
        <v>523</v>
      </c>
    </row>
    <row r="18" spans="1:14" ht="76.5">
      <c r="A18" s="138" t="s">
        <v>379</v>
      </c>
      <c r="B18" s="141">
        <v>600</v>
      </c>
      <c r="C18" s="17">
        <v>60014</v>
      </c>
      <c r="D18" s="17">
        <v>6050</v>
      </c>
      <c r="E18" s="525" t="s">
        <v>1</v>
      </c>
      <c r="F18" s="635">
        <v>7400000</v>
      </c>
      <c r="G18" s="635">
        <f aca="true" t="shared" si="0" ref="G18:G26">SUM(H18:K18)</f>
        <v>20000</v>
      </c>
      <c r="H18" s="635">
        <v>20000</v>
      </c>
      <c r="I18" s="635"/>
      <c r="J18" s="636"/>
      <c r="K18" s="635"/>
      <c r="L18" s="635">
        <v>100000</v>
      </c>
      <c r="M18" s="635">
        <v>100000</v>
      </c>
      <c r="N18" s="531" t="s">
        <v>523</v>
      </c>
    </row>
    <row r="19" spans="1:14" ht="38.25">
      <c r="A19" s="138" t="s">
        <v>382</v>
      </c>
      <c r="B19" s="141">
        <v>600</v>
      </c>
      <c r="C19" s="17">
        <v>60014</v>
      </c>
      <c r="D19" s="17">
        <v>6050</v>
      </c>
      <c r="E19" s="525" t="s">
        <v>2</v>
      </c>
      <c r="F19" s="635">
        <v>6100000</v>
      </c>
      <c r="G19" s="635">
        <f t="shared" si="0"/>
        <v>30000</v>
      </c>
      <c r="H19" s="635">
        <v>30000</v>
      </c>
      <c r="I19" s="635"/>
      <c r="J19" s="636"/>
      <c r="K19" s="635"/>
      <c r="L19" s="635">
        <v>100000</v>
      </c>
      <c r="M19" s="635">
        <v>1100000</v>
      </c>
      <c r="N19" s="531" t="s">
        <v>523</v>
      </c>
    </row>
    <row r="20" spans="1:14" ht="38.25">
      <c r="A20" s="138" t="s">
        <v>384</v>
      </c>
      <c r="B20" s="141">
        <v>600</v>
      </c>
      <c r="C20" s="17">
        <v>60014</v>
      </c>
      <c r="D20" s="17">
        <v>6050</v>
      </c>
      <c r="E20" s="525" t="s">
        <v>3</v>
      </c>
      <c r="F20" s="635">
        <v>2010000</v>
      </c>
      <c r="G20" s="635">
        <f t="shared" si="0"/>
        <v>10000</v>
      </c>
      <c r="H20" s="635">
        <v>10000</v>
      </c>
      <c r="I20" s="635"/>
      <c r="J20" s="636"/>
      <c r="K20" s="635"/>
      <c r="L20" s="635">
        <v>1000000</v>
      </c>
      <c r="M20" s="635">
        <v>1000000</v>
      </c>
      <c r="N20" s="531" t="s">
        <v>523</v>
      </c>
    </row>
    <row r="21" spans="1:14" ht="51">
      <c r="A21" s="138" t="s">
        <v>390</v>
      </c>
      <c r="B21" s="141">
        <v>600</v>
      </c>
      <c r="C21" s="17">
        <v>60014</v>
      </c>
      <c r="D21" s="17">
        <v>6050</v>
      </c>
      <c r="E21" s="525" t="s">
        <v>4</v>
      </c>
      <c r="F21" s="635">
        <v>3500000</v>
      </c>
      <c r="G21" s="635">
        <f t="shared" si="0"/>
        <v>10000</v>
      </c>
      <c r="H21" s="635">
        <v>10000</v>
      </c>
      <c r="I21" s="635"/>
      <c r="J21" s="636"/>
      <c r="K21" s="635"/>
      <c r="L21" s="635">
        <v>100000</v>
      </c>
      <c r="M21" s="635">
        <v>100000</v>
      </c>
      <c r="N21" s="531" t="s">
        <v>523</v>
      </c>
    </row>
    <row r="22" spans="1:14" ht="38.25">
      <c r="A22" s="138" t="s">
        <v>175</v>
      </c>
      <c r="B22" s="141">
        <v>600</v>
      </c>
      <c r="C22" s="17">
        <v>60014</v>
      </c>
      <c r="D22" s="17">
        <v>6050</v>
      </c>
      <c r="E22" s="525" t="s">
        <v>5</v>
      </c>
      <c r="F22" s="635">
        <v>1000000</v>
      </c>
      <c r="G22" s="635">
        <f t="shared" si="0"/>
        <v>10000</v>
      </c>
      <c r="H22" s="635">
        <v>10000</v>
      </c>
      <c r="I22" s="635"/>
      <c r="J22" s="636"/>
      <c r="K22" s="635"/>
      <c r="L22" s="635">
        <v>490000</v>
      </c>
      <c r="M22" s="635">
        <v>500000</v>
      </c>
      <c r="N22" s="531" t="s">
        <v>523</v>
      </c>
    </row>
    <row r="23" spans="1:14" ht="38.25">
      <c r="A23" s="138" t="s">
        <v>176</v>
      </c>
      <c r="B23" s="141">
        <v>600</v>
      </c>
      <c r="C23" s="17">
        <v>60014</v>
      </c>
      <c r="D23" s="17">
        <v>6050</v>
      </c>
      <c r="E23" s="525" t="s">
        <v>525</v>
      </c>
      <c r="F23" s="635">
        <v>3100000</v>
      </c>
      <c r="G23" s="635">
        <f t="shared" si="0"/>
        <v>10000</v>
      </c>
      <c r="H23" s="635">
        <v>10000</v>
      </c>
      <c r="I23" s="635"/>
      <c r="J23" s="636"/>
      <c r="K23" s="635"/>
      <c r="L23" s="635">
        <v>80000</v>
      </c>
      <c r="M23" s="635">
        <v>1200000</v>
      </c>
      <c r="N23" s="531" t="s">
        <v>523</v>
      </c>
    </row>
    <row r="24" spans="1:14" ht="51">
      <c r="A24" s="138" t="s">
        <v>177</v>
      </c>
      <c r="B24" s="141">
        <v>600</v>
      </c>
      <c r="C24" s="17">
        <v>60014</v>
      </c>
      <c r="D24" s="17">
        <v>6050</v>
      </c>
      <c r="E24" s="525" t="s">
        <v>526</v>
      </c>
      <c r="F24" s="635">
        <v>1800000</v>
      </c>
      <c r="G24" s="635">
        <f t="shared" si="0"/>
        <v>10000</v>
      </c>
      <c r="H24" s="635">
        <v>10000</v>
      </c>
      <c r="I24" s="635"/>
      <c r="J24" s="636"/>
      <c r="K24" s="635"/>
      <c r="L24" s="635">
        <v>100000</v>
      </c>
      <c r="M24" s="635">
        <v>100000</v>
      </c>
      <c r="N24" s="531" t="s">
        <v>523</v>
      </c>
    </row>
    <row r="25" spans="1:14" ht="63.75">
      <c r="A25" s="138" t="s">
        <v>185</v>
      </c>
      <c r="B25" s="19">
        <v>600</v>
      </c>
      <c r="C25" s="19">
        <v>60014</v>
      </c>
      <c r="D25" s="19">
        <v>6050</v>
      </c>
      <c r="E25" s="637" t="s">
        <v>629</v>
      </c>
      <c r="F25" s="638">
        <v>8850000</v>
      </c>
      <c r="G25" s="638">
        <f>SUM(H25:K25)</f>
        <v>70000</v>
      </c>
      <c r="H25" s="638">
        <v>70000</v>
      </c>
      <c r="I25" s="635"/>
      <c r="J25" s="636"/>
      <c r="K25" s="635"/>
      <c r="L25" s="635">
        <v>100000</v>
      </c>
      <c r="M25" s="635">
        <v>100000</v>
      </c>
      <c r="N25" s="531" t="s">
        <v>523</v>
      </c>
    </row>
    <row r="26" spans="1:14" ht="51">
      <c r="A26" s="138" t="s">
        <v>613</v>
      </c>
      <c r="B26" s="141">
        <v>750</v>
      </c>
      <c r="C26" s="17">
        <v>75020</v>
      </c>
      <c r="D26" s="17">
        <v>6050</v>
      </c>
      <c r="E26" s="525" t="s">
        <v>527</v>
      </c>
      <c r="F26" s="139">
        <v>2500000</v>
      </c>
      <c r="G26" s="139">
        <f t="shared" si="0"/>
        <v>75000</v>
      </c>
      <c r="H26" s="139">
        <v>75000</v>
      </c>
      <c r="I26" s="139"/>
      <c r="J26" s="140"/>
      <c r="K26" s="139"/>
      <c r="L26" s="139">
        <v>2425000</v>
      </c>
      <c r="M26" s="139">
        <v>0</v>
      </c>
      <c r="N26" s="531" t="s">
        <v>529</v>
      </c>
    </row>
    <row r="27" spans="1:14" ht="22.5" customHeight="1" thickBot="1">
      <c r="A27" s="798" t="s">
        <v>14</v>
      </c>
      <c r="B27" s="799"/>
      <c r="C27" s="799"/>
      <c r="D27" s="799"/>
      <c r="E27" s="836"/>
      <c r="F27" s="532">
        <f>SUM(F14:F26)</f>
        <v>47710000</v>
      </c>
      <c r="G27" s="532">
        <f>SUM(G14:G26)</f>
        <v>789000</v>
      </c>
      <c r="H27" s="532">
        <f aca="true" t="shared" si="1" ref="H27:M27">SUM(H14:H26)</f>
        <v>338800</v>
      </c>
      <c r="I27" s="532">
        <f t="shared" si="1"/>
        <v>0</v>
      </c>
      <c r="J27" s="532">
        <v>450200</v>
      </c>
      <c r="K27" s="532">
        <f t="shared" si="1"/>
        <v>0</v>
      </c>
      <c r="L27" s="532">
        <f t="shared" si="1"/>
        <v>9701000</v>
      </c>
      <c r="M27" s="532">
        <f t="shared" si="1"/>
        <v>8700000</v>
      </c>
      <c r="N27" s="533" t="s">
        <v>406</v>
      </c>
    </row>
    <row r="30" ht="12.75">
      <c r="A30" s="1" t="s">
        <v>428</v>
      </c>
    </row>
    <row r="31" ht="12.75">
      <c r="A31" s="1" t="s">
        <v>425</v>
      </c>
    </row>
    <row r="32" ht="12.75">
      <c r="A32" s="1" t="s">
        <v>426</v>
      </c>
    </row>
    <row r="33" ht="12.75">
      <c r="A33" s="1" t="s">
        <v>427</v>
      </c>
    </row>
    <row r="34" ht="12.75">
      <c r="A34" s="45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27:E27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5" zoomScaleNormal="75" zoomScaleSheetLayoutView="75" zoomScalePageLayoutView="0" workbookViewId="0" topLeftCell="B1">
      <pane ySplit="11" topLeftCell="A12" activePane="bottomLeft" state="frozen"/>
      <selection pane="topLeft" activeCell="A1" sqref="A1"/>
      <selection pane="bottomLeft" activeCell="A5" sqref="A5:L5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274</v>
      </c>
    </row>
    <row r="2" spans="5:11" ht="12.75">
      <c r="E2" s="639"/>
      <c r="K2" s="1" t="s">
        <v>275</v>
      </c>
    </row>
    <row r="3" ht="12.75">
      <c r="K3" s="1" t="s">
        <v>181</v>
      </c>
    </row>
    <row r="4" ht="12.75">
      <c r="K4" s="1" t="s">
        <v>661</v>
      </c>
    </row>
    <row r="5" spans="1:12" ht="18">
      <c r="A5" s="839" t="s">
        <v>512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401</v>
      </c>
    </row>
    <row r="7" spans="1:12" s="33" customFormat="1" ht="19.5" customHeight="1">
      <c r="A7" s="840" t="s">
        <v>419</v>
      </c>
      <c r="B7" s="837" t="s">
        <v>363</v>
      </c>
      <c r="C7" s="837" t="s">
        <v>400</v>
      </c>
      <c r="D7" s="837" t="s">
        <v>17</v>
      </c>
      <c r="E7" s="842" t="s">
        <v>20</v>
      </c>
      <c r="F7" s="842" t="s">
        <v>15</v>
      </c>
      <c r="G7" s="842" t="s">
        <v>430</v>
      </c>
      <c r="H7" s="842"/>
      <c r="I7" s="842"/>
      <c r="J7" s="842"/>
      <c r="K7" s="842"/>
      <c r="L7" s="843" t="s">
        <v>18</v>
      </c>
    </row>
    <row r="8" spans="1:12" s="33" customFormat="1" ht="19.5" customHeight="1">
      <c r="A8" s="841"/>
      <c r="B8" s="838"/>
      <c r="C8" s="838"/>
      <c r="D8" s="838"/>
      <c r="E8" s="835"/>
      <c r="F8" s="835"/>
      <c r="G8" s="835" t="s">
        <v>468</v>
      </c>
      <c r="H8" s="835" t="s">
        <v>34</v>
      </c>
      <c r="I8" s="835"/>
      <c r="J8" s="835"/>
      <c r="K8" s="835"/>
      <c r="L8" s="844"/>
    </row>
    <row r="9" spans="1:12" s="33" customFormat="1" ht="29.25" customHeight="1">
      <c r="A9" s="841"/>
      <c r="B9" s="838"/>
      <c r="C9" s="838"/>
      <c r="D9" s="838"/>
      <c r="E9" s="835"/>
      <c r="F9" s="835"/>
      <c r="G9" s="835"/>
      <c r="H9" s="835" t="s">
        <v>19</v>
      </c>
      <c r="I9" s="835" t="s">
        <v>8</v>
      </c>
      <c r="J9" s="835" t="s">
        <v>21</v>
      </c>
      <c r="K9" s="835" t="s">
        <v>9</v>
      </c>
      <c r="L9" s="844"/>
    </row>
    <row r="10" spans="1:12" s="33" customFormat="1" ht="19.5" customHeight="1">
      <c r="A10" s="841"/>
      <c r="B10" s="838"/>
      <c r="C10" s="838"/>
      <c r="D10" s="838"/>
      <c r="E10" s="835"/>
      <c r="F10" s="835"/>
      <c r="G10" s="835"/>
      <c r="H10" s="835"/>
      <c r="I10" s="835"/>
      <c r="J10" s="835"/>
      <c r="K10" s="835"/>
      <c r="L10" s="844"/>
    </row>
    <row r="11" spans="1:12" s="33" customFormat="1" ht="19.5" customHeight="1">
      <c r="A11" s="841"/>
      <c r="B11" s="838"/>
      <c r="C11" s="838"/>
      <c r="D11" s="838"/>
      <c r="E11" s="835"/>
      <c r="F11" s="835"/>
      <c r="G11" s="835"/>
      <c r="H11" s="835"/>
      <c r="I11" s="835"/>
      <c r="J11" s="835"/>
      <c r="K11" s="835"/>
      <c r="L11" s="844"/>
    </row>
    <row r="12" spans="1:12" ht="7.5" customHeight="1" thickBot="1">
      <c r="A12" s="156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7">
        <v>12</v>
      </c>
    </row>
    <row r="13" spans="1:12" ht="24">
      <c r="A13" s="158">
        <v>1</v>
      </c>
      <c r="B13" s="160">
        <v>600</v>
      </c>
      <c r="C13" s="160">
        <v>60014</v>
      </c>
      <c r="D13" s="160">
        <v>6060</v>
      </c>
      <c r="E13" s="527" t="s">
        <v>638</v>
      </c>
      <c r="F13" s="468">
        <v>50000</v>
      </c>
      <c r="G13" s="468">
        <f aca="true" t="shared" si="0" ref="G13:G20">SUM(H13:K13)</f>
        <v>50000</v>
      </c>
      <c r="H13" s="468">
        <v>50000</v>
      </c>
      <c r="I13" s="160">
        <v>0</v>
      </c>
      <c r="J13" s="161">
        <v>0</v>
      </c>
      <c r="K13" s="160">
        <v>0</v>
      </c>
      <c r="L13" s="437" t="s">
        <v>523</v>
      </c>
    </row>
    <row r="14" spans="1:12" ht="24">
      <c r="A14" s="158">
        <v>2</v>
      </c>
      <c r="B14" s="160">
        <v>600</v>
      </c>
      <c r="C14" s="160">
        <v>60014</v>
      </c>
      <c r="D14" s="160">
        <v>6060</v>
      </c>
      <c r="E14" s="528" t="s">
        <v>636</v>
      </c>
      <c r="F14" s="468">
        <v>60000</v>
      </c>
      <c r="G14" s="468">
        <f t="shared" si="0"/>
        <v>60000</v>
      </c>
      <c r="H14" s="468">
        <v>60000</v>
      </c>
      <c r="I14" s="160">
        <v>0</v>
      </c>
      <c r="J14" s="161">
        <v>0</v>
      </c>
      <c r="K14" s="160">
        <v>0</v>
      </c>
      <c r="L14" s="437" t="s">
        <v>523</v>
      </c>
    </row>
    <row r="15" spans="1:12" ht="24">
      <c r="A15" s="158">
        <v>3</v>
      </c>
      <c r="B15" s="160">
        <v>600</v>
      </c>
      <c r="C15" s="160">
        <v>60014</v>
      </c>
      <c r="D15" s="160">
        <v>6060</v>
      </c>
      <c r="E15" s="528" t="s">
        <v>639</v>
      </c>
      <c r="F15" s="468">
        <v>70000</v>
      </c>
      <c r="G15" s="468">
        <f t="shared" si="0"/>
        <v>70000</v>
      </c>
      <c r="H15" s="468">
        <v>70000</v>
      </c>
      <c r="I15" s="160">
        <v>0</v>
      </c>
      <c r="J15" s="161">
        <v>0</v>
      </c>
      <c r="K15" s="160">
        <v>0</v>
      </c>
      <c r="L15" s="437" t="s">
        <v>523</v>
      </c>
    </row>
    <row r="16" spans="1:12" ht="24">
      <c r="A16" s="158">
        <v>4</v>
      </c>
      <c r="B16" s="160">
        <v>600</v>
      </c>
      <c r="C16" s="160">
        <v>60014</v>
      </c>
      <c r="D16" s="160">
        <v>6060</v>
      </c>
      <c r="E16" s="528" t="s">
        <v>640</v>
      </c>
      <c r="F16" s="468">
        <v>30000</v>
      </c>
      <c r="G16" s="468">
        <f t="shared" si="0"/>
        <v>30000</v>
      </c>
      <c r="H16" s="468">
        <v>30000</v>
      </c>
      <c r="I16" s="160">
        <v>0</v>
      </c>
      <c r="J16" s="161">
        <v>0</v>
      </c>
      <c r="K16" s="160">
        <v>0</v>
      </c>
      <c r="L16" s="437" t="s">
        <v>523</v>
      </c>
    </row>
    <row r="17" spans="1:12" ht="38.25" customHeight="1">
      <c r="A17" s="158">
        <v>6</v>
      </c>
      <c r="B17" s="160">
        <v>750</v>
      </c>
      <c r="C17" s="160">
        <v>75020</v>
      </c>
      <c r="D17" s="160">
        <v>6060</v>
      </c>
      <c r="E17" s="529" t="s">
        <v>626</v>
      </c>
      <c r="F17" s="468">
        <v>80100</v>
      </c>
      <c r="G17" s="468">
        <f t="shared" si="0"/>
        <v>80100</v>
      </c>
      <c r="H17" s="468">
        <v>80100</v>
      </c>
      <c r="I17" s="160">
        <v>0</v>
      </c>
      <c r="J17" s="161">
        <v>0</v>
      </c>
      <c r="K17" s="160">
        <v>0</v>
      </c>
      <c r="L17" s="437" t="s">
        <v>529</v>
      </c>
    </row>
    <row r="18" spans="1:12" ht="31.5" customHeight="1">
      <c r="A18" s="158">
        <v>7</v>
      </c>
      <c r="B18" s="160">
        <v>852</v>
      </c>
      <c r="C18" s="160">
        <v>85201</v>
      </c>
      <c r="D18" s="160">
        <v>6050</v>
      </c>
      <c r="E18" s="526" t="s">
        <v>528</v>
      </c>
      <c r="F18" s="468">
        <v>120000</v>
      </c>
      <c r="G18" s="468">
        <f t="shared" si="0"/>
        <v>120000</v>
      </c>
      <c r="H18" s="468">
        <v>120000</v>
      </c>
      <c r="I18" s="160"/>
      <c r="J18" s="161">
        <v>0</v>
      </c>
      <c r="K18" s="160">
        <v>0</v>
      </c>
      <c r="L18" s="437" t="s">
        <v>625</v>
      </c>
    </row>
    <row r="19" spans="1:12" ht="49.5" customHeight="1">
      <c r="A19" s="158">
        <v>8</v>
      </c>
      <c r="B19" s="160">
        <v>852</v>
      </c>
      <c r="C19" s="160">
        <v>85202</v>
      </c>
      <c r="D19" s="160">
        <v>6050</v>
      </c>
      <c r="E19" s="526" t="s">
        <v>627</v>
      </c>
      <c r="F19" s="159">
        <v>180000</v>
      </c>
      <c r="G19" s="159">
        <f>SUM(H19:K19)</f>
        <v>180000</v>
      </c>
      <c r="H19" s="159">
        <v>20000</v>
      </c>
      <c r="I19" s="160">
        <v>160000</v>
      </c>
      <c r="J19" s="161">
        <v>0</v>
      </c>
      <c r="K19" s="160">
        <v>0</v>
      </c>
      <c r="L19" s="437" t="s">
        <v>624</v>
      </c>
    </row>
    <row r="20" spans="1:12" ht="36.75" customHeight="1">
      <c r="A20" s="158">
        <v>9</v>
      </c>
      <c r="B20" s="160">
        <v>852</v>
      </c>
      <c r="C20" s="160">
        <v>85202</v>
      </c>
      <c r="D20" s="160">
        <v>6060</v>
      </c>
      <c r="E20" s="530" t="s">
        <v>637</v>
      </c>
      <c r="F20" s="159">
        <v>6500</v>
      </c>
      <c r="G20" s="159">
        <f t="shared" si="0"/>
        <v>6500</v>
      </c>
      <c r="H20" s="159">
        <v>6500</v>
      </c>
      <c r="I20" s="160">
        <v>0</v>
      </c>
      <c r="J20" s="161">
        <v>0</v>
      </c>
      <c r="K20" s="160"/>
      <c r="L20" s="437" t="s">
        <v>530</v>
      </c>
    </row>
    <row r="21" spans="1:12" ht="22.5" customHeight="1" thickBot="1">
      <c r="A21" s="845" t="s">
        <v>14</v>
      </c>
      <c r="B21" s="846"/>
      <c r="C21" s="846"/>
      <c r="D21" s="846"/>
      <c r="E21" s="846"/>
      <c r="F21" s="162">
        <f aca="true" t="shared" si="1" ref="F21:K21">SUM(F13:F20)</f>
        <v>596600</v>
      </c>
      <c r="G21" s="162">
        <f t="shared" si="1"/>
        <v>596600</v>
      </c>
      <c r="H21" s="162">
        <f t="shared" si="1"/>
        <v>436600</v>
      </c>
      <c r="I21" s="162">
        <f t="shared" si="1"/>
        <v>160000</v>
      </c>
      <c r="J21" s="162">
        <f t="shared" si="1"/>
        <v>0</v>
      </c>
      <c r="K21" s="162">
        <f t="shared" si="1"/>
        <v>0</v>
      </c>
      <c r="L21" s="163" t="s">
        <v>406</v>
      </c>
    </row>
    <row r="23" ht="12.75">
      <c r="A23" s="1" t="s">
        <v>428</v>
      </c>
    </row>
    <row r="24" ht="12.75">
      <c r="A24" s="1" t="s">
        <v>425</v>
      </c>
    </row>
    <row r="25" ht="12.75">
      <c r="A25" s="1" t="s">
        <v>426</v>
      </c>
    </row>
    <row r="26" ht="12.75">
      <c r="A26" s="1" t="s">
        <v>427</v>
      </c>
    </row>
    <row r="28" ht="12.75">
      <c r="A28" s="45" t="s">
        <v>35</v>
      </c>
    </row>
  </sheetData>
  <sheetProtection/>
  <mergeCells count="16">
    <mergeCell ref="A21:E21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SheetLayoutView="100" zoomScalePageLayoutView="0" workbookViewId="0" topLeftCell="A19">
      <selection activeCell="E27" sqref="E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621</v>
      </c>
    </row>
    <row r="2" ht="12.75">
      <c r="E2" s="1" t="s">
        <v>277</v>
      </c>
    </row>
    <row r="3" ht="12.75">
      <c r="E3" s="1" t="s">
        <v>181</v>
      </c>
    </row>
    <row r="4" ht="12.75">
      <c r="E4" s="1" t="s">
        <v>662</v>
      </c>
    </row>
    <row r="6" spans="1:5" ht="15" customHeight="1">
      <c r="A6" s="847" t="s">
        <v>504</v>
      </c>
      <c r="B6" s="847"/>
      <c r="C6" s="847"/>
      <c r="D6" s="847"/>
      <c r="E6" s="847"/>
    </row>
    <row r="7" ht="6.75" customHeight="1">
      <c r="A7" s="14"/>
    </row>
    <row r="8" ht="13.5" thickBot="1">
      <c r="E8" s="10" t="s">
        <v>401</v>
      </c>
    </row>
    <row r="9" spans="1:5" ht="15" customHeight="1">
      <c r="A9" s="840" t="s">
        <v>419</v>
      </c>
      <c r="B9" s="837" t="s">
        <v>366</v>
      </c>
      <c r="C9" s="842" t="s">
        <v>420</v>
      </c>
      <c r="D9" s="848" t="s">
        <v>481</v>
      </c>
      <c r="E9" s="842" t="s">
        <v>480</v>
      </c>
    </row>
    <row r="10" spans="1:5" ht="15" customHeight="1">
      <c r="A10" s="841"/>
      <c r="B10" s="838"/>
      <c r="C10" s="838"/>
      <c r="D10" s="849"/>
      <c r="E10" s="835"/>
    </row>
    <row r="11" spans="1:5" ht="15.75" customHeight="1">
      <c r="A11" s="841"/>
      <c r="B11" s="838"/>
      <c r="C11" s="838"/>
      <c r="D11" s="850"/>
      <c r="E11" s="835"/>
    </row>
    <row r="12" spans="1:5" s="44" customFormat="1" ht="6.75" customHeight="1">
      <c r="A12" s="427">
        <v>1</v>
      </c>
      <c r="B12" s="43">
        <v>2</v>
      </c>
      <c r="C12" s="43">
        <v>3</v>
      </c>
      <c r="D12" s="427">
        <v>4</v>
      </c>
      <c r="E12" s="43">
        <v>5</v>
      </c>
    </row>
    <row r="13" spans="1:5" s="44" customFormat="1" ht="13.5" customHeight="1">
      <c r="A13" s="144" t="s">
        <v>371</v>
      </c>
      <c r="B13" s="145" t="s">
        <v>178</v>
      </c>
      <c r="C13" s="43"/>
      <c r="D13" s="412" t="e">
        <f>'Dochody-ukł.wykon.'!E189</f>
        <v>#REF!</v>
      </c>
      <c r="E13" s="412">
        <f>'Dochody-ukł.wykon.'!I189</f>
        <v>33416103</v>
      </c>
    </row>
    <row r="14" spans="1:5" s="44" customFormat="1" ht="13.5" customHeight="1">
      <c r="A14" s="146" t="s">
        <v>376</v>
      </c>
      <c r="B14" s="147" t="s">
        <v>430</v>
      </c>
      <c r="C14" s="43"/>
      <c r="D14" s="412">
        <f>'WYDATKI ukł.wyk.'!E579</f>
        <v>32957823</v>
      </c>
      <c r="E14" s="412">
        <f>'WYDATKI ukł.wyk.'!G579</f>
        <v>32712172</v>
      </c>
    </row>
    <row r="15" spans="1:5" s="44" customFormat="1" ht="13.5" customHeight="1">
      <c r="A15" s="146"/>
      <c r="B15" s="147" t="s">
        <v>179</v>
      </c>
      <c r="C15" s="43"/>
      <c r="D15" s="412" t="e">
        <f>D13-D14</f>
        <v>#REF!</v>
      </c>
      <c r="E15" s="412">
        <f>E13-E14</f>
        <v>703931</v>
      </c>
    </row>
    <row r="16" spans="1:7" s="44" customFormat="1" ht="13.5" customHeight="1">
      <c r="A16" s="148"/>
      <c r="B16" s="149" t="s">
        <v>180</v>
      </c>
      <c r="C16" s="43"/>
      <c r="D16" s="412">
        <f>D17-D26</f>
        <v>-851735</v>
      </c>
      <c r="E16" s="412">
        <f>E17-E26</f>
        <v>-703931</v>
      </c>
      <c r="G16" s="463"/>
    </row>
    <row r="17" spans="1:5" ht="18.75" customHeight="1">
      <c r="A17" s="435" t="s">
        <v>377</v>
      </c>
      <c r="B17" s="436" t="s">
        <v>385</v>
      </c>
      <c r="C17" s="19"/>
      <c r="D17" s="426">
        <f>SUM(D18:D25)</f>
        <v>4000000</v>
      </c>
      <c r="E17" s="426">
        <f>SUM(E18:E25)</f>
        <v>0</v>
      </c>
    </row>
    <row r="18" spans="1:5" ht="18.75" customHeight="1">
      <c r="A18" s="428" t="s">
        <v>372</v>
      </c>
      <c r="B18" s="21" t="s">
        <v>380</v>
      </c>
      <c r="C18" s="20" t="s">
        <v>386</v>
      </c>
      <c r="D18" s="187"/>
      <c r="E18" s="413"/>
    </row>
    <row r="19" spans="1:5" ht="18.75" customHeight="1">
      <c r="A19" s="429" t="s">
        <v>373</v>
      </c>
      <c r="B19" s="23" t="s">
        <v>381</v>
      </c>
      <c r="C19" s="22" t="s">
        <v>386</v>
      </c>
      <c r="D19" s="185"/>
      <c r="E19" s="414"/>
    </row>
    <row r="20" spans="1:5" ht="51">
      <c r="A20" s="429" t="s">
        <v>374</v>
      </c>
      <c r="B20" s="24" t="s">
        <v>11</v>
      </c>
      <c r="C20" s="22" t="s">
        <v>408</v>
      </c>
      <c r="D20" s="185"/>
      <c r="E20" s="414"/>
    </row>
    <row r="21" spans="1:5" ht="18.75" customHeight="1">
      <c r="A21" s="429" t="s">
        <v>362</v>
      </c>
      <c r="B21" s="23" t="s">
        <v>388</v>
      </c>
      <c r="C21" s="22" t="s">
        <v>409</v>
      </c>
      <c r="D21" s="185"/>
      <c r="E21" s="414"/>
    </row>
    <row r="22" spans="1:5" ht="18.75" customHeight="1">
      <c r="A22" s="429" t="s">
        <v>379</v>
      </c>
      <c r="B22" s="23" t="s">
        <v>12</v>
      </c>
      <c r="C22" s="22" t="s">
        <v>22</v>
      </c>
      <c r="D22" s="185"/>
      <c r="E22" s="414"/>
    </row>
    <row r="23" spans="1:5" ht="18.75" customHeight="1">
      <c r="A23" s="429" t="s">
        <v>382</v>
      </c>
      <c r="B23" s="23" t="s">
        <v>383</v>
      </c>
      <c r="C23" s="22" t="s">
        <v>387</v>
      </c>
      <c r="D23" s="185"/>
      <c r="E23" s="414"/>
    </row>
    <row r="24" spans="1:5" ht="18.75" customHeight="1">
      <c r="A24" s="429" t="s">
        <v>384</v>
      </c>
      <c r="B24" s="23" t="s">
        <v>32</v>
      </c>
      <c r="C24" s="22" t="s">
        <v>424</v>
      </c>
      <c r="D24" s="185">
        <v>4000000</v>
      </c>
      <c r="E24" s="414"/>
    </row>
    <row r="25" spans="1:5" ht="18.75" customHeight="1">
      <c r="A25" s="429" t="s">
        <v>390</v>
      </c>
      <c r="B25" s="26" t="s">
        <v>407</v>
      </c>
      <c r="C25" s="25" t="s">
        <v>389</v>
      </c>
      <c r="D25" s="415"/>
      <c r="E25" s="465"/>
    </row>
    <row r="26" spans="1:5" ht="18.75" customHeight="1">
      <c r="A26" s="435" t="s">
        <v>398</v>
      </c>
      <c r="B26" s="436" t="s">
        <v>13</v>
      </c>
      <c r="C26" s="19"/>
      <c r="D26" s="186">
        <f>SUM(D27:D33)</f>
        <v>4851735</v>
      </c>
      <c r="E26" s="426">
        <f>SUM(E27:E33)</f>
        <v>703931</v>
      </c>
    </row>
    <row r="27" spans="1:5" ht="18.75" customHeight="1">
      <c r="A27" s="428" t="s">
        <v>372</v>
      </c>
      <c r="B27" s="21" t="s">
        <v>410</v>
      </c>
      <c r="C27" s="20" t="s">
        <v>392</v>
      </c>
      <c r="D27" s="187">
        <v>3990000</v>
      </c>
      <c r="E27" s="413">
        <v>428767</v>
      </c>
    </row>
    <row r="28" spans="1:5" ht="18.75" customHeight="1">
      <c r="A28" s="429" t="s">
        <v>373</v>
      </c>
      <c r="B28" s="23" t="s">
        <v>391</v>
      </c>
      <c r="C28" s="22" t="s">
        <v>392</v>
      </c>
      <c r="D28" s="185">
        <v>10000</v>
      </c>
      <c r="E28" s="414">
        <v>10000</v>
      </c>
    </row>
    <row r="29" spans="1:5" ht="38.25">
      <c r="A29" s="429" t="s">
        <v>374</v>
      </c>
      <c r="B29" s="24" t="s">
        <v>413</v>
      </c>
      <c r="C29" s="22" t="s">
        <v>414</v>
      </c>
      <c r="D29" s="185"/>
      <c r="E29" s="414"/>
    </row>
    <row r="30" spans="1:5" ht="18.75" customHeight="1">
      <c r="A30" s="429" t="s">
        <v>362</v>
      </c>
      <c r="B30" s="23" t="s">
        <v>411</v>
      </c>
      <c r="C30" s="22" t="s">
        <v>405</v>
      </c>
      <c r="D30" s="185">
        <v>303888</v>
      </c>
      <c r="E30" s="414">
        <f>30000+235164</f>
        <v>265164</v>
      </c>
    </row>
    <row r="31" spans="1:5" ht="18.75" customHeight="1">
      <c r="A31" s="429" t="s">
        <v>379</v>
      </c>
      <c r="B31" s="23" t="s">
        <v>412</v>
      </c>
      <c r="C31" s="22" t="s">
        <v>394</v>
      </c>
      <c r="D31" s="185">
        <v>547847</v>
      </c>
      <c r="E31" s="414">
        <v>0</v>
      </c>
    </row>
    <row r="32" spans="1:5" ht="18.75" customHeight="1">
      <c r="A32" s="429" t="s">
        <v>382</v>
      </c>
      <c r="B32" s="23" t="s">
        <v>33</v>
      </c>
      <c r="C32" s="22" t="s">
        <v>395</v>
      </c>
      <c r="D32" s="185"/>
      <c r="E32" s="414"/>
    </row>
    <row r="33" spans="1:5" ht="18.75" customHeight="1" thickBot="1">
      <c r="A33" s="430" t="s">
        <v>384</v>
      </c>
      <c r="B33" s="431" t="s">
        <v>396</v>
      </c>
      <c r="C33" s="432" t="s">
        <v>393</v>
      </c>
      <c r="D33" s="433"/>
      <c r="E33" s="434"/>
    </row>
    <row r="34" spans="1:5" ht="7.5" customHeight="1">
      <c r="A34" s="3"/>
      <c r="B34" s="4"/>
      <c r="C34" s="4"/>
      <c r="D34" s="4"/>
      <c r="E34" s="4"/>
    </row>
    <row r="35" spans="1:6" ht="12.75">
      <c r="A35" s="35"/>
      <c r="B35" s="34"/>
      <c r="C35" s="34"/>
      <c r="D35" s="34"/>
      <c r="E35" s="34"/>
      <c r="F35" s="32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6"/>
  <sheetViews>
    <sheetView view="pageBreakPreview" zoomScaleSheetLayoutView="100" zoomScalePageLayoutView="0" workbookViewId="0" topLeftCell="A31">
      <selection activeCell="E90" sqref="E90"/>
    </sheetView>
  </sheetViews>
  <sheetFormatPr defaultColWidth="9.00390625" defaultRowHeight="12.75"/>
  <cols>
    <col min="1" max="1" width="4.625" style="78" customWidth="1"/>
    <col min="2" max="2" width="6.125" style="78" customWidth="1"/>
    <col min="3" max="3" width="5.00390625" style="78" customWidth="1"/>
    <col min="4" max="4" width="46.875" style="78" customWidth="1"/>
    <col min="5" max="5" width="13.00390625" style="78" customWidth="1"/>
    <col min="6" max="6" width="11.00390625" style="78" customWidth="1"/>
    <col min="7" max="16384" width="9.125" style="78" customWidth="1"/>
  </cols>
  <sheetData>
    <row r="1" spans="5:6" ht="12">
      <c r="E1" s="91"/>
      <c r="F1" s="79" t="s">
        <v>276</v>
      </c>
    </row>
    <row r="2" spans="5:6" ht="12">
      <c r="E2" s="91"/>
      <c r="F2" s="79" t="s">
        <v>289</v>
      </c>
    </row>
    <row r="3" spans="5:6" ht="12">
      <c r="E3" s="91"/>
      <c r="F3" s="79" t="s">
        <v>181</v>
      </c>
    </row>
    <row r="4" spans="5:6" ht="12">
      <c r="E4" s="91"/>
      <c r="F4" s="79" t="s">
        <v>663</v>
      </c>
    </row>
    <row r="9" spans="1:6" ht="16.5" customHeight="1">
      <c r="A9" s="851" t="s">
        <v>290</v>
      </c>
      <c r="B9" s="851"/>
      <c r="C9" s="851"/>
      <c r="D9" s="851"/>
      <c r="E9" s="851"/>
      <c r="F9" s="851"/>
    </row>
    <row r="10" spans="1:6" ht="15.75">
      <c r="A10" s="852" t="s">
        <v>359</v>
      </c>
      <c r="B10" s="852"/>
      <c r="C10" s="852"/>
      <c r="D10" s="852"/>
      <c r="E10" s="852"/>
      <c r="F10" s="852"/>
    </row>
    <row r="11" spans="1:6" ht="20.25" customHeight="1">
      <c r="A11" s="852" t="s">
        <v>469</v>
      </c>
      <c r="B11" s="852"/>
      <c r="C11" s="852"/>
      <c r="D11" s="852"/>
      <c r="E11" s="852"/>
      <c r="F11" s="852"/>
    </row>
    <row r="12" spans="2:6" ht="9.75">
      <c r="B12" s="82"/>
      <c r="C12" s="82"/>
      <c r="D12" s="82"/>
      <c r="E12" s="82"/>
      <c r="F12" s="82"/>
    </row>
    <row r="13" spans="5:7" ht="10.5" thickBot="1">
      <c r="E13" s="284"/>
      <c r="F13" s="284"/>
      <c r="G13" s="675"/>
    </row>
    <row r="14" spans="1:7" ht="11.25">
      <c r="A14" s="285"/>
      <c r="B14" s="286"/>
      <c r="C14" s="286"/>
      <c r="D14" s="287"/>
      <c r="E14" s="288"/>
      <c r="F14" s="288"/>
      <c r="G14" s="289" t="s">
        <v>630</v>
      </c>
    </row>
    <row r="15" spans="1:7" ht="11.25">
      <c r="A15" s="290" t="s">
        <v>55</v>
      </c>
      <c r="B15" s="291" t="s">
        <v>400</v>
      </c>
      <c r="C15" s="291" t="s">
        <v>365</v>
      </c>
      <c r="D15" s="291" t="s">
        <v>291</v>
      </c>
      <c r="E15" s="293" t="s">
        <v>432</v>
      </c>
      <c r="F15" s="293" t="s">
        <v>369</v>
      </c>
      <c r="G15" s="294" t="s">
        <v>631</v>
      </c>
    </row>
    <row r="16" spans="1:7" ht="11.25">
      <c r="A16" s="290"/>
      <c r="B16" s="291"/>
      <c r="C16" s="291"/>
      <c r="D16" s="292"/>
      <c r="E16" s="293"/>
      <c r="F16" s="293"/>
      <c r="G16" s="294" t="s">
        <v>632</v>
      </c>
    </row>
    <row r="17" spans="1:7" ht="12" thickBot="1">
      <c r="A17" s="295"/>
      <c r="B17" s="296"/>
      <c r="C17" s="297"/>
      <c r="D17" s="298"/>
      <c r="E17" s="298"/>
      <c r="F17" s="673"/>
      <c r="G17" s="299" t="s">
        <v>633</v>
      </c>
    </row>
    <row r="18" spans="1:7" s="89" customFormat="1" ht="10.5" customHeight="1" thickBot="1">
      <c r="A18" s="84">
        <v>1</v>
      </c>
      <c r="B18" s="86">
        <v>2</v>
      </c>
      <c r="C18" s="86">
        <v>3</v>
      </c>
      <c r="D18" s="86">
        <v>4</v>
      </c>
      <c r="E18" s="85">
        <v>5</v>
      </c>
      <c r="F18" s="676">
        <v>6</v>
      </c>
      <c r="G18" s="87">
        <v>7</v>
      </c>
    </row>
    <row r="19" spans="1:7" ht="13.5" thickBot="1">
      <c r="A19" s="48" t="s">
        <v>39</v>
      </c>
      <c r="B19" s="92"/>
      <c r="C19" s="92"/>
      <c r="D19" s="300" t="s">
        <v>40</v>
      </c>
      <c r="E19" s="301">
        <f>E20</f>
        <v>13000</v>
      </c>
      <c r="F19" s="677">
        <f>F20</f>
        <v>13000</v>
      </c>
      <c r="G19" s="683">
        <f>G20</f>
        <v>2000</v>
      </c>
    </row>
    <row r="20" spans="1:7" ht="12.75">
      <c r="A20" s="94"/>
      <c r="B20" s="50" t="s">
        <v>42</v>
      </c>
      <c r="C20" s="95"/>
      <c r="D20" s="302" t="s">
        <v>292</v>
      </c>
      <c r="E20" s="303">
        <f>E21</f>
        <v>13000</v>
      </c>
      <c r="F20" s="678">
        <f>SUM(F21:F22)</f>
        <v>13000</v>
      </c>
      <c r="G20" s="490">
        <f>G25</f>
        <v>2000</v>
      </c>
    </row>
    <row r="21" spans="1:7" ht="12.75">
      <c r="A21" s="94"/>
      <c r="B21" s="96"/>
      <c r="C21" s="97" t="s">
        <v>209</v>
      </c>
      <c r="D21" s="114" t="s">
        <v>293</v>
      </c>
      <c r="E21" s="116">
        <f>'Dochody-ukł.wykon.'!I14</f>
        <v>13000</v>
      </c>
      <c r="F21" s="679"/>
      <c r="G21" s="489"/>
    </row>
    <row r="22" spans="1:7" ht="12.75">
      <c r="A22" s="94"/>
      <c r="B22" s="96"/>
      <c r="C22" s="97" t="s">
        <v>57</v>
      </c>
      <c r="D22" s="114" t="s">
        <v>58</v>
      </c>
      <c r="E22" s="116"/>
      <c r="F22" s="679">
        <f>'WYDATKI ukł.wyk.'!G17</f>
        <v>13000</v>
      </c>
      <c r="G22" s="489"/>
    </row>
    <row r="23" spans="1:7" ht="12.75">
      <c r="A23" s="94"/>
      <c r="B23" s="96"/>
      <c r="C23" s="97"/>
      <c r="D23" s="114"/>
      <c r="E23" s="116"/>
      <c r="F23" s="679"/>
      <c r="G23" s="489"/>
    </row>
    <row r="24" spans="1:7" ht="12.75">
      <c r="A24" s="94"/>
      <c r="B24" s="50" t="s">
        <v>642</v>
      </c>
      <c r="C24" s="100"/>
      <c r="D24" s="304" t="s">
        <v>641</v>
      </c>
      <c r="E24" s="466"/>
      <c r="F24" s="678"/>
      <c r="G24" s="488">
        <f>G25</f>
        <v>2000</v>
      </c>
    </row>
    <row r="25" spans="1:7" ht="12.75">
      <c r="A25" s="94"/>
      <c r="B25" s="96"/>
      <c r="C25" s="97" t="s">
        <v>635</v>
      </c>
      <c r="D25" s="114" t="s">
        <v>634</v>
      </c>
      <c r="E25" s="116"/>
      <c r="F25" s="679"/>
      <c r="G25" s="489">
        <v>2000</v>
      </c>
    </row>
    <row r="26" spans="1:7" ht="12.75">
      <c r="A26" s="103"/>
      <c r="B26" s="96"/>
      <c r="C26" s="96"/>
      <c r="D26" s="114"/>
      <c r="E26" s="116"/>
      <c r="F26" s="679"/>
      <c r="G26" s="489"/>
    </row>
    <row r="27" spans="1:7" ht="13.5" thickBot="1">
      <c r="A27" s="68">
        <v>700</v>
      </c>
      <c r="B27" s="92"/>
      <c r="C27" s="92"/>
      <c r="D27" s="122" t="s">
        <v>93</v>
      </c>
      <c r="E27" s="301">
        <f>E28</f>
        <v>59000</v>
      </c>
      <c r="F27" s="677">
        <f>F28</f>
        <v>59000</v>
      </c>
      <c r="G27" s="132">
        <f>G28</f>
        <v>284000</v>
      </c>
    </row>
    <row r="28" spans="1:7" ht="12.75">
      <c r="A28" s="103"/>
      <c r="B28" s="69">
        <v>70005</v>
      </c>
      <c r="C28" s="95"/>
      <c r="D28" s="304" t="s">
        <v>94</v>
      </c>
      <c r="E28" s="303">
        <f>E29</f>
        <v>59000</v>
      </c>
      <c r="F28" s="678">
        <f>SUM(F31:F38)</f>
        <v>59000</v>
      </c>
      <c r="G28" s="490">
        <f>G30</f>
        <v>284000</v>
      </c>
    </row>
    <row r="29" spans="1:7" ht="12.75">
      <c r="A29" s="103"/>
      <c r="B29" s="96"/>
      <c r="C29" s="97" t="s">
        <v>209</v>
      </c>
      <c r="D29" s="114" t="s">
        <v>293</v>
      </c>
      <c r="E29" s="116">
        <f>'Dochody-ukł.wykon.'!I42</f>
        <v>59000</v>
      </c>
      <c r="F29" s="679"/>
      <c r="G29" s="489"/>
    </row>
    <row r="30" spans="1:7" ht="12.75">
      <c r="A30" s="103"/>
      <c r="B30" s="96"/>
      <c r="C30" s="97" t="s">
        <v>635</v>
      </c>
      <c r="D30" s="114" t="s">
        <v>634</v>
      </c>
      <c r="E30" s="116"/>
      <c r="F30" s="679"/>
      <c r="G30" s="489">
        <v>284000</v>
      </c>
    </row>
    <row r="31" spans="1:7" ht="12.75">
      <c r="A31" s="103"/>
      <c r="B31" s="96"/>
      <c r="C31" s="118">
        <v>4110</v>
      </c>
      <c r="D31" s="115" t="s">
        <v>66</v>
      </c>
      <c r="E31" s="116"/>
      <c r="F31" s="679">
        <v>4543</v>
      </c>
      <c r="G31" s="489"/>
    </row>
    <row r="32" spans="1:7" ht="12.75">
      <c r="A32" s="103"/>
      <c r="B32" s="96"/>
      <c r="C32" s="118">
        <v>4120</v>
      </c>
      <c r="D32" s="115" t="s">
        <v>294</v>
      </c>
      <c r="E32" s="116"/>
      <c r="F32" s="679">
        <v>728</v>
      </c>
      <c r="G32" s="489"/>
    </row>
    <row r="33" spans="1:7" ht="12.75">
      <c r="A33" s="103"/>
      <c r="B33" s="96"/>
      <c r="C33" s="97" t="s">
        <v>505</v>
      </c>
      <c r="D33" s="114" t="s">
        <v>68</v>
      </c>
      <c r="E33" s="116"/>
      <c r="F33" s="679">
        <f>'WYDATKI ukł.wyk.'!G69</f>
        <v>29729</v>
      </c>
      <c r="G33" s="489"/>
    </row>
    <row r="34" spans="1:7" ht="12.75">
      <c r="A34" s="103"/>
      <c r="B34" s="96"/>
      <c r="C34" s="97" t="s">
        <v>152</v>
      </c>
      <c r="D34" s="114" t="s">
        <v>71</v>
      </c>
      <c r="E34" s="116"/>
      <c r="F34" s="680">
        <v>10000</v>
      </c>
      <c r="G34" s="489"/>
    </row>
    <row r="35" spans="1:7" ht="12.75">
      <c r="A35" s="103"/>
      <c r="B35" s="96"/>
      <c r="C35" s="97" t="s">
        <v>57</v>
      </c>
      <c r="D35" s="114" t="s">
        <v>58</v>
      </c>
      <c r="E35" s="116"/>
      <c r="F35" s="680">
        <f>6000+3500-2100</f>
        <v>7400</v>
      </c>
      <c r="G35" s="489"/>
    </row>
    <row r="36" spans="1:7" ht="12.75">
      <c r="A36" s="103"/>
      <c r="B36" s="96"/>
      <c r="C36" s="305" t="s">
        <v>296</v>
      </c>
      <c r="D36" s="115" t="s">
        <v>77</v>
      </c>
      <c r="E36" s="116"/>
      <c r="F36" s="680">
        <v>600</v>
      </c>
      <c r="G36" s="489"/>
    </row>
    <row r="37" spans="1:7" ht="12.75">
      <c r="A37" s="103"/>
      <c r="B37" s="96"/>
      <c r="C37" s="97" t="s">
        <v>95</v>
      </c>
      <c r="D37" s="114" t="s">
        <v>79</v>
      </c>
      <c r="E37" s="116"/>
      <c r="F37" s="680">
        <v>4000</v>
      </c>
      <c r="G37" s="491"/>
    </row>
    <row r="38" spans="1:7" ht="12.75">
      <c r="A38" s="103"/>
      <c r="B38" s="96"/>
      <c r="C38" s="97" t="s">
        <v>96</v>
      </c>
      <c r="D38" s="115" t="s">
        <v>313</v>
      </c>
      <c r="E38" s="116"/>
      <c r="F38" s="680">
        <v>2000</v>
      </c>
      <c r="G38" s="491"/>
    </row>
    <row r="39" spans="1:7" ht="12.75">
      <c r="A39" s="103"/>
      <c r="B39" s="96"/>
      <c r="C39" s="97"/>
      <c r="D39" s="114"/>
      <c r="E39" s="116"/>
      <c r="F39" s="679"/>
      <c r="G39" s="491"/>
    </row>
    <row r="40" spans="1:7" ht="13.5" thickBot="1">
      <c r="A40" s="68">
        <v>710</v>
      </c>
      <c r="B40" s="92"/>
      <c r="C40" s="106"/>
      <c r="D40" s="122" t="s">
        <v>98</v>
      </c>
      <c r="E40" s="301">
        <f>E41+E46+E50</f>
        <v>341042</v>
      </c>
      <c r="F40" s="677">
        <f>F41+F46+F50</f>
        <v>341042</v>
      </c>
      <c r="G40" s="491"/>
    </row>
    <row r="41" spans="1:7" ht="12.75">
      <c r="A41" s="103"/>
      <c r="B41" s="69">
        <v>71013</v>
      </c>
      <c r="C41" s="100"/>
      <c r="D41" s="304" t="s">
        <v>235</v>
      </c>
      <c r="E41" s="303">
        <f>E42</f>
        <v>40000</v>
      </c>
      <c r="F41" s="678">
        <f>SUM(F43:F44)</f>
        <v>40000</v>
      </c>
      <c r="G41" s="491"/>
    </row>
    <row r="42" spans="1:7" ht="12.75">
      <c r="A42" s="103"/>
      <c r="B42" s="96"/>
      <c r="C42" s="97" t="s">
        <v>209</v>
      </c>
      <c r="D42" s="114" t="s">
        <v>293</v>
      </c>
      <c r="E42" s="116">
        <f>'Dochody-ukł.wykon.'!I49</f>
        <v>40000</v>
      </c>
      <c r="F42" s="679"/>
      <c r="G42" s="491"/>
    </row>
    <row r="43" spans="1:7" ht="12.75">
      <c r="A43" s="103"/>
      <c r="B43" s="96"/>
      <c r="C43" s="97" t="s">
        <v>57</v>
      </c>
      <c r="D43" s="114" t="s">
        <v>58</v>
      </c>
      <c r="E43" s="116"/>
      <c r="F43" s="679">
        <f>'WYDATKI ukł.wyk.'!G80</f>
        <v>39000</v>
      </c>
      <c r="G43" s="491"/>
    </row>
    <row r="44" spans="1:7" ht="12.75">
      <c r="A44" s="103"/>
      <c r="B44" s="96"/>
      <c r="C44" s="97" t="s">
        <v>96</v>
      </c>
      <c r="D44" s="115" t="s">
        <v>97</v>
      </c>
      <c r="E44" s="116"/>
      <c r="F44" s="679">
        <f>'WYDATKI ukł.wyk.'!G81</f>
        <v>1000</v>
      </c>
      <c r="G44" s="491"/>
    </row>
    <row r="45" spans="1:7" ht="12.75">
      <c r="A45" s="103"/>
      <c r="B45" s="96"/>
      <c r="C45" s="97"/>
      <c r="D45" s="114"/>
      <c r="E45" s="116"/>
      <c r="F45" s="679"/>
      <c r="G45" s="491"/>
    </row>
    <row r="46" spans="1:7" ht="12.75">
      <c r="A46" s="103"/>
      <c r="B46" s="69">
        <v>71014</v>
      </c>
      <c r="C46" s="100"/>
      <c r="D46" s="304" t="s">
        <v>100</v>
      </c>
      <c r="E46" s="303">
        <f>E47</f>
        <v>14000</v>
      </c>
      <c r="F46" s="678">
        <f>SUM(F48)</f>
        <v>14000</v>
      </c>
      <c r="G46" s="491"/>
    </row>
    <row r="47" spans="1:7" ht="12.75">
      <c r="A47" s="103"/>
      <c r="B47" s="96"/>
      <c r="C47" s="97" t="s">
        <v>209</v>
      </c>
      <c r="D47" s="114" t="s">
        <v>293</v>
      </c>
      <c r="E47" s="116">
        <f>'Dochody-ukł.wykon.'!I53</f>
        <v>14000</v>
      </c>
      <c r="F47" s="679"/>
      <c r="G47" s="491"/>
    </row>
    <row r="48" spans="1:7" ht="12.75">
      <c r="A48" s="103"/>
      <c r="B48" s="96"/>
      <c r="C48" s="97" t="s">
        <v>57</v>
      </c>
      <c r="D48" s="114" t="s">
        <v>58</v>
      </c>
      <c r="E48" s="116"/>
      <c r="F48" s="679">
        <f>'WYDATKI ukł.wyk.'!G84</f>
        <v>14000</v>
      </c>
      <c r="G48" s="491"/>
    </row>
    <row r="49" spans="1:7" ht="12.75">
      <c r="A49" s="103"/>
      <c r="B49" s="96"/>
      <c r="C49" s="97"/>
      <c r="D49" s="114"/>
      <c r="E49" s="116"/>
      <c r="F49" s="679"/>
      <c r="G49" s="491"/>
    </row>
    <row r="50" spans="1:7" ht="12.75">
      <c r="A50" s="103"/>
      <c r="B50" s="69">
        <v>71015</v>
      </c>
      <c r="C50" s="95"/>
      <c r="D50" s="304" t="s">
        <v>101</v>
      </c>
      <c r="E50" s="303">
        <f>SUM(E51:E51)</f>
        <v>287042</v>
      </c>
      <c r="F50" s="678">
        <f>SUM(F52:F72)</f>
        <v>287042</v>
      </c>
      <c r="G50" s="491"/>
    </row>
    <row r="51" spans="1:7" ht="12.75">
      <c r="A51" s="103"/>
      <c r="B51" s="96"/>
      <c r="C51" s="263">
        <v>2110</v>
      </c>
      <c r="D51" s="114" t="s">
        <v>293</v>
      </c>
      <c r="E51" s="116">
        <f>'Dochody-ukł.wykon.'!I57</f>
        <v>287042</v>
      </c>
      <c r="F51" s="679"/>
      <c r="G51" s="491"/>
    </row>
    <row r="52" spans="1:7" ht="12.75">
      <c r="A52" s="103"/>
      <c r="B52" s="96"/>
      <c r="C52" s="118">
        <v>4010</v>
      </c>
      <c r="D52" s="115" t="s">
        <v>64</v>
      </c>
      <c r="E52" s="116"/>
      <c r="F52" s="679">
        <f>'WYDATKI ukł.wyk.'!G87</f>
        <v>114174</v>
      </c>
      <c r="G52" s="491"/>
    </row>
    <row r="53" spans="1:7" ht="12.75">
      <c r="A53" s="103"/>
      <c r="B53" s="96"/>
      <c r="C53" s="118">
        <v>4020</v>
      </c>
      <c r="D53" s="115" t="s">
        <v>653</v>
      </c>
      <c r="E53" s="116"/>
      <c r="F53" s="679">
        <f>'WYDATKI ukł.wyk.'!G88</f>
        <v>65064</v>
      </c>
      <c r="G53" s="491"/>
    </row>
    <row r="54" spans="1:7" ht="12.75">
      <c r="A54" s="103"/>
      <c r="B54" s="96"/>
      <c r="C54" s="118">
        <v>4040</v>
      </c>
      <c r="D54" s="115" t="s">
        <v>65</v>
      </c>
      <c r="E54" s="116"/>
      <c r="F54" s="679">
        <f>'WYDATKI ukł.wyk.'!G89</f>
        <v>10268</v>
      </c>
      <c r="G54" s="491"/>
    </row>
    <row r="55" spans="1:7" ht="12.75">
      <c r="A55" s="103"/>
      <c r="B55" s="96"/>
      <c r="C55" s="118">
        <v>4110</v>
      </c>
      <c r="D55" s="115" t="s">
        <v>66</v>
      </c>
      <c r="E55" s="116"/>
      <c r="F55" s="679">
        <f>'WYDATKI ukł.wyk.'!G90</f>
        <v>34225</v>
      </c>
      <c r="G55" s="491"/>
    </row>
    <row r="56" spans="1:7" ht="12.75">
      <c r="A56" s="103"/>
      <c r="B56" s="96"/>
      <c r="C56" s="118">
        <v>4120</v>
      </c>
      <c r="D56" s="115" t="s">
        <v>294</v>
      </c>
      <c r="E56" s="116"/>
      <c r="F56" s="679">
        <f>'WYDATKI ukł.wyk.'!G91</f>
        <v>4643</v>
      </c>
      <c r="G56" s="491"/>
    </row>
    <row r="57" spans="1:7" ht="12.75">
      <c r="A57" s="103"/>
      <c r="B57" s="96"/>
      <c r="C57" s="118">
        <v>4170</v>
      </c>
      <c r="D57" s="115" t="s">
        <v>68</v>
      </c>
      <c r="E57" s="116"/>
      <c r="F57" s="679">
        <f>'WYDATKI ukł.wyk.'!G92</f>
        <v>3000</v>
      </c>
      <c r="G57" s="491"/>
    </row>
    <row r="58" spans="1:7" ht="12.75">
      <c r="A58" s="103"/>
      <c r="B58" s="96"/>
      <c r="C58" s="118">
        <v>4210</v>
      </c>
      <c r="D58" s="115" t="s">
        <v>69</v>
      </c>
      <c r="E58" s="116"/>
      <c r="F58" s="679">
        <f>'WYDATKI ukł.wyk.'!G93</f>
        <v>10568</v>
      </c>
      <c r="G58" s="491"/>
    </row>
    <row r="59" spans="1:7" ht="12.75">
      <c r="A59" s="103"/>
      <c r="B59" s="96"/>
      <c r="C59" s="96">
        <v>4270</v>
      </c>
      <c r="D59" s="115" t="s">
        <v>71</v>
      </c>
      <c r="E59" s="116"/>
      <c r="F59" s="679">
        <f>'WYDATKI ukł.wyk.'!G94</f>
        <v>2000</v>
      </c>
      <c r="G59" s="491"/>
    </row>
    <row r="60" spans="1:7" ht="12.75">
      <c r="A60" s="103"/>
      <c r="B60" s="96"/>
      <c r="C60" s="118">
        <v>4280</v>
      </c>
      <c r="D60" s="115" t="s">
        <v>72</v>
      </c>
      <c r="E60" s="116"/>
      <c r="F60" s="679">
        <f>'WYDATKI ukł.wyk.'!G95</f>
        <v>300</v>
      </c>
      <c r="G60" s="491"/>
    </row>
    <row r="61" spans="1:7" ht="12.75">
      <c r="A61" s="103"/>
      <c r="B61" s="96"/>
      <c r="C61" s="305" t="s">
        <v>57</v>
      </c>
      <c r="D61" s="115" t="s">
        <v>58</v>
      </c>
      <c r="E61" s="116"/>
      <c r="F61" s="679">
        <f>'WYDATKI ukł.wyk.'!G96</f>
        <v>8300</v>
      </c>
      <c r="G61" s="491"/>
    </row>
    <row r="62" spans="1:7" ht="12.75">
      <c r="A62" s="103"/>
      <c r="B62" s="96"/>
      <c r="C62" s="96">
        <v>4350</v>
      </c>
      <c r="D62" s="115" t="s">
        <v>73</v>
      </c>
      <c r="E62" s="116"/>
      <c r="F62" s="679">
        <f>'WYDATKI ukł.wyk.'!G97</f>
        <v>2400</v>
      </c>
      <c r="G62" s="491"/>
    </row>
    <row r="63" spans="1:7" ht="12.75">
      <c r="A63" s="103"/>
      <c r="B63" s="96"/>
      <c r="C63" s="99">
        <v>4360</v>
      </c>
      <c r="D63" s="115" t="s">
        <v>74</v>
      </c>
      <c r="E63" s="116"/>
      <c r="F63" s="679">
        <f>'WYDATKI ukł.wyk.'!G98</f>
        <v>1200</v>
      </c>
      <c r="G63" s="491"/>
    </row>
    <row r="64" spans="1:7" ht="12.75">
      <c r="A64" s="103"/>
      <c r="B64" s="96"/>
      <c r="C64" s="96">
        <v>4370</v>
      </c>
      <c r="D64" s="115" t="s">
        <v>295</v>
      </c>
      <c r="E64" s="116"/>
      <c r="F64" s="679">
        <f>'WYDATKI ukł.wyk.'!G99</f>
        <v>5400</v>
      </c>
      <c r="G64" s="491"/>
    </row>
    <row r="65" spans="1:7" ht="12.75">
      <c r="A65" s="103"/>
      <c r="B65" s="96"/>
      <c r="C65" s="96">
        <v>4400</v>
      </c>
      <c r="D65" s="115" t="s">
        <v>102</v>
      </c>
      <c r="E65" s="116"/>
      <c r="F65" s="679">
        <f>'WYDATKI ukł.wyk.'!G100</f>
        <v>8400</v>
      </c>
      <c r="G65" s="491"/>
    </row>
    <row r="66" spans="1:7" ht="12.75">
      <c r="A66" s="103"/>
      <c r="B66" s="96"/>
      <c r="C66" s="96">
        <v>4410</v>
      </c>
      <c r="D66" s="115" t="s">
        <v>76</v>
      </c>
      <c r="E66" s="116"/>
      <c r="F66" s="679">
        <f>'WYDATKI ukł.wyk.'!G101</f>
        <v>2000</v>
      </c>
      <c r="G66" s="491"/>
    </row>
    <row r="67" spans="1:7" ht="12.75">
      <c r="A67" s="103"/>
      <c r="B67" s="96"/>
      <c r="C67" s="305" t="s">
        <v>296</v>
      </c>
      <c r="D67" s="115" t="s">
        <v>77</v>
      </c>
      <c r="E67" s="116"/>
      <c r="F67" s="679">
        <f>'WYDATKI ukł.wyk.'!G102</f>
        <v>2500</v>
      </c>
      <c r="G67" s="491"/>
    </row>
    <row r="68" spans="1:7" ht="12.75">
      <c r="A68" s="103"/>
      <c r="B68" s="96"/>
      <c r="C68" s="305" t="s">
        <v>297</v>
      </c>
      <c r="D68" s="115" t="s">
        <v>298</v>
      </c>
      <c r="E68" s="116"/>
      <c r="F68" s="679">
        <f>'WYDATKI ukł.wyk.'!G103</f>
        <v>4500</v>
      </c>
      <c r="G68" s="491"/>
    </row>
    <row r="69" spans="1:7" ht="12.75">
      <c r="A69" s="103"/>
      <c r="B69" s="96"/>
      <c r="C69" s="127" t="s">
        <v>483</v>
      </c>
      <c r="D69" s="115" t="s">
        <v>482</v>
      </c>
      <c r="E69" s="116"/>
      <c r="F69" s="679">
        <f>'WYDATKI ukł.wyk.'!G104</f>
        <v>1200</v>
      </c>
      <c r="G69" s="491"/>
    </row>
    <row r="70" spans="1:7" ht="12.75">
      <c r="A70" s="103"/>
      <c r="B70" s="96"/>
      <c r="C70" s="127" t="s">
        <v>96</v>
      </c>
      <c r="D70" s="115" t="s">
        <v>97</v>
      </c>
      <c r="E70" s="116"/>
      <c r="F70" s="679">
        <f>'WYDATKI ukł.wyk.'!G105</f>
        <v>1200</v>
      </c>
      <c r="G70" s="491"/>
    </row>
    <row r="71" spans="1:7" ht="12.75">
      <c r="A71" s="103"/>
      <c r="B71" s="96"/>
      <c r="C71" s="127" t="s">
        <v>304</v>
      </c>
      <c r="D71" s="114" t="s">
        <v>305</v>
      </c>
      <c r="E71" s="116"/>
      <c r="F71" s="679">
        <f>'WYDATKI ukł.wyk.'!G106</f>
        <v>2000</v>
      </c>
      <c r="G71" s="491"/>
    </row>
    <row r="72" spans="1:7" ht="12.75">
      <c r="A72" s="103"/>
      <c r="B72" s="96"/>
      <c r="C72" s="127" t="s">
        <v>306</v>
      </c>
      <c r="D72" s="115" t="s">
        <v>107</v>
      </c>
      <c r="E72" s="116"/>
      <c r="F72" s="679">
        <f>'WYDATKI ukł.wyk.'!G107</f>
        <v>3700</v>
      </c>
      <c r="G72" s="491"/>
    </row>
    <row r="73" spans="1:7" ht="12.75">
      <c r="A73" s="94"/>
      <c r="B73" s="104"/>
      <c r="C73" s="99"/>
      <c r="D73" s="114"/>
      <c r="E73" s="116"/>
      <c r="F73" s="679"/>
      <c r="G73" s="491"/>
    </row>
    <row r="74" spans="1:7" ht="13.5" thickBot="1">
      <c r="A74" s="68">
        <v>750</v>
      </c>
      <c r="B74" s="92"/>
      <c r="C74" s="92"/>
      <c r="D74" s="122" t="s">
        <v>104</v>
      </c>
      <c r="E74" s="301">
        <f>E75+E95</f>
        <v>171533</v>
      </c>
      <c r="F74" s="677">
        <f>F75+F95</f>
        <v>171533</v>
      </c>
      <c r="G74" s="491"/>
    </row>
    <row r="75" spans="1:7" ht="12.75">
      <c r="A75" s="103"/>
      <c r="B75" s="69">
        <v>75011</v>
      </c>
      <c r="C75" s="95"/>
      <c r="D75" s="304" t="s">
        <v>105</v>
      </c>
      <c r="E75" s="303">
        <f>E76</f>
        <v>154533</v>
      </c>
      <c r="F75" s="678">
        <f>SUM(F77:F94)</f>
        <v>154533</v>
      </c>
      <c r="G75" s="491"/>
    </row>
    <row r="76" spans="1:7" ht="12.75">
      <c r="A76" s="103"/>
      <c r="B76" s="96"/>
      <c r="C76" s="96">
        <v>2110</v>
      </c>
      <c r="D76" s="114" t="s">
        <v>293</v>
      </c>
      <c r="E76" s="116">
        <f>'Dochody-ukł.wykon.'!I62</f>
        <v>154533</v>
      </c>
      <c r="F76" s="679"/>
      <c r="G76" s="491"/>
    </row>
    <row r="77" spans="1:7" ht="12.75">
      <c r="A77" s="103"/>
      <c r="B77" s="96"/>
      <c r="C77" s="118">
        <v>3020</v>
      </c>
      <c r="D77" s="102" t="s">
        <v>169</v>
      </c>
      <c r="E77" s="113"/>
      <c r="F77" s="680">
        <v>481</v>
      </c>
      <c r="G77" s="491"/>
    </row>
    <row r="78" spans="1:7" ht="12.75">
      <c r="A78" s="103"/>
      <c r="B78" s="96"/>
      <c r="C78" s="118">
        <v>4010</v>
      </c>
      <c r="D78" s="115" t="s">
        <v>64</v>
      </c>
      <c r="E78" s="116"/>
      <c r="F78" s="680">
        <v>81499</v>
      </c>
      <c r="G78" s="491"/>
    </row>
    <row r="79" spans="1:7" ht="12.75">
      <c r="A79" s="103"/>
      <c r="B79" s="96"/>
      <c r="C79" s="118">
        <v>4040</v>
      </c>
      <c r="D79" s="115" t="s">
        <v>65</v>
      </c>
      <c r="E79" s="116"/>
      <c r="F79" s="680">
        <v>14231</v>
      </c>
      <c r="G79" s="491"/>
    </row>
    <row r="80" spans="1:7" ht="12.75">
      <c r="A80" s="103"/>
      <c r="B80" s="96"/>
      <c r="C80" s="118">
        <v>4110</v>
      </c>
      <c r="D80" s="115" t="s">
        <v>66</v>
      </c>
      <c r="E80" s="116"/>
      <c r="F80" s="680">
        <v>17659</v>
      </c>
      <c r="G80" s="491"/>
    </row>
    <row r="81" spans="1:7" ht="12.75">
      <c r="A81" s="103"/>
      <c r="B81" s="96"/>
      <c r="C81" s="118">
        <v>4120</v>
      </c>
      <c r="D81" s="115" t="s">
        <v>67</v>
      </c>
      <c r="E81" s="116"/>
      <c r="F81" s="680">
        <v>2832</v>
      </c>
      <c r="G81" s="491"/>
    </row>
    <row r="82" spans="1:7" ht="12.75">
      <c r="A82" s="103"/>
      <c r="B82" s="96"/>
      <c r="C82" s="118">
        <v>4170</v>
      </c>
      <c r="D82" s="115" t="s">
        <v>68</v>
      </c>
      <c r="E82" s="116"/>
      <c r="F82" s="680">
        <v>5640</v>
      </c>
      <c r="G82" s="491"/>
    </row>
    <row r="83" spans="1:7" ht="12.75">
      <c r="A83" s="103"/>
      <c r="B83" s="96"/>
      <c r="C83" s="118">
        <v>4210</v>
      </c>
      <c r="D83" s="115" t="s">
        <v>69</v>
      </c>
      <c r="E83" s="116"/>
      <c r="F83" s="680">
        <v>2214</v>
      </c>
      <c r="G83" s="491"/>
    </row>
    <row r="84" spans="1:7" ht="12.75">
      <c r="A84" s="103"/>
      <c r="B84" s="96"/>
      <c r="C84" s="118">
        <v>4260</v>
      </c>
      <c r="D84" s="115" t="s">
        <v>70</v>
      </c>
      <c r="E84" s="116"/>
      <c r="F84" s="680">
        <v>5000</v>
      </c>
      <c r="G84" s="491"/>
    </row>
    <row r="85" spans="1:7" ht="12.75">
      <c r="A85" s="103"/>
      <c r="B85" s="96"/>
      <c r="C85" s="118">
        <v>4270</v>
      </c>
      <c r="D85" s="115" t="s">
        <v>71</v>
      </c>
      <c r="E85" s="116"/>
      <c r="F85" s="680">
        <v>2000</v>
      </c>
      <c r="G85" s="491"/>
    </row>
    <row r="86" spans="1:7" ht="12.75">
      <c r="A86" s="103"/>
      <c r="B86" s="96"/>
      <c r="C86" s="118">
        <v>4280</v>
      </c>
      <c r="D86" s="115" t="s">
        <v>72</v>
      </c>
      <c r="E86" s="116"/>
      <c r="F86" s="680">
        <v>310</v>
      </c>
      <c r="G86" s="491"/>
    </row>
    <row r="87" spans="1:7" ht="12.75">
      <c r="A87" s="103"/>
      <c r="B87" s="96"/>
      <c r="C87" s="305" t="s">
        <v>57</v>
      </c>
      <c r="D87" s="115" t="s">
        <v>58</v>
      </c>
      <c r="E87" s="116"/>
      <c r="F87" s="680">
        <v>4341</v>
      </c>
      <c r="G87" s="491"/>
    </row>
    <row r="88" spans="1:7" ht="12.75">
      <c r="A88" s="103"/>
      <c r="B88" s="96"/>
      <c r="C88" s="305" t="s">
        <v>299</v>
      </c>
      <c r="D88" s="115" t="s">
        <v>73</v>
      </c>
      <c r="E88" s="116"/>
      <c r="F88" s="680">
        <v>4248</v>
      </c>
      <c r="G88" s="491"/>
    </row>
    <row r="89" spans="1:7" ht="12.75">
      <c r="A89" s="103"/>
      <c r="B89" s="96"/>
      <c r="C89" s="305" t="s">
        <v>300</v>
      </c>
      <c r="D89" s="115" t="s">
        <v>301</v>
      </c>
      <c r="E89" s="116"/>
      <c r="F89" s="680">
        <v>3547</v>
      </c>
      <c r="G89" s="491"/>
    </row>
    <row r="90" spans="1:7" ht="12.75">
      <c r="A90" s="103"/>
      <c r="B90" s="96"/>
      <c r="C90" s="305" t="s">
        <v>302</v>
      </c>
      <c r="D90" s="115" t="s">
        <v>76</v>
      </c>
      <c r="E90" s="116"/>
      <c r="F90" s="680">
        <v>1500</v>
      </c>
      <c r="G90" s="491"/>
    </row>
    <row r="91" spans="1:7" ht="12.75">
      <c r="A91" s="103"/>
      <c r="B91" s="96"/>
      <c r="C91" s="305" t="s">
        <v>297</v>
      </c>
      <c r="D91" s="115" t="s">
        <v>298</v>
      </c>
      <c r="E91" s="116"/>
      <c r="F91" s="680">
        <v>5431</v>
      </c>
      <c r="G91" s="491"/>
    </row>
    <row r="92" spans="1:7" ht="12.75">
      <c r="A92" s="103"/>
      <c r="B92" s="96"/>
      <c r="C92" s="127" t="s">
        <v>96</v>
      </c>
      <c r="D92" s="114" t="s">
        <v>303</v>
      </c>
      <c r="E92" s="116"/>
      <c r="F92" s="680">
        <v>500</v>
      </c>
      <c r="G92" s="491"/>
    </row>
    <row r="93" spans="1:7" ht="12.75">
      <c r="A93" s="103"/>
      <c r="B93" s="96"/>
      <c r="C93" s="127" t="s">
        <v>304</v>
      </c>
      <c r="D93" s="114" t="s">
        <v>305</v>
      </c>
      <c r="E93" s="116"/>
      <c r="F93" s="680">
        <v>1100</v>
      </c>
      <c r="G93" s="491"/>
    </row>
    <row r="94" spans="1:7" ht="12.75">
      <c r="A94" s="103"/>
      <c r="B94" s="96"/>
      <c r="C94" s="127" t="s">
        <v>306</v>
      </c>
      <c r="D94" s="114" t="s">
        <v>307</v>
      </c>
      <c r="E94" s="116"/>
      <c r="F94" s="680">
        <v>2000</v>
      </c>
      <c r="G94" s="491"/>
    </row>
    <row r="95" spans="1:7" ht="12.75">
      <c r="A95" s="103"/>
      <c r="B95" s="69">
        <v>75045</v>
      </c>
      <c r="C95" s="95"/>
      <c r="D95" s="304" t="s">
        <v>115</v>
      </c>
      <c r="E95" s="303">
        <f>E96</f>
        <v>17000</v>
      </c>
      <c r="F95" s="678">
        <f>SUM(F97:F107)</f>
        <v>17000</v>
      </c>
      <c r="G95" s="491"/>
    </row>
    <row r="96" spans="1:7" ht="12.75">
      <c r="A96" s="103"/>
      <c r="B96" s="96"/>
      <c r="C96" s="96">
        <v>2110</v>
      </c>
      <c r="D96" s="114" t="s">
        <v>293</v>
      </c>
      <c r="E96" s="116">
        <f>'Dochody-ukł.wykon.'!I77</f>
        <v>17000</v>
      </c>
      <c r="F96" s="679"/>
      <c r="G96" s="491"/>
    </row>
    <row r="97" spans="1:7" ht="12.75">
      <c r="A97" s="103"/>
      <c r="B97" s="96"/>
      <c r="C97" s="305" t="s">
        <v>308</v>
      </c>
      <c r="D97" s="115" t="s">
        <v>109</v>
      </c>
      <c r="E97" s="116"/>
      <c r="F97" s="679">
        <f>'WYDATKI ukł.wyk.'!G166</f>
        <v>1330</v>
      </c>
      <c r="G97" s="491"/>
    </row>
    <row r="98" spans="1:7" ht="12.75">
      <c r="A98" s="103"/>
      <c r="B98" s="96"/>
      <c r="C98" s="118">
        <v>4110</v>
      </c>
      <c r="D98" s="115" t="s">
        <v>66</v>
      </c>
      <c r="E98" s="116"/>
      <c r="F98" s="679">
        <f>'WYDATKI ukł.wyk.'!G167</f>
        <v>1150</v>
      </c>
      <c r="G98" s="491"/>
    </row>
    <row r="99" spans="1:7" ht="12.75">
      <c r="A99" s="103"/>
      <c r="B99" s="96"/>
      <c r="C99" s="118">
        <v>4120</v>
      </c>
      <c r="D99" s="115" t="s">
        <v>294</v>
      </c>
      <c r="E99" s="116"/>
      <c r="F99" s="679">
        <f>'WYDATKI ukł.wyk.'!G168</f>
        <v>170</v>
      </c>
      <c r="G99" s="491"/>
    </row>
    <row r="100" spans="1:7" ht="12.75">
      <c r="A100" s="103"/>
      <c r="B100" s="96"/>
      <c r="C100" s="118">
        <v>4170</v>
      </c>
      <c r="D100" s="115" t="s">
        <v>68</v>
      </c>
      <c r="E100" s="116"/>
      <c r="F100" s="679">
        <f>'WYDATKI ukł.wyk.'!G169</f>
        <v>7300</v>
      </c>
      <c r="G100" s="491"/>
    </row>
    <row r="101" spans="1:7" ht="12.75">
      <c r="A101" s="103"/>
      <c r="B101" s="96"/>
      <c r="C101" s="118">
        <v>4210</v>
      </c>
      <c r="D101" s="115" t="s">
        <v>69</v>
      </c>
      <c r="E101" s="116"/>
      <c r="F101" s="679">
        <f>'WYDATKI ukł.wyk.'!G170</f>
        <v>1900</v>
      </c>
      <c r="G101" s="491"/>
    </row>
    <row r="102" spans="1:7" ht="12.75">
      <c r="A102" s="103"/>
      <c r="B102" s="96"/>
      <c r="C102" s="127" t="s">
        <v>57</v>
      </c>
      <c r="D102" s="115" t="s">
        <v>58</v>
      </c>
      <c r="E102" s="116"/>
      <c r="F102" s="679">
        <f>'WYDATKI ukł.wyk.'!G171</f>
        <v>950</v>
      </c>
      <c r="G102" s="491"/>
    </row>
    <row r="103" spans="1:7" ht="12.75">
      <c r="A103" s="103"/>
      <c r="B103" s="96"/>
      <c r="C103" s="96">
        <v>4370</v>
      </c>
      <c r="D103" s="115" t="s">
        <v>309</v>
      </c>
      <c r="E103" s="116"/>
      <c r="F103" s="679">
        <f>'WYDATKI ukł.wyk.'!G172</f>
        <v>300</v>
      </c>
      <c r="G103" s="491"/>
    </row>
    <row r="104" spans="1:7" ht="12.75">
      <c r="A104" s="103"/>
      <c r="B104" s="96"/>
      <c r="C104" s="467">
        <v>4400</v>
      </c>
      <c r="D104" s="115" t="s">
        <v>457</v>
      </c>
      <c r="E104" s="116"/>
      <c r="F104" s="679">
        <f>'WYDATKI ukł.wyk.'!G173</f>
        <v>2400</v>
      </c>
      <c r="G104" s="491"/>
    </row>
    <row r="105" spans="1:7" ht="12.75">
      <c r="A105" s="103"/>
      <c r="B105" s="96"/>
      <c r="C105" s="127" t="s">
        <v>302</v>
      </c>
      <c r="D105" s="115" t="s">
        <v>76</v>
      </c>
      <c r="E105" s="116"/>
      <c r="F105" s="679">
        <f>'WYDATKI ukł.wyk.'!G174</f>
        <v>300</v>
      </c>
      <c r="G105" s="491"/>
    </row>
    <row r="106" spans="1:7" ht="12.75">
      <c r="A106" s="103"/>
      <c r="B106" s="96"/>
      <c r="C106" s="96">
        <v>4740</v>
      </c>
      <c r="D106" s="115" t="s">
        <v>310</v>
      </c>
      <c r="E106" s="116"/>
      <c r="F106" s="679">
        <f>'WYDATKI ukł.wyk.'!G175</f>
        <v>300</v>
      </c>
      <c r="G106" s="491"/>
    </row>
    <row r="107" spans="1:7" ht="12.75">
      <c r="A107" s="103"/>
      <c r="B107" s="96"/>
      <c r="C107" s="96">
        <v>4750</v>
      </c>
      <c r="D107" s="115" t="s">
        <v>307</v>
      </c>
      <c r="E107" s="116"/>
      <c r="F107" s="679">
        <f>'WYDATKI ukł.wyk.'!G176</f>
        <v>900</v>
      </c>
      <c r="G107" s="491"/>
    </row>
    <row r="108" spans="1:7" ht="12.75">
      <c r="A108" s="103"/>
      <c r="B108" s="96"/>
      <c r="C108" s="127"/>
      <c r="D108" s="115"/>
      <c r="E108" s="116"/>
      <c r="F108" s="679"/>
      <c r="G108" s="491"/>
    </row>
    <row r="109" spans="1:7" ht="13.5" thickBot="1">
      <c r="A109" s="68">
        <v>851</v>
      </c>
      <c r="B109" s="117"/>
      <c r="C109" s="92"/>
      <c r="D109" s="75" t="s">
        <v>133</v>
      </c>
      <c r="E109" s="301">
        <f>E110</f>
        <v>95000</v>
      </c>
      <c r="F109" s="677">
        <f>F110</f>
        <v>95000</v>
      </c>
      <c r="G109" s="491"/>
    </row>
    <row r="110" spans="1:7" ht="12.75">
      <c r="A110" s="103"/>
      <c r="B110" s="69">
        <v>85156</v>
      </c>
      <c r="C110" s="95"/>
      <c r="D110" s="119" t="s">
        <v>311</v>
      </c>
      <c r="E110" s="303">
        <f>E111</f>
        <v>95000</v>
      </c>
      <c r="F110" s="678">
        <f>SUM(F112)</f>
        <v>95000</v>
      </c>
      <c r="G110" s="491"/>
    </row>
    <row r="111" spans="1:7" ht="12.75">
      <c r="A111" s="103"/>
      <c r="B111" s="99"/>
      <c r="C111" s="96">
        <v>2110</v>
      </c>
      <c r="D111" s="114" t="s">
        <v>293</v>
      </c>
      <c r="E111" s="116">
        <f>'Dochody-ukł.wykon.'!I127</f>
        <v>95000</v>
      </c>
      <c r="F111" s="679"/>
      <c r="G111" s="491"/>
    </row>
    <row r="112" spans="1:7" ht="12.75">
      <c r="A112" s="103"/>
      <c r="B112" s="96"/>
      <c r="C112" s="96">
        <v>4130</v>
      </c>
      <c r="D112" s="114" t="s">
        <v>138</v>
      </c>
      <c r="E112" s="116"/>
      <c r="F112" s="679">
        <f>'WYDATKI ukł.wyk.'!G320</f>
        <v>95000</v>
      </c>
      <c r="G112" s="491"/>
    </row>
    <row r="113" spans="1:7" ht="12.75">
      <c r="A113" s="103"/>
      <c r="B113" s="96"/>
      <c r="C113" s="96"/>
      <c r="D113" s="114"/>
      <c r="E113" s="116"/>
      <c r="F113" s="679"/>
      <c r="G113" s="491"/>
    </row>
    <row r="114" spans="1:7" ht="13.5" thickBot="1">
      <c r="A114" s="68">
        <v>852</v>
      </c>
      <c r="B114" s="92"/>
      <c r="C114" s="92"/>
      <c r="D114" s="122" t="s">
        <v>139</v>
      </c>
      <c r="E114" s="307">
        <f>E115+E140</f>
        <v>349000</v>
      </c>
      <c r="F114" s="677">
        <f>F115+F140</f>
        <v>349000</v>
      </c>
      <c r="G114" s="491"/>
    </row>
    <row r="115" spans="1:7" ht="12.75">
      <c r="A115" s="103"/>
      <c r="B115" s="110">
        <v>85203</v>
      </c>
      <c r="C115" s="111"/>
      <c r="D115" s="76" t="s">
        <v>146</v>
      </c>
      <c r="E115" s="308">
        <f>E116</f>
        <v>340000</v>
      </c>
      <c r="F115" s="681">
        <f>SUM(F117:F138)</f>
        <v>340000</v>
      </c>
      <c r="G115" s="491"/>
    </row>
    <row r="116" spans="1:7" ht="12.75">
      <c r="A116" s="103"/>
      <c r="B116" s="96"/>
      <c r="C116" s="96">
        <v>2110</v>
      </c>
      <c r="D116" s="115" t="s">
        <v>293</v>
      </c>
      <c r="E116" s="116">
        <f>'Dochody-ukł.wykon.'!I146</f>
        <v>340000</v>
      </c>
      <c r="F116" s="679"/>
      <c r="G116" s="491"/>
    </row>
    <row r="117" spans="1:7" ht="12.75">
      <c r="A117" s="103"/>
      <c r="B117" s="96"/>
      <c r="C117" s="96">
        <v>3020</v>
      </c>
      <c r="D117" s="115" t="s">
        <v>169</v>
      </c>
      <c r="E117" s="116"/>
      <c r="F117" s="679">
        <f>'WYDATKI ukł.wyk.'!G380</f>
        <v>1000</v>
      </c>
      <c r="G117" s="491"/>
    </row>
    <row r="118" spans="1:7" ht="12.75">
      <c r="A118" s="103"/>
      <c r="B118" s="96"/>
      <c r="C118" s="96">
        <v>4010</v>
      </c>
      <c r="D118" s="115" t="s">
        <v>64</v>
      </c>
      <c r="E118" s="116"/>
      <c r="F118" s="679">
        <f>'WYDATKI ukł.wyk.'!G381</f>
        <v>126732</v>
      </c>
      <c r="G118" s="491"/>
    </row>
    <row r="119" spans="1:7" ht="12.75">
      <c r="A119" s="103"/>
      <c r="B119" s="96"/>
      <c r="C119" s="96">
        <v>4040</v>
      </c>
      <c r="D119" s="115" t="s">
        <v>312</v>
      </c>
      <c r="E119" s="116"/>
      <c r="F119" s="679">
        <f>'WYDATKI ukł.wyk.'!G382</f>
        <v>10068</v>
      </c>
      <c r="G119" s="491"/>
    </row>
    <row r="120" spans="1:7" ht="12.75">
      <c r="A120" s="103"/>
      <c r="B120" s="96"/>
      <c r="C120" s="96">
        <v>4110</v>
      </c>
      <c r="D120" s="115" t="s">
        <v>66</v>
      </c>
      <c r="E120" s="116"/>
      <c r="F120" s="679">
        <f>'WYDATKI ukł.wyk.'!G383</f>
        <v>23745</v>
      </c>
      <c r="G120" s="491"/>
    </row>
    <row r="121" spans="1:7" ht="12.75">
      <c r="A121" s="103"/>
      <c r="B121" s="96"/>
      <c r="C121" s="96">
        <v>4120</v>
      </c>
      <c r="D121" s="115" t="s">
        <v>67</v>
      </c>
      <c r="E121" s="116"/>
      <c r="F121" s="679">
        <f>'WYDATKI ukł.wyk.'!G384</f>
        <v>3336</v>
      </c>
      <c r="G121" s="491"/>
    </row>
    <row r="122" spans="1:7" ht="12.75">
      <c r="A122" s="103"/>
      <c r="B122" s="96"/>
      <c r="C122" s="96">
        <v>4170</v>
      </c>
      <c r="D122" s="115" t="s">
        <v>68</v>
      </c>
      <c r="E122" s="116"/>
      <c r="F122" s="679">
        <f>'WYDATKI ukł.wyk.'!G385</f>
        <v>3000</v>
      </c>
      <c r="G122" s="491"/>
    </row>
    <row r="123" spans="1:7" ht="12.75">
      <c r="A123" s="103"/>
      <c r="B123" s="96"/>
      <c r="C123" s="96">
        <v>4210</v>
      </c>
      <c r="D123" s="115" t="s">
        <v>69</v>
      </c>
      <c r="E123" s="116"/>
      <c r="F123" s="679">
        <f>'WYDATKI ukł.wyk.'!G386</f>
        <v>83227</v>
      </c>
      <c r="G123" s="491"/>
    </row>
    <row r="124" spans="1:7" ht="12.75">
      <c r="A124" s="103"/>
      <c r="B124" s="96"/>
      <c r="C124" s="96">
        <v>4220</v>
      </c>
      <c r="D124" s="115" t="s">
        <v>142</v>
      </c>
      <c r="E124" s="116"/>
      <c r="F124" s="679">
        <f>'WYDATKI ukł.wyk.'!G387</f>
        <v>25000</v>
      </c>
      <c r="G124" s="491"/>
    </row>
    <row r="125" spans="1:7" ht="12.75">
      <c r="A125" s="103"/>
      <c r="B125" s="96"/>
      <c r="C125" s="96">
        <v>4230</v>
      </c>
      <c r="D125" s="115" t="s">
        <v>147</v>
      </c>
      <c r="E125" s="116"/>
      <c r="F125" s="679">
        <f>'WYDATKI ukł.wyk.'!G388</f>
        <v>1000</v>
      </c>
      <c r="G125" s="491"/>
    </row>
    <row r="126" spans="1:7" ht="12.75">
      <c r="A126" s="103"/>
      <c r="B126" s="96"/>
      <c r="C126" s="96">
        <v>4260</v>
      </c>
      <c r="D126" s="115" t="s">
        <v>70</v>
      </c>
      <c r="E126" s="116"/>
      <c r="F126" s="679">
        <f>'WYDATKI ukł.wyk.'!G389</f>
        <v>12500</v>
      </c>
      <c r="G126" s="491"/>
    </row>
    <row r="127" spans="1:7" ht="12.75">
      <c r="A127" s="103"/>
      <c r="B127" s="96"/>
      <c r="C127" s="96">
        <v>4270</v>
      </c>
      <c r="D127" s="115" t="s">
        <v>71</v>
      </c>
      <c r="E127" s="116"/>
      <c r="F127" s="679">
        <f>'WYDATKI ukł.wyk.'!G390</f>
        <v>20000</v>
      </c>
      <c r="G127" s="491"/>
    </row>
    <row r="128" spans="1:7" ht="12.75">
      <c r="A128" s="103"/>
      <c r="B128" s="96"/>
      <c r="C128" s="96">
        <v>4280</v>
      </c>
      <c r="D128" s="115" t="s">
        <v>72</v>
      </c>
      <c r="E128" s="116"/>
      <c r="F128" s="679">
        <f>'WYDATKI ukł.wyk.'!G391</f>
        <v>400</v>
      </c>
      <c r="G128" s="491"/>
    </row>
    <row r="129" spans="1:7" ht="12.75">
      <c r="A129" s="103"/>
      <c r="B129" s="96"/>
      <c r="C129" s="96">
        <v>4300</v>
      </c>
      <c r="D129" s="115" t="s">
        <v>58</v>
      </c>
      <c r="E129" s="116"/>
      <c r="F129" s="679">
        <f>'WYDATKI ukł.wyk.'!G392</f>
        <v>13400</v>
      </c>
      <c r="G129" s="491"/>
    </row>
    <row r="130" spans="1:7" ht="12.75">
      <c r="A130" s="103"/>
      <c r="B130" s="96"/>
      <c r="C130" s="305" t="s">
        <v>299</v>
      </c>
      <c r="D130" s="115" t="s">
        <v>73</v>
      </c>
      <c r="E130" s="116"/>
      <c r="F130" s="679">
        <f>'WYDATKI ukł.wyk.'!G393</f>
        <v>660</v>
      </c>
      <c r="G130" s="491"/>
    </row>
    <row r="131" spans="1:7" ht="12.75">
      <c r="A131" s="103"/>
      <c r="B131" s="96"/>
      <c r="C131" s="96">
        <v>4360</v>
      </c>
      <c r="D131" s="115" t="s">
        <v>74</v>
      </c>
      <c r="E131" s="116"/>
      <c r="F131" s="679">
        <f>'WYDATKI ukł.wyk.'!G394</f>
        <v>1500</v>
      </c>
      <c r="G131" s="491"/>
    </row>
    <row r="132" spans="1:7" ht="12.75">
      <c r="A132" s="103"/>
      <c r="B132" s="96"/>
      <c r="C132" s="96">
        <v>4370</v>
      </c>
      <c r="D132" s="115" t="s">
        <v>438</v>
      </c>
      <c r="E132" s="116"/>
      <c r="F132" s="679">
        <f>'WYDATKI ukł.wyk.'!G395</f>
        <v>1300</v>
      </c>
      <c r="G132" s="491"/>
    </row>
    <row r="133" spans="1:7" ht="12.75">
      <c r="A133" s="103"/>
      <c r="B133" s="96"/>
      <c r="C133" s="96">
        <v>4410</v>
      </c>
      <c r="D133" s="115" t="s">
        <v>76</v>
      </c>
      <c r="E133" s="116"/>
      <c r="F133" s="679">
        <f>'WYDATKI ukł.wyk.'!G396</f>
        <v>1500</v>
      </c>
      <c r="G133" s="491"/>
    </row>
    <row r="134" spans="1:7" ht="12.75">
      <c r="A134" s="103"/>
      <c r="B134" s="96"/>
      <c r="C134" s="96">
        <v>4430</v>
      </c>
      <c r="D134" s="115" t="s">
        <v>77</v>
      </c>
      <c r="E134" s="116"/>
      <c r="F134" s="679">
        <f>'WYDATKI ukł.wyk.'!G397</f>
        <v>2000</v>
      </c>
      <c r="G134" s="491"/>
    </row>
    <row r="135" spans="1:7" ht="12.75">
      <c r="A135" s="103"/>
      <c r="B135" s="96"/>
      <c r="C135" s="96">
        <v>4440</v>
      </c>
      <c r="D135" s="115" t="s">
        <v>78</v>
      </c>
      <c r="E135" s="116"/>
      <c r="F135" s="679">
        <f>'WYDATKI ukł.wyk.'!G398</f>
        <v>5632</v>
      </c>
      <c r="G135" s="491"/>
    </row>
    <row r="136" spans="1:7" ht="12.75">
      <c r="A136" s="103"/>
      <c r="B136" s="96"/>
      <c r="C136" s="96">
        <v>4700</v>
      </c>
      <c r="D136" s="115" t="s">
        <v>313</v>
      </c>
      <c r="E136" s="116"/>
      <c r="F136" s="679">
        <f>'WYDATKI ukł.wyk.'!G399</f>
        <v>3000</v>
      </c>
      <c r="G136" s="491"/>
    </row>
    <row r="137" spans="1:7" ht="12.75">
      <c r="A137" s="103"/>
      <c r="B137" s="96"/>
      <c r="C137" s="96">
        <v>4740</v>
      </c>
      <c r="D137" s="115" t="s">
        <v>314</v>
      </c>
      <c r="E137" s="116"/>
      <c r="F137" s="679">
        <f>'WYDATKI ukł.wyk.'!G400</f>
        <v>500</v>
      </c>
      <c r="G137" s="491"/>
    </row>
    <row r="138" spans="1:7" ht="12.75">
      <c r="A138" s="103"/>
      <c r="B138" s="96"/>
      <c r="C138" s="96">
        <v>4750</v>
      </c>
      <c r="D138" s="115" t="s">
        <v>307</v>
      </c>
      <c r="E138" s="116"/>
      <c r="F138" s="679">
        <f>'WYDATKI ukł.wyk.'!G401</f>
        <v>500</v>
      </c>
      <c r="G138" s="491"/>
    </row>
    <row r="139" spans="1:7" ht="12.75">
      <c r="A139" s="103"/>
      <c r="B139" s="96"/>
      <c r="C139" s="96"/>
      <c r="D139" s="115"/>
      <c r="E139" s="116"/>
      <c r="F139" s="679"/>
      <c r="G139" s="491"/>
    </row>
    <row r="140" spans="1:7" ht="12.75">
      <c r="A140" s="103"/>
      <c r="B140" s="69">
        <v>85218</v>
      </c>
      <c r="C140" s="95"/>
      <c r="D140" s="119" t="s">
        <v>149</v>
      </c>
      <c r="E140" s="466">
        <f>E141</f>
        <v>9000</v>
      </c>
      <c r="F140" s="678">
        <f>F142</f>
        <v>9000</v>
      </c>
      <c r="G140" s="491"/>
    </row>
    <row r="141" spans="1:7" ht="12.75">
      <c r="A141" s="103"/>
      <c r="B141" s="96"/>
      <c r="C141" s="96">
        <v>2110</v>
      </c>
      <c r="D141" s="114" t="s">
        <v>293</v>
      </c>
      <c r="E141" s="116">
        <f>'Dochody-ukł.wykon.'!I155</f>
        <v>9000</v>
      </c>
      <c r="F141" s="679"/>
      <c r="G141" s="491"/>
    </row>
    <row r="142" spans="1:7" ht="12.75">
      <c r="A142" s="103"/>
      <c r="B142" s="96"/>
      <c r="C142" s="118">
        <v>4210</v>
      </c>
      <c r="D142" s="115" t="s">
        <v>69</v>
      </c>
      <c r="E142" s="116"/>
      <c r="F142" s="679">
        <v>9000</v>
      </c>
      <c r="G142" s="491"/>
    </row>
    <row r="143" spans="1:7" ht="12.75">
      <c r="A143" s="103"/>
      <c r="B143" s="96"/>
      <c r="C143" s="96"/>
      <c r="D143" s="115"/>
      <c r="E143" s="116"/>
      <c r="F143" s="679"/>
      <c r="G143" s="491"/>
    </row>
    <row r="144" spans="1:7" ht="12.75">
      <c r="A144" s="103"/>
      <c r="B144" s="96"/>
      <c r="C144" s="97"/>
      <c r="D144" s="115"/>
      <c r="E144" s="116"/>
      <c r="F144" s="679"/>
      <c r="G144" s="491"/>
    </row>
    <row r="145" spans="1:7" ht="13.5" thickBot="1">
      <c r="A145" s="68">
        <v>853</v>
      </c>
      <c r="B145" s="92"/>
      <c r="C145" s="92"/>
      <c r="D145" s="122" t="s">
        <v>153</v>
      </c>
      <c r="E145" s="301">
        <f>E146</f>
        <v>381000</v>
      </c>
      <c r="F145" s="677">
        <f>F146</f>
        <v>381000</v>
      </c>
      <c r="G145" s="491"/>
    </row>
    <row r="146" spans="1:7" ht="12.75">
      <c r="A146" s="103"/>
      <c r="B146" s="69">
        <v>85321</v>
      </c>
      <c r="C146" s="95"/>
      <c r="D146" s="304" t="s">
        <v>268</v>
      </c>
      <c r="E146" s="303">
        <f>E147</f>
        <v>381000</v>
      </c>
      <c r="F146" s="678">
        <f>SUM(F148:F167)</f>
        <v>381000</v>
      </c>
      <c r="G146" s="491"/>
    </row>
    <row r="147" spans="1:7" ht="12.75">
      <c r="A147" s="103"/>
      <c r="B147" s="96"/>
      <c r="C147" s="96">
        <v>2110</v>
      </c>
      <c r="D147" s="114" t="s">
        <v>293</v>
      </c>
      <c r="E147" s="116">
        <f>'Dochody-ukł.wykon.'!I164</f>
        <v>381000</v>
      </c>
      <c r="F147" s="679"/>
      <c r="G147" s="491"/>
    </row>
    <row r="148" spans="1:7" ht="12.75">
      <c r="A148" s="103"/>
      <c r="B148" s="96"/>
      <c r="C148" s="118">
        <v>4010</v>
      </c>
      <c r="D148" s="115" t="s">
        <v>64</v>
      </c>
      <c r="E148" s="116"/>
      <c r="F148" s="679">
        <f>'WYDATKI ukł.wyk.'!G449</f>
        <v>97697</v>
      </c>
      <c r="G148" s="491"/>
    </row>
    <row r="149" spans="1:7" ht="12.75">
      <c r="A149" s="103"/>
      <c r="B149" s="96"/>
      <c r="C149" s="118">
        <v>4040</v>
      </c>
      <c r="D149" s="115" t="s">
        <v>65</v>
      </c>
      <c r="E149" s="116"/>
      <c r="F149" s="679">
        <f>'WYDATKI ukł.wyk.'!G450</f>
        <v>6815</v>
      </c>
      <c r="G149" s="491"/>
    </row>
    <row r="150" spans="1:7" ht="12.75">
      <c r="A150" s="103"/>
      <c r="B150" s="96"/>
      <c r="C150" s="118">
        <v>4110</v>
      </c>
      <c r="D150" s="115" t="s">
        <v>66</v>
      </c>
      <c r="E150" s="116"/>
      <c r="F150" s="679">
        <f>'WYDATKI ukł.wyk.'!G451</f>
        <v>19788</v>
      </c>
      <c r="G150" s="491"/>
    </row>
    <row r="151" spans="1:7" ht="12.75">
      <c r="A151" s="103"/>
      <c r="B151" s="96"/>
      <c r="C151" s="118">
        <v>4120</v>
      </c>
      <c r="D151" s="115" t="s">
        <v>294</v>
      </c>
      <c r="E151" s="116"/>
      <c r="F151" s="679">
        <f>'WYDATKI ukł.wyk.'!G452</f>
        <v>2747</v>
      </c>
      <c r="G151" s="491"/>
    </row>
    <row r="152" spans="1:7" ht="12.75">
      <c r="A152" s="103"/>
      <c r="B152" s="96"/>
      <c r="C152" s="118">
        <v>4170</v>
      </c>
      <c r="D152" s="115" t="s">
        <v>68</v>
      </c>
      <c r="E152" s="116"/>
      <c r="F152" s="679">
        <f>'WYDATKI ukł.wyk.'!G453</f>
        <v>60710</v>
      </c>
      <c r="G152" s="491"/>
    </row>
    <row r="153" spans="1:7" ht="12.75">
      <c r="A153" s="103"/>
      <c r="B153" s="96"/>
      <c r="C153" s="118">
        <v>4210</v>
      </c>
      <c r="D153" s="115" t="s">
        <v>69</v>
      </c>
      <c r="E153" s="116"/>
      <c r="F153" s="679">
        <f>'WYDATKI ukł.wyk.'!G454</f>
        <v>21446</v>
      </c>
      <c r="G153" s="491"/>
    </row>
    <row r="154" spans="1:7" ht="12.75">
      <c r="A154" s="103"/>
      <c r="B154" s="96"/>
      <c r="C154" s="118">
        <v>4260</v>
      </c>
      <c r="D154" s="115" t="s">
        <v>70</v>
      </c>
      <c r="E154" s="116"/>
      <c r="F154" s="679">
        <f>'WYDATKI ukł.wyk.'!G455</f>
        <v>11640</v>
      </c>
      <c r="G154" s="491"/>
    </row>
    <row r="155" spans="1:7" ht="12.75">
      <c r="A155" s="103"/>
      <c r="B155" s="96"/>
      <c r="C155" s="118">
        <v>4270</v>
      </c>
      <c r="D155" s="115" t="s">
        <v>71</v>
      </c>
      <c r="E155" s="116"/>
      <c r="F155" s="679">
        <f>'WYDATKI ukł.wyk.'!G456</f>
        <v>2254</v>
      </c>
      <c r="G155" s="491"/>
    </row>
    <row r="156" spans="1:7" ht="12.75">
      <c r="A156" s="103"/>
      <c r="B156" s="96"/>
      <c r="C156" s="118">
        <v>4280</v>
      </c>
      <c r="D156" s="115" t="s">
        <v>72</v>
      </c>
      <c r="E156" s="116"/>
      <c r="F156" s="679">
        <f>'WYDATKI ukł.wyk.'!G457</f>
        <v>100</v>
      </c>
      <c r="G156" s="491"/>
    </row>
    <row r="157" spans="1:7" ht="12.75">
      <c r="A157" s="103"/>
      <c r="B157" s="96"/>
      <c r="C157" s="305" t="s">
        <v>57</v>
      </c>
      <c r="D157" s="115" t="s">
        <v>58</v>
      </c>
      <c r="E157" s="116"/>
      <c r="F157" s="679">
        <f>'WYDATKI ukł.wyk.'!G458</f>
        <v>129794</v>
      </c>
      <c r="G157" s="491"/>
    </row>
    <row r="158" spans="1:7" ht="12.75">
      <c r="A158" s="103"/>
      <c r="B158" s="96"/>
      <c r="C158" s="305" t="s">
        <v>299</v>
      </c>
      <c r="D158" s="115" t="s">
        <v>73</v>
      </c>
      <c r="E158" s="116"/>
      <c r="F158" s="679">
        <f>'WYDATKI ukł.wyk.'!G459</f>
        <v>4500</v>
      </c>
      <c r="G158" s="491"/>
    </row>
    <row r="159" spans="1:7" ht="12.75">
      <c r="A159" s="103"/>
      <c r="B159" s="96"/>
      <c r="C159" s="96">
        <v>4370</v>
      </c>
      <c r="D159" s="115" t="s">
        <v>301</v>
      </c>
      <c r="E159" s="116"/>
      <c r="F159" s="679">
        <f>'WYDATKI ukł.wyk.'!G460</f>
        <v>6000</v>
      </c>
      <c r="G159" s="491"/>
    </row>
    <row r="160" spans="1:7" ht="12.75">
      <c r="A160" s="103"/>
      <c r="B160" s="96"/>
      <c r="C160" s="118">
        <v>4410</v>
      </c>
      <c r="D160" s="115" t="s">
        <v>76</v>
      </c>
      <c r="E160" s="116"/>
      <c r="F160" s="679">
        <f>'WYDATKI ukł.wyk.'!G461</f>
        <v>3000</v>
      </c>
      <c r="G160" s="491"/>
    </row>
    <row r="161" spans="1:7" ht="12.75">
      <c r="A161" s="103"/>
      <c r="B161" s="96"/>
      <c r="C161" s="96">
        <v>4430</v>
      </c>
      <c r="D161" s="115" t="s">
        <v>77</v>
      </c>
      <c r="E161" s="116"/>
      <c r="F161" s="679">
        <f>'WYDATKI ukł.wyk.'!G462</f>
        <v>700</v>
      </c>
      <c r="G161" s="491"/>
    </row>
    <row r="162" spans="1:7" ht="12.75">
      <c r="A162" s="103"/>
      <c r="B162" s="96"/>
      <c r="C162" s="305" t="s">
        <v>297</v>
      </c>
      <c r="D162" s="115" t="s">
        <v>298</v>
      </c>
      <c r="E162" s="116"/>
      <c r="F162" s="679">
        <f>'WYDATKI ukł.wyk.'!G463</f>
        <v>2897</v>
      </c>
      <c r="G162" s="491"/>
    </row>
    <row r="163" spans="1:7" ht="12.75">
      <c r="A163" s="103"/>
      <c r="B163" s="96"/>
      <c r="C163" s="305" t="s">
        <v>95</v>
      </c>
      <c r="D163" s="115" t="s">
        <v>79</v>
      </c>
      <c r="E163" s="116"/>
      <c r="F163" s="679">
        <f>'WYDATKI ukł.wyk.'!G464</f>
        <v>462</v>
      </c>
      <c r="G163" s="491"/>
    </row>
    <row r="164" spans="1:7" ht="12.75">
      <c r="A164" s="103"/>
      <c r="B164" s="96"/>
      <c r="C164" s="305" t="s">
        <v>443</v>
      </c>
      <c r="D164" s="115" t="s">
        <v>81</v>
      </c>
      <c r="E164" s="116"/>
      <c r="F164" s="679">
        <f>'WYDATKI ukł.wyk.'!G465</f>
        <v>150</v>
      </c>
      <c r="G164" s="491"/>
    </row>
    <row r="165" spans="1:7" ht="12.75">
      <c r="A165" s="103"/>
      <c r="B165" s="96"/>
      <c r="C165" s="96">
        <v>4700</v>
      </c>
      <c r="D165" s="115" t="s">
        <v>313</v>
      </c>
      <c r="E165" s="116"/>
      <c r="F165" s="679">
        <f>'WYDATKI ukł.wyk.'!G466</f>
        <v>2000</v>
      </c>
      <c r="G165" s="491"/>
    </row>
    <row r="166" spans="1:7" ht="12.75">
      <c r="A166" s="103"/>
      <c r="B166" s="96"/>
      <c r="C166" s="96">
        <v>4740</v>
      </c>
      <c r="D166" s="115" t="s">
        <v>314</v>
      </c>
      <c r="E166" s="116"/>
      <c r="F166" s="679">
        <f>'WYDATKI ukł.wyk.'!G467</f>
        <v>2500</v>
      </c>
      <c r="G166" s="491"/>
    </row>
    <row r="167" spans="1:7" ht="12.75">
      <c r="A167" s="103"/>
      <c r="B167" s="96"/>
      <c r="C167" s="96">
        <v>4750</v>
      </c>
      <c r="D167" s="115" t="s">
        <v>307</v>
      </c>
      <c r="E167" s="116"/>
      <c r="F167" s="679">
        <f>'WYDATKI ukł.wyk.'!G468</f>
        <v>5800</v>
      </c>
      <c r="G167" s="491"/>
    </row>
    <row r="168" spans="1:7" ht="13.5" thickBot="1">
      <c r="A168" s="309"/>
      <c r="B168" s="310"/>
      <c r="C168" s="311"/>
      <c r="D168" s="312"/>
      <c r="E168" s="313"/>
      <c r="F168" s="682"/>
      <c r="G168" s="674"/>
    </row>
    <row r="169" spans="1:7" ht="13.5" customHeight="1" thickBot="1">
      <c r="A169" s="81"/>
      <c r="B169" s="81"/>
      <c r="C169" s="81"/>
      <c r="D169" s="314" t="s">
        <v>315</v>
      </c>
      <c r="E169" s="315">
        <f>E145+E114+E109+E74+E40+E27+E19</f>
        <v>1409575</v>
      </c>
      <c r="F169" s="316">
        <f>F145+F114+F109+F74+F40+F27+F19</f>
        <v>1409575</v>
      </c>
      <c r="G169" s="316">
        <f>G145+G114+G109+G74+G40+G27+G19</f>
        <v>286000</v>
      </c>
    </row>
    <row r="170" spans="1:6" ht="13.5" customHeight="1">
      <c r="A170" s="81"/>
      <c r="B170" s="81"/>
      <c r="C170" s="81"/>
      <c r="D170" s="317" t="s">
        <v>316</v>
      </c>
      <c r="E170" s="318"/>
      <c r="F170" s="319">
        <f>F146+F140+F115+F110+F95+F75+F50+F46+F41+F28+F20</f>
        <v>1409575</v>
      </c>
    </row>
    <row r="171" spans="1:6" ht="13.5" customHeight="1">
      <c r="A171" s="81"/>
      <c r="B171" s="81"/>
      <c r="C171" s="81"/>
      <c r="D171" s="320" t="s">
        <v>619</v>
      </c>
      <c r="E171" s="321"/>
      <c r="F171" s="322">
        <f>F33+F52+F54+F55+F56+F57+F78+F79+F80+F81+F82+F98+F99+F100+F118+F119+F120+F121+F122+F148+F149+F150+F151+F152</f>
        <v>681158</v>
      </c>
    </row>
    <row r="172" spans="1:6" ht="13.5" customHeight="1">
      <c r="A172" s="81"/>
      <c r="B172" s="81"/>
      <c r="C172" s="81"/>
      <c r="D172" s="323" t="s">
        <v>317</v>
      </c>
      <c r="E172" s="324"/>
      <c r="F172" s="325">
        <v>0</v>
      </c>
    </row>
    <row r="173" spans="1:6" ht="13.5" customHeight="1" thickBot="1">
      <c r="A173" s="81"/>
      <c r="B173" s="81"/>
      <c r="C173" s="81"/>
      <c r="D173" s="326" t="s">
        <v>318</v>
      </c>
      <c r="E173" s="327"/>
      <c r="F173" s="328">
        <v>0</v>
      </c>
    </row>
    <row r="174" spans="1:6" ht="13.5" customHeight="1">
      <c r="A174" s="81"/>
      <c r="B174" s="81"/>
      <c r="C174" s="81"/>
      <c r="D174" s="329"/>
      <c r="E174" s="81"/>
      <c r="F174" s="81"/>
    </row>
    <row r="175" ht="13.5" customHeight="1">
      <c r="D175" s="330"/>
    </row>
    <row r="176" ht="13.5" customHeight="1">
      <c r="D176" s="330"/>
    </row>
    <row r="177" ht="13.5" customHeight="1"/>
    <row r="178" ht="13.5" customHeight="1"/>
    <row r="179" ht="13.5" customHeight="1"/>
    <row r="180" ht="13.5" customHeight="1"/>
    <row r="181" ht="13.5" customHeight="1"/>
    <row r="182" ht="10.5" customHeight="1"/>
    <row r="183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3" r:id="rId1"/>
  <rowBreaks count="1" manualBreakCount="1">
    <brk id="8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2"/>
  <sheetViews>
    <sheetView view="pageBreakPreview" zoomScale="60" zoomScalePageLayoutView="0" workbookViewId="0" topLeftCell="A1">
      <selection activeCell="F61" sqref="F61"/>
    </sheetView>
  </sheetViews>
  <sheetFormatPr defaultColWidth="9.00390625" defaultRowHeight="12.75"/>
  <cols>
    <col min="1" max="1" width="6.25390625" style="150" customWidth="1"/>
    <col min="2" max="2" width="7.125" style="150" customWidth="1"/>
    <col min="3" max="3" width="6.00390625" style="150" customWidth="1"/>
    <col min="4" max="4" width="49.00390625" style="150" customWidth="1"/>
    <col min="5" max="5" width="13.625" style="150" customWidth="1"/>
    <col min="6" max="6" width="14.00390625" style="150" customWidth="1"/>
    <col min="7" max="16384" width="9.125" style="150" customWidth="1"/>
  </cols>
  <sheetData>
    <row r="1" spans="5:6" ht="12">
      <c r="E1" s="151" t="s">
        <v>288</v>
      </c>
      <c r="F1" s="331"/>
    </row>
    <row r="2" spans="5:6" ht="12">
      <c r="E2" s="151" t="s">
        <v>319</v>
      </c>
      <c r="F2" s="331"/>
    </row>
    <row r="3" spans="4:6" ht="12">
      <c r="D3" s="152"/>
      <c r="E3" s="151" t="s">
        <v>181</v>
      </c>
      <c r="F3" s="331"/>
    </row>
    <row r="4" spans="4:6" ht="12">
      <c r="D4" s="152"/>
      <c r="E4" s="151" t="s">
        <v>665</v>
      </c>
      <c r="F4" s="331"/>
    </row>
    <row r="5" spans="4:6" ht="8.25" customHeight="1">
      <c r="D5" s="152"/>
      <c r="E5" s="151"/>
      <c r="F5" s="151"/>
    </row>
    <row r="6" spans="1:6" ht="15.75">
      <c r="A6" s="852" t="s">
        <v>320</v>
      </c>
      <c r="B6" s="852"/>
      <c r="C6" s="852"/>
      <c r="D6" s="852"/>
      <c r="E6" s="852"/>
      <c r="F6" s="852"/>
    </row>
    <row r="7" spans="1:6" ht="15.75">
      <c r="A7" s="852" t="s">
        <v>321</v>
      </c>
      <c r="B7" s="852"/>
      <c r="C7" s="852"/>
      <c r="D7" s="852"/>
      <c r="E7" s="852"/>
      <c r="F7" s="852"/>
    </row>
    <row r="8" spans="1:6" ht="12.75" customHeight="1">
      <c r="A8" s="852" t="s">
        <v>470</v>
      </c>
      <c r="B8" s="852"/>
      <c r="C8" s="852"/>
      <c r="D8" s="852"/>
      <c r="E8" s="852"/>
      <c r="F8" s="852"/>
    </row>
    <row r="9" spans="1:6" ht="8.25" customHeight="1" thickBot="1">
      <c r="A9" s="152"/>
      <c r="B9" s="152"/>
      <c r="C9" s="152"/>
      <c r="D9" s="152"/>
      <c r="E9" s="152"/>
      <c r="F9" s="153" t="s">
        <v>322</v>
      </c>
    </row>
    <row r="10" spans="1:6" ht="12.75" customHeight="1">
      <c r="A10" s="853" t="s">
        <v>183</v>
      </c>
      <c r="B10" s="854"/>
      <c r="C10" s="855"/>
      <c r="D10" s="785" t="s">
        <v>323</v>
      </c>
      <c r="E10" s="785" t="s">
        <v>432</v>
      </c>
      <c r="F10" s="861" t="s">
        <v>369</v>
      </c>
    </row>
    <row r="11" spans="1:6" ht="11.25" customHeight="1" thickBot="1">
      <c r="A11" s="859" t="s">
        <v>55</v>
      </c>
      <c r="B11" s="860" t="s">
        <v>400</v>
      </c>
      <c r="C11" s="860" t="s">
        <v>365</v>
      </c>
      <c r="D11" s="786"/>
      <c r="E11" s="786"/>
      <c r="F11" s="862"/>
    </row>
    <row r="12" spans="1:6" ht="0.75" customHeight="1" hidden="1" thickBot="1">
      <c r="A12" s="784"/>
      <c r="B12" s="787"/>
      <c r="C12" s="787"/>
      <c r="D12" s="787"/>
      <c r="E12" s="787"/>
      <c r="F12" s="863"/>
    </row>
    <row r="13" spans="1:6" ht="10.5" thickBot="1">
      <c r="A13" s="332">
        <v>1</v>
      </c>
      <c r="B13" s="333">
        <v>2</v>
      </c>
      <c r="C13" s="334">
        <v>3</v>
      </c>
      <c r="D13" s="334">
        <v>4</v>
      </c>
      <c r="E13" s="334">
        <v>5</v>
      </c>
      <c r="F13" s="335">
        <v>6</v>
      </c>
    </row>
    <row r="14" spans="1:6" ht="12" customHeight="1" thickBot="1">
      <c r="A14" s="856" t="s">
        <v>664</v>
      </c>
      <c r="B14" s="857"/>
      <c r="C14" s="857"/>
      <c r="D14" s="857"/>
      <c r="E14" s="857"/>
      <c r="F14" s="858"/>
    </row>
    <row r="15" spans="1:6" ht="12" customHeight="1" thickBot="1">
      <c r="A15" s="364">
        <v>600</v>
      </c>
      <c r="B15" s="365"/>
      <c r="C15" s="365"/>
      <c r="D15" s="369" t="s">
        <v>50</v>
      </c>
      <c r="E15" s="365"/>
      <c r="F15" s="373">
        <f>F16</f>
        <v>8423</v>
      </c>
    </row>
    <row r="16" spans="1:6" ht="12" customHeight="1">
      <c r="A16" s="366"/>
      <c r="B16" s="367">
        <v>60014</v>
      </c>
      <c r="C16" s="367"/>
      <c r="D16" s="370" t="s">
        <v>51</v>
      </c>
      <c r="E16" s="367"/>
      <c r="F16" s="372">
        <f>F17</f>
        <v>8423</v>
      </c>
    </row>
    <row r="17" spans="1:6" ht="12" customHeight="1">
      <c r="A17" s="366"/>
      <c r="B17" s="368"/>
      <c r="C17" s="368">
        <v>2310</v>
      </c>
      <c r="D17" s="352" t="s">
        <v>327</v>
      </c>
      <c r="E17" s="368"/>
      <c r="F17" s="371">
        <f>'WYDATKI ukł.wyk.'!G32</f>
        <v>8423</v>
      </c>
    </row>
    <row r="18" spans="1:6" ht="12" customHeight="1">
      <c r="A18" s="366"/>
      <c r="B18" s="368"/>
      <c r="C18" s="368"/>
      <c r="D18" s="352" t="s">
        <v>328</v>
      </c>
      <c r="E18" s="368"/>
      <c r="F18" s="423"/>
    </row>
    <row r="19" spans="1:6" ht="12" customHeight="1" thickBot="1">
      <c r="A19" s="366"/>
      <c r="B19" s="455"/>
      <c r="C19" s="455"/>
      <c r="D19" s="352"/>
      <c r="E19" s="455"/>
      <c r="F19" s="456"/>
    </row>
    <row r="20" spans="1:7" ht="12.75" thickBot="1">
      <c r="A20" s="534">
        <v>852</v>
      </c>
      <c r="B20" s="378"/>
      <c r="C20" s="535"/>
      <c r="D20" s="374" t="s">
        <v>139</v>
      </c>
      <c r="E20" s="536">
        <f>E21+E35</f>
        <v>447752</v>
      </c>
      <c r="F20" s="380">
        <f>F21+F35</f>
        <v>979316</v>
      </c>
      <c r="G20" s="154"/>
    </row>
    <row r="21" spans="1:7" ht="12">
      <c r="A21" s="344"/>
      <c r="B21" s="345">
        <v>85201</v>
      </c>
      <c r="C21" s="346"/>
      <c r="D21" s="346" t="s">
        <v>140</v>
      </c>
      <c r="E21" s="347">
        <f>E22</f>
        <v>375552</v>
      </c>
      <c r="F21" s="348">
        <f>SUM(F25:F33)</f>
        <v>837024</v>
      </c>
      <c r="G21" s="154"/>
    </row>
    <row r="22" spans="1:7" ht="12">
      <c r="A22" s="344"/>
      <c r="B22" s="349"/>
      <c r="C22" s="340">
        <v>2310</v>
      </c>
      <c r="D22" s="341" t="s">
        <v>324</v>
      </c>
      <c r="E22" s="350">
        <f>'Dochody-ukł.wykon.'!I136</f>
        <v>375552</v>
      </c>
      <c r="F22" s="351"/>
      <c r="G22" s="154"/>
    </row>
    <row r="23" spans="1:7" ht="12">
      <c r="A23" s="344"/>
      <c r="B23" s="349"/>
      <c r="C23" s="340"/>
      <c r="D23" s="352" t="s">
        <v>261</v>
      </c>
      <c r="E23" s="350"/>
      <c r="F23" s="353"/>
      <c r="G23" s="154"/>
    </row>
    <row r="24" spans="1:7" ht="12">
      <c r="A24" s="344"/>
      <c r="B24" s="349"/>
      <c r="C24" s="340">
        <v>2310</v>
      </c>
      <c r="D24" s="341" t="s">
        <v>327</v>
      </c>
      <c r="E24" s="350"/>
      <c r="F24" s="353"/>
      <c r="G24" s="154"/>
    </row>
    <row r="25" spans="1:7" ht="12">
      <c r="A25" s="344"/>
      <c r="B25" s="349"/>
      <c r="C25" s="340"/>
      <c r="D25" s="341" t="s">
        <v>328</v>
      </c>
      <c r="E25" s="350"/>
      <c r="F25" s="353">
        <f>'WYDATKI ukł.wyk.'!G324</f>
        <v>461472</v>
      </c>
      <c r="G25" s="154"/>
    </row>
    <row r="26" spans="1:7" ht="12">
      <c r="A26" s="344"/>
      <c r="B26" s="349"/>
      <c r="C26" s="340">
        <v>4010</v>
      </c>
      <c r="D26" s="341" t="s">
        <v>64</v>
      </c>
      <c r="E26" s="350"/>
      <c r="F26" s="353">
        <v>250000</v>
      </c>
      <c r="G26" s="154"/>
    </row>
    <row r="27" spans="1:7" ht="12">
      <c r="A27" s="344"/>
      <c r="B27" s="349"/>
      <c r="C27" s="340">
        <v>4110</v>
      </c>
      <c r="D27" s="341" t="s">
        <v>325</v>
      </c>
      <c r="E27" s="350"/>
      <c r="F27" s="353">
        <v>44350</v>
      </c>
      <c r="G27" s="154"/>
    </row>
    <row r="28" spans="1:7" ht="12">
      <c r="A28" s="344"/>
      <c r="B28" s="349"/>
      <c r="C28" s="340">
        <v>4120</v>
      </c>
      <c r="D28" s="352" t="s">
        <v>67</v>
      </c>
      <c r="E28" s="350"/>
      <c r="F28" s="353">
        <v>6125</v>
      </c>
      <c r="G28" s="154"/>
    </row>
    <row r="29" spans="1:7" ht="12">
      <c r="A29" s="344"/>
      <c r="B29" s="349"/>
      <c r="C29" s="340">
        <v>4210</v>
      </c>
      <c r="D29" s="341" t="s">
        <v>69</v>
      </c>
      <c r="E29" s="350"/>
      <c r="F29" s="353">
        <v>37131</v>
      </c>
      <c r="G29" s="154"/>
    </row>
    <row r="30" spans="1:7" ht="12">
      <c r="A30" s="344"/>
      <c r="B30" s="349"/>
      <c r="C30" s="340">
        <v>4240</v>
      </c>
      <c r="D30" s="341" t="s">
        <v>618</v>
      </c>
      <c r="E30" s="350"/>
      <c r="F30" s="353">
        <v>2000</v>
      </c>
      <c r="G30" s="154"/>
    </row>
    <row r="31" spans="1:7" ht="12">
      <c r="A31" s="344"/>
      <c r="B31" s="349"/>
      <c r="C31" s="340">
        <v>4260</v>
      </c>
      <c r="D31" s="341" t="s">
        <v>70</v>
      </c>
      <c r="E31" s="350"/>
      <c r="F31" s="353">
        <v>12380</v>
      </c>
      <c r="G31" s="154"/>
    </row>
    <row r="32" spans="1:7" ht="12">
      <c r="A32" s="344"/>
      <c r="B32" s="349"/>
      <c r="C32" s="340">
        <v>4300</v>
      </c>
      <c r="D32" s="341" t="s">
        <v>58</v>
      </c>
      <c r="E32" s="350"/>
      <c r="F32" s="353">
        <v>22566</v>
      </c>
      <c r="G32" s="154"/>
    </row>
    <row r="33" spans="1:7" ht="12.75">
      <c r="A33" s="344"/>
      <c r="B33" s="349"/>
      <c r="C33" s="340">
        <v>4740</v>
      </c>
      <c r="D33" s="98" t="s">
        <v>326</v>
      </c>
      <c r="E33" s="350"/>
      <c r="F33" s="353">
        <v>1000</v>
      </c>
      <c r="G33" s="154"/>
    </row>
    <row r="34" spans="1:7" ht="12">
      <c r="A34" s="344"/>
      <c r="B34" s="349"/>
      <c r="C34" s="354"/>
      <c r="D34" s="354"/>
      <c r="E34" s="355"/>
      <c r="F34" s="351"/>
      <c r="G34" s="154"/>
    </row>
    <row r="35" spans="1:6" ht="12">
      <c r="A35" s="336"/>
      <c r="B35" s="337">
        <v>85204</v>
      </c>
      <c r="C35" s="356"/>
      <c r="D35" s="356" t="s">
        <v>148</v>
      </c>
      <c r="E35" s="357">
        <f>E36</f>
        <v>72200</v>
      </c>
      <c r="F35" s="358">
        <f>F40+F38</f>
        <v>142292</v>
      </c>
    </row>
    <row r="36" spans="1:6" ht="12">
      <c r="A36" s="359"/>
      <c r="B36" s="352"/>
      <c r="C36" s="340">
        <v>2310</v>
      </c>
      <c r="D36" s="341" t="s">
        <v>324</v>
      </c>
      <c r="E36" s="350">
        <f>'Dochody-ukł.wykon.'!I150</f>
        <v>72200</v>
      </c>
      <c r="F36" s="353"/>
    </row>
    <row r="37" spans="1:6" ht="12">
      <c r="A37" s="359"/>
      <c r="B37" s="352"/>
      <c r="C37" s="340"/>
      <c r="D37" s="352" t="s">
        <v>261</v>
      </c>
      <c r="E37" s="350"/>
      <c r="F37" s="353"/>
    </row>
    <row r="38" spans="1:6" ht="12">
      <c r="A38" s="359"/>
      <c r="B38" s="352"/>
      <c r="C38" s="340">
        <v>2310</v>
      </c>
      <c r="D38" s="341" t="s">
        <v>327</v>
      </c>
      <c r="E38" s="350"/>
      <c r="F38" s="353">
        <f>'WYDATKI ukł.wyk.'!G404</f>
        <v>70092</v>
      </c>
    </row>
    <row r="39" spans="1:6" ht="12">
      <c r="A39" s="359"/>
      <c r="B39" s="352"/>
      <c r="C39" s="340"/>
      <c r="D39" s="341" t="s">
        <v>328</v>
      </c>
      <c r="E39" s="350"/>
      <c r="F39" s="353"/>
    </row>
    <row r="40" spans="1:6" ht="12">
      <c r="A40" s="359"/>
      <c r="B40" s="352"/>
      <c r="C40" s="340">
        <v>3110</v>
      </c>
      <c r="D40" s="352" t="s">
        <v>141</v>
      </c>
      <c r="E40" s="350"/>
      <c r="F40" s="353">
        <v>72200</v>
      </c>
    </row>
    <row r="41" spans="1:6" ht="12.75" thickBot="1">
      <c r="A41" s="359"/>
      <c r="B41" s="352"/>
      <c r="C41" s="340"/>
      <c r="D41" s="341"/>
      <c r="E41" s="350"/>
      <c r="F41" s="353"/>
    </row>
    <row r="42" spans="1:6" ht="13.5" thickBot="1">
      <c r="A42" s="377">
        <v>853</v>
      </c>
      <c r="B42" s="374"/>
      <c r="C42" s="378"/>
      <c r="D42" s="382" t="s">
        <v>153</v>
      </c>
      <c r="E42" s="379"/>
      <c r="F42" s="380">
        <f>F43</f>
        <v>638361</v>
      </c>
    </row>
    <row r="43" spans="1:6" ht="12">
      <c r="A43" s="359"/>
      <c r="B43" s="375">
        <v>85333</v>
      </c>
      <c r="C43" s="376"/>
      <c r="D43" s="422" t="s">
        <v>155</v>
      </c>
      <c r="E43" s="347"/>
      <c r="F43" s="348">
        <f>F44</f>
        <v>638361</v>
      </c>
    </row>
    <row r="44" spans="1:6" ht="12">
      <c r="A44" s="359"/>
      <c r="B44" s="352"/>
      <c r="C44" s="340">
        <v>2310</v>
      </c>
      <c r="D44" s="341" t="s">
        <v>327</v>
      </c>
      <c r="E44" s="350"/>
      <c r="F44" s="353">
        <f>'WYDATKI ukł.wyk.'!G471</f>
        <v>638361</v>
      </c>
    </row>
    <row r="45" spans="1:6" ht="12">
      <c r="A45" s="359"/>
      <c r="B45" s="352"/>
      <c r="C45" s="340"/>
      <c r="D45" s="341" t="s">
        <v>328</v>
      </c>
      <c r="E45" s="350"/>
      <c r="F45" s="353"/>
    </row>
    <row r="46" spans="1:6" ht="12.75" thickBot="1">
      <c r="A46" s="359"/>
      <c r="B46" s="352"/>
      <c r="C46" s="340"/>
      <c r="D46" s="151"/>
      <c r="E46" s="350"/>
      <c r="F46" s="353"/>
    </row>
    <row r="47" spans="1:6" ht="13.5" thickBot="1">
      <c r="A47" s="377">
        <v>854</v>
      </c>
      <c r="B47" s="374"/>
      <c r="C47" s="378"/>
      <c r="D47" s="382" t="s">
        <v>156</v>
      </c>
      <c r="E47" s="379"/>
      <c r="F47" s="380">
        <f>F48</f>
        <v>120000</v>
      </c>
    </row>
    <row r="48" spans="1:6" ht="12.75">
      <c r="A48" s="359"/>
      <c r="B48" s="375">
        <v>85406</v>
      </c>
      <c r="C48" s="376"/>
      <c r="D48" s="53" t="s">
        <v>158</v>
      </c>
      <c r="E48" s="347"/>
      <c r="F48" s="348">
        <f>F49</f>
        <v>120000</v>
      </c>
    </row>
    <row r="49" spans="1:6" ht="12">
      <c r="A49" s="359"/>
      <c r="B49" s="352"/>
      <c r="C49" s="340">
        <v>2310</v>
      </c>
      <c r="D49" s="341" t="s">
        <v>327</v>
      </c>
      <c r="E49" s="350"/>
      <c r="F49" s="353">
        <f>'WYDATKI ukł.wyk.'!G488</f>
        <v>120000</v>
      </c>
    </row>
    <row r="50" spans="1:6" ht="12">
      <c r="A50" s="359"/>
      <c r="B50" s="352"/>
      <c r="C50" s="340"/>
      <c r="D50" s="341" t="s">
        <v>328</v>
      </c>
      <c r="E50" s="350"/>
      <c r="F50" s="353"/>
    </row>
    <row r="51" spans="1:6" ht="12.75" thickBot="1">
      <c r="A51" s="359"/>
      <c r="B51" s="352"/>
      <c r="C51" s="340"/>
      <c r="D51" s="341"/>
      <c r="E51" s="350"/>
      <c r="F51" s="353"/>
    </row>
    <row r="52" spans="1:6" ht="13.5" thickBot="1">
      <c r="A52" s="377">
        <v>921</v>
      </c>
      <c r="B52" s="374"/>
      <c r="C52" s="378"/>
      <c r="D52" s="381" t="s">
        <v>164</v>
      </c>
      <c r="E52" s="379">
        <f>E53</f>
        <v>1000</v>
      </c>
      <c r="F52" s="380">
        <f>F53</f>
        <v>36000</v>
      </c>
    </row>
    <row r="53" spans="1:6" ht="12.75">
      <c r="A53" s="359"/>
      <c r="B53" s="375">
        <v>92116</v>
      </c>
      <c r="C53" s="376"/>
      <c r="D53" s="77" t="s">
        <v>166</v>
      </c>
      <c r="E53" s="347">
        <f>E56</f>
        <v>1000</v>
      </c>
      <c r="F53" s="348">
        <f>F54</f>
        <v>36000</v>
      </c>
    </row>
    <row r="54" spans="1:6" ht="12">
      <c r="A54" s="359"/>
      <c r="B54" s="352"/>
      <c r="C54" s="340">
        <v>2310</v>
      </c>
      <c r="D54" s="341" t="s">
        <v>327</v>
      </c>
      <c r="E54" s="350"/>
      <c r="F54" s="353">
        <f>'WYDATKI ukł.wyk.'!G569</f>
        <v>36000</v>
      </c>
    </row>
    <row r="55" spans="1:6" ht="12">
      <c r="A55" s="359"/>
      <c r="B55" s="352"/>
      <c r="C55" s="340"/>
      <c r="D55" s="341" t="s">
        <v>328</v>
      </c>
      <c r="E55" s="350"/>
      <c r="F55" s="353"/>
    </row>
    <row r="56" spans="1:6" ht="12">
      <c r="A56" s="359"/>
      <c r="B56" s="352"/>
      <c r="C56" s="339">
        <v>2330</v>
      </c>
      <c r="D56" s="109" t="s">
        <v>355</v>
      </c>
      <c r="E56" s="350">
        <f>'Dochody-ukł.wykon.'!F185</f>
        <v>1000</v>
      </c>
      <c r="F56" s="353"/>
    </row>
    <row r="57" spans="1:6" ht="12.75" thickBot="1">
      <c r="A57" s="360"/>
      <c r="B57" s="361"/>
      <c r="C57" s="343"/>
      <c r="D57" s="218" t="s">
        <v>356</v>
      </c>
      <c r="E57" s="362"/>
      <c r="F57" s="363"/>
    </row>
    <row r="58" spans="1:7" ht="13.5" thickBot="1">
      <c r="A58" s="331"/>
      <c r="B58" s="331"/>
      <c r="C58" s="331"/>
      <c r="D58" s="383" t="s">
        <v>315</v>
      </c>
      <c r="E58" s="384">
        <f>E52+E47+E42+E20</f>
        <v>448752</v>
      </c>
      <c r="F58" s="499">
        <f>F52+F47+F42+F20+F15</f>
        <v>1782100</v>
      </c>
      <c r="G58" s="331"/>
    </row>
    <row r="59" spans="1:7" ht="12.75">
      <c r="A59" s="331"/>
      <c r="B59" s="331"/>
      <c r="C59" s="331"/>
      <c r="D59" s="317" t="s">
        <v>316</v>
      </c>
      <c r="E59" s="318"/>
      <c r="F59" s="319">
        <f>F17+F25+F26+F27+F28+F29+F32+F33++F38+F40+F44+F49+F54+F31+F30</f>
        <v>1782100</v>
      </c>
      <c r="G59" s="331"/>
    </row>
    <row r="60" spans="1:7" ht="12.75">
      <c r="A60" s="331"/>
      <c r="B60" s="331"/>
      <c r="C60" s="331"/>
      <c r="D60" s="320" t="s">
        <v>619</v>
      </c>
      <c r="E60" s="321"/>
      <c r="F60" s="322">
        <f>F26+F27+F28</f>
        <v>300475</v>
      </c>
      <c r="G60" s="331"/>
    </row>
    <row r="61" spans="1:7" ht="12.75">
      <c r="A61" s="331"/>
      <c r="B61" s="331"/>
      <c r="C61" s="331"/>
      <c r="D61" s="323" t="s">
        <v>329</v>
      </c>
      <c r="E61" s="324"/>
      <c r="F61" s="385">
        <f>F17+F25+F38+F44+F49+F54</f>
        <v>1334348</v>
      </c>
      <c r="G61" s="331"/>
    </row>
    <row r="62" spans="1:7" ht="13.5" thickBot="1">
      <c r="A62" s="331"/>
      <c r="B62" s="331"/>
      <c r="C62" s="331"/>
      <c r="D62" s="326" t="s">
        <v>318</v>
      </c>
      <c r="E62" s="327"/>
      <c r="F62" s="328">
        <v>0</v>
      </c>
      <c r="G62" s="331"/>
    </row>
    <row r="63" spans="1:7" ht="12">
      <c r="A63" s="331"/>
      <c r="B63" s="331"/>
      <c r="C63" s="331"/>
      <c r="D63" s="331"/>
      <c r="E63" s="331"/>
      <c r="F63" s="331"/>
      <c r="G63" s="331"/>
    </row>
    <row r="64" spans="1:7" ht="12">
      <c r="A64" s="331"/>
      <c r="B64" s="331"/>
      <c r="C64" s="331"/>
      <c r="D64" s="331"/>
      <c r="E64" s="331"/>
      <c r="F64" s="331"/>
      <c r="G64" s="331"/>
    </row>
    <row r="65" spans="1:7" ht="12">
      <c r="A65" s="331"/>
      <c r="B65" s="331"/>
      <c r="C65" s="331"/>
      <c r="D65" s="331"/>
      <c r="E65" s="331"/>
      <c r="F65" s="331"/>
      <c r="G65" s="331"/>
    </row>
    <row r="66" spans="1:7" ht="12">
      <c r="A66" s="331"/>
      <c r="B66" s="331"/>
      <c r="C66" s="331"/>
      <c r="D66" s="331"/>
      <c r="E66" s="331"/>
      <c r="F66" s="331"/>
      <c r="G66" s="331"/>
    </row>
    <row r="67" spans="1:7" ht="12">
      <c r="A67" s="331"/>
      <c r="B67" s="331"/>
      <c r="C67" s="331"/>
      <c r="D67" s="331"/>
      <c r="E67" s="331"/>
      <c r="F67" s="331"/>
      <c r="G67" s="331"/>
    </row>
    <row r="68" spans="1:7" ht="12">
      <c r="A68" s="331"/>
      <c r="B68" s="331"/>
      <c r="C68" s="331"/>
      <c r="D68" s="331"/>
      <c r="E68" s="331"/>
      <c r="F68" s="331"/>
      <c r="G68" s="331"/>
    </row>
    <row r="69" spans="1:7" ht="12">
      <c r="A69" s="331"/>
      <c r="B69" s="331"/>
      <c r="C69" s="331"/>
      <c r="D69" s="331"/>
      <c r="E69" s="331"/>
      <c r="F69" s="331"/>
      <c r="G69" s="331"/>
    </row>
    <row r="70" spans="1:7" ht="12">
      <c r="A70" s="331"/>
      <c r="B70" s="331"/>
      <c r="C70" s="331"/>
      <c r="D70" s="331"/>
      <c r="E70" s="331"/>
      <c r="F70" s="331"/>
      <c r="G70" s="331"/>
    </row>
    <row r="71" spans="1:7" ht="12">
      <c r="A71" s="331"/>
      <c r="B71" s="331"/>
      <c r="C71" s="331"/>
      <c r="D71" s="331"/>
      <c r="E71" s="331"/>
      <c r="F71" s="331"/>
      <c r="G71" s="331"/>
    </row>
    <row r="72" spans="1:7" ht="12">
      <c r="A72" s="331"/>
      <c r="B72" s="331"/>
      <c r="C72" s="331"/>
      <c r="D72" s="331"/>
      <c r="E72" s="331"/>
      <c r="F72" s="331"/>
      <c r="G72" s="331"/>
    </row>
    <row r="73" spans="1:7" ht="12">
      <c r="A73" s="331"/>
      <c r="B73" s="331"/>
      <c r="C73" s="331"/>
      <c r="D73" s="331"/>
      <c r="E73" s="331"/>
      <c r="F73" s="331"/>
      <c r="G73" s="331"/>
    </row>
    <row r="74" spans="1:7" ht="12">
      <c r="A74" s="331"/>
      <c r="B74" s="331"/>
      <c r="C74" s="331"/>
      <c r="D74" s="331"/>
      <c r="E74" s="331"/>
      <c r="F74" s="331"/>
      <c r="G74" s="331"/>
    </row>
    <row r="75" spans="1:7" ht="12">
      <c r="A75" s="331"/>
      <c r="B75" s="331"/>
      <c r="C75" s="331"/>
      <c r="D75" s="331"/>
      <c r="E75" s="331"/>
      <c r="F75" s="331"/>
      <c r="G75" s="331"/>
    </row>
    <row r="76" spans="1:7" ht="12">
      <c r="A76" s="331"/>
      <c r="B76" s="331"/>
      <c r="C76" s="331"/>
      <c r="D76" s="331"/>
      <c r="E76" s="331"/>
      <c r="F76" s="331"/>
      <c r="G76" s="331"/>
    </row>
    <row r="77" spans="1:7" ht="12">
      <c r="A77" s="331"/>
      <c r="B77" s="331"/>
      <c r="C77" s="331"/>
      <c r="D77" s="331"/>
      <c r="E77" s="331"/>
      <c r="F77" s="331"/>
      <c r="G77" s="331"/>
    </row>
    <row r="78" spans="1:7" ht="12">
      <c r="A78" s="331"/>
      <c r="B78" s="331"/>
      <c r="C78" s="331"/>
      <c r="D78" s="331"/>
      <c r="E78" s="331"/>
      <c r="F78" s="331"/>
      <c r="G78" s="331"/>
    </row>
    <row r="79" spans="1:7" ht="12">
      <c r="A79" s="331"/>
      <c r="B79" s="331"/>
      <c r="C79" s="331"/>
      <c r="D79" s="331"/>
      <c r="E79" s="331"/>
      <c r="F79" s="331"/>
      <c r="G79" s="331"/>
    </row>
    <row r="80" spans="1:7" ht="12">
      <c r="A80" s="331"/>
      <c r="B80" s="331"/>
      <c r="C80" s="331"/>
      <c r="D80" s="331"/>
      <c r="E80" s="331"/>
      <c r="F80" s="331"/>
      <c r="G80" s="331"/>
    </row>
    <row r="81" spans="1:7" ht="12">
      <c r="A81" s="331"/>
      <c r="B81" s="331"/>
      <c r="C81" s="331"/>
      <c r="D81" s="331"/>
      <c r="E81" s="331"/>
      <c r="F81" s="331"/>
      <c r="G81" s="331"/>
    </row>
    <row r="82" spans="1:7" ht="12">
      <c r="A82" s="331"/>
      <c r="B82" s="331"/>
      <c r="C82" s="331"/>
      <c r="D82" s="331"/>
      <c r="E82" s="331"/>
      <c r="F82" s="331"/>
      <c r="G82" s="331"/>
    </row>
    <row r="83" spans="1:7" ht="12">
      <c r="A83" s="331"/>
      <c r="B83" s="331"/>
      <c r="C83" s="331"/>
      <c r="D83" s="331"/>
      <c r="E83" s="331"/>
      <c r="F83" s="331"/>
      <c r="G83" s="331"/>
    </row>
    <row r="84" spans="1:7" ht="12">
      <c r="A84" s="331"/>
      <c r="B84" s="331"/>
      <c r="C84" s="331"/>
      <c r="D84" s="331"/>
      <c r="E84" s="331"/>
      <c r="F84" s="331"/>
      <c r="G84" s="331"/>
    </row>
    <row r="85" spans="1:7" ht="12">
      <c r="A85" s="331"/>
      <c r="B85" s="331"/>
      <c r="C85" s="331"/>
      <c r="D85" s="331"/>
      <c r="E85" s="331"/>
      <c r="F85" s="331"/>
      <c r="G85" s="331"/>
    </row>
    <row r="86" spans="1:7" ht="12">
      <c r="A86" s="331"/>
      <c r="B86" s="331"/>
      <c r="C86" s="331"/>
      <c r="D86" s="331"/>
      <c r="E86" s="331"/>
      <c r="F86" s="331"/>
      <c r="G86" s="331"/>
    </row>
    <row r="87" spans="1:7" ht="12">
      <c r="A87" s="331"/>
      <c r="B87" s="331"/>
      <c r="C87" s="331"/>
      <c r="D87" s="331"/>
      <c r="E87" s="331"/>
      <c r="F87" s="331"/>
      <c r="G87" s="331"/>
    </row>
    <row r="88" spans="1:7" ht="12">
      <c r="A88" s="331"/>
      <c r="B88" s="331"/>
      <c r="C88" s="331"/>
      <c r="D88" s="331"/>
      <c r="E88" s="331"/>
      <c r="F88" s="331"/>
      <c r="G88" s="331"/>
    </row>
    <row r="89" spans="1:7" ht="12">
      <c r="A89" s="331"/>
      <c r="B89" s="331"/>
      <c r="C89" s="331"/>
      <c r="D89" s="331"/>
      <c r="E89" s="331"/>
      <c r="F89" s="331"/>
      <c r="G89" s="331"/>
    </row>
    <row r="90" spans="1:7" ht="12">
      <c r="A90" s="331"/>
      <c r="B90" s="331"/>
      <c r="C90" s="331"/>
      <c r="D90" s="331"/>
      <c r="E90" s="331"/>
      <c r="F90" s="331"/>
      <c r="G90" s="331"/>
    </row>
    <row r="91" spans="1:7" ht="12">
      <c r="A91" s="331"/>
      <c r="B91" s="331"/>
      <c r="C91" s="331"/>
      <c r="D91" s="331"/>
      <c r="E91" s="331"/>
      <c r="F91" s="331"/>
      <c r="G91" s="331"/>
    </row>
    <row r="92" spans="1:7" ht="12">
      <c r="A92" s="331"/>
      <c r="B92" s="331"/>
      <c r="C92" s="331"/>
      <c r="D92" s="331"/>
      <c r="E92" s="331"/>
      <c r="F92" s="331"/>
      <c r="G92" s="331"/>
    </row>
    <row r="93" spans="1:7" ht="12">
      <c r="A93" s="331"/>
      <c r="B93" s="331"/>
      <c r="C93" s="331"/>
      <c r="D93" s="331"/>
      <c r="E93" s="331"/>
      <c r="F93" s="331"/>
      <c r="G93" s="331"/>
    </row>
    <row r="94" spans="1:7" ht="12">
      <c r="A94" s="331"/>
      <c r="B94" s="331"/>
      <c r="C94" s="331"/>
      <c r="D94" s="331"/>
      <c r="E94" s="331"/>
      <c r="F94" s="331"/>
      <c r="G94" s="331"/>
    </row>
    <row r="95" spans="1:7" ht="12">
      <c r="A95" s="331"/>
      <c r="B95" s="331"/>
      <c r="C95" s="331"/>
      <c r="D95" s="331"/>
      <c r="E95" s="331"/>
      <c r="F95" s="331"/>
      <c r="G95" s="331"/>
    </row>
    <row r="96" spans="1:7" ht="12">
      <c r="A96" s="331"/>
      <c r="B96" s="331"/>
      <c r="C96" s="331"/>
      <c r="D96" s="331"/>
      <c r="E96" s="331"/>
      <c r="F96" s="331"/>
      <c r="G96" s="331"/>
    </row>
    <row r="97" spans="1:7" ht="12">
      <c r="A97" s="331"/>
      <c r="B97" s="331"/>
      <c r="C97" s="331"/>
      <c r="D97" s="331"/>
      <c r="E97" s="331"/>
      <c r="F97" s="331"/>
      <c r="G97" s="331"/>
    </row>
    <row r="98" spans="1:7" ht="12">
      <c r="A98" s="331"/>
      <c r="B98" s="331"/>
      <c r="C98" s="331"/>
      <c r="D98" s="331"/>
      <c r="E98" s="331"/>
      <c r="F98" s="331"/>
      <c r="G98" s="331"/>
    </row>
    <row r="99" spans="1:7" ht="12">
      <c r="A99" s="331"/>
      <c r="B99" s="331"/>
      <c r="C99" s="331"/>
      <c r="D99" s="331"/>
      <c r="E99" s="331"/>
      <c r="F99" s="331"/>
      <c r="G99" s="331"/>
    </row>
    <row r="100" spans="1:7" ht="12">
      <c r="A100" s="331"/>
      <c r="B100" s="331"/>
      <c r="C100" s="331"/>
      <c r="D100" s="331"/>
      <c r="E100" s="331"/>
      <c r="F100" s="331"/>
      <c r="G100" s="331"/>
    </row>
    <row r="101" spans="1:7" ht="12">
      <c r="A101" s="331"/>
      <c r="B101" s="331"/>
      <c r="C101" s="331"/>
      <c r="D101" s="331"/>
      <c r="E101" s="331"/>
      <c r="F101" s="331"/>
      <c r="G101" s="331"/>
    </row>
    <row r="102" spans="1:7" ht="12">
      <c r="A102" s="331"/>
      <c r="B102" s="331"/>
      <c r="C102" s="331"/>
      <c r="D102" s="331"/>
      <c r="E102" s="331"/>
      <c r="F102" s="331"/>
      <c r="G102" s="331"/>
    </row>
    <row r="103" spans="1:7" ht="12">
      <c r="A103" s="331"/>
      <c r="B103" s="331"/>
      <c r="C103" s="331"/>
      <c r="D103" s="331"/>
      <c r="E103" s="331"/>
      <c r="F103" s="331"/>
      <c r="G103" s="331"/>
    </row>
    <row r="104" spans="1:7" ht="12">
      <c r="A104" s="331"/>
      <c r="B104" s="331"/>
      <c r="C104" s="331"/>
      <c r="D104" s="331"/>
      <c r="E104" s="331"/>
      <c r="F104" s="331"/>
      <c r="G104" s="331"/>
    </row>
    <row r="105" spans="1:7" ht="12">
      <c r="A105" s="331"/>
      <c r="B105" s="331"/>
      <c r="C105" s="331"/>
      <c r="D105" s="331"/>
      <c r="E105" s="331"/>
      <c r="F105" s="331"/>
      <c r="G105" s="331"/>
    </row>
    <row r="106" spans="1:7" ht="12">
      <c r="A106" s="331"/>
      <c r="B106" s="331"/>
      <c r="C106" s="331"/>
      <c r="D106" s="331"/>
      <c r="E106" s="331"/>
      <c r="F106" s="331"/>
      <c r="G106" s="331"/>
    </row>
    <row r="107" spans="1:7" ht="12">
      <c r="A107" s="331"/>
      <c r="B107" s="331"/>
      <c r="C107" s="331"/>
      <c r="D107" s="331"/>
      <c r="E107" s="331"/>
      <c r="F107" s="331"/>
      <c r="G107" s="331"/>
    </row>
    <row r="108" spans="1:7" ht="12">
      <c r="A108" s="331"/>
      <c r="B108" s="331"/>
      <c r="C108" s="331"/>
      <c r="D108" s="331"/>
      <c r="E108" s="331"/>
      <c r="F108" s="331"/>
      <c r="G108" s="331"/>
    </row>
    <row r="109" spans="1:7" ht="12">
      <c r="A109" s="331"/>
      <c r="B109" s="331"/>
      <c r="C109" s="331"/>
      <c r="D109" s="331"/>
      <c r="E109" s="331"/>
      <c r="F109" s="331"/>
      <c r="G109" s="331"/>
    </row>
    <row r="110" spans="1:7" ht="12">
      <c r="A110" s="331"/>
      <c r="B110" s="331"/>
      <c r="C110" s="331"/>
      <c r="D110" s="331"/>
      <c r="E110" s="331"/>
      <c r="F110" s="331"/>
      <c r="G110" s="331"/>
    </row>
    <row r="111" spans="1:7" ht="12">
      <c r="A111" s="331"/>
      <c r="B111" s="331"/>
      <c r="C111" s="331"/>
      <c r="D111" s="331"/>
      <c r="E111" s="331"/>
      <c r="F111" s="331"/>
      <c r="G111" s="331"/>
    </row>
    <row r="112" spans="1:7" ht="12">
      <c r="A112" s="331"/>
      <c r="B112" s="331"/>
      <c r="C112" s="331"/>
      <c r="D112" s="331"/>
      <c r="E112" s="331"/>
      <c r="F112" s="331"/>
      <c r="G112" s="331"/>
    </row>
    <row r="113" spans="1:7" ht="12">
      <c r="A113" s="331"/>
      <c r="B113" s="331"/>
      <c r="C113" s="331"/>
      <c r="D113" s="331"/>
      <c r="E113" s="331"/>
      <c r="F113" s="331"/>
      <c r="G113" s="331"/>
    </row>
    <row r="114" spans="1:7" ht="12">
      <c r="A114" s="331"/>
      <c r="B114" s="331"/>
      <c r="C114" s="331"/>
      <c r="D114" s="331"/>
      <c r="E114" s="331"/>
      <c r="F114" s="331"/>
      <c r="G114" s="331"/>
    </row>
    <row r="115" spans="1:7" ht="12">
      <c r="A115" s="331"/>
      <c r="B115" s="331"/>
      <c r="C115" s="331"/>
      <c r="D115" s="331"/>
      <c r="E115" s="331"/>
      <c r="F115" s="331"/>
      <c r="G115" s="331"/>
    </row>
    <row r="116" spans="1:7" ht="12">
      <c r="A116" s="331"/>
      <c r="B116" s="331"/>
      <c r="C116" s="331"/>
      <c r="D116" s="331"/>
      <c r="E116" s="331"/>
      <c r="F116" s="331"/>
      <c r="G116" s="331"/>
    </row>
    <row r="117" spans="1:7" ht="12">
      <c r="A117" s="331"/>
      <c r="B117" s="331"/>
      <c r="C117" s="331"/>
      <c r="D117" s="331"/>
      <c r="E117" s="331"/>
      <c r="F117" s="331"/>
      <c r="G117" s="331"/>
    </row>
    <row r="118" spans="1:7" ht="12">
      <c r="A118" s="331"/>
      <c r="B118" s="331"/>
      <c r="C118" s="331"/>
      <c r="D118" s="331"/>
      <c r="E118" s="331"/>
      <c r="F118" s="331"/>
      <c r="G118" s="331"/>
    </row>
    <row r="119" spans="1:7" ht="12">
      <c r="A119" s="331"/>
      <c r="B119" s="331"/>
      <c r="C119" s="331"/>
      <c r="D119" s="331"/>
      <c r="E119" s="331"/>
      <c r="F119" s="331"/>
      <c r="G119" s="331"/>
    </row>
    <row r="120" spans="1:7" ht="12">
      <c r="A120" s="331"/>
      <c r="B120" s="331"/>
      <c r="C120" s="331"/>
      <c r="D120" s="331"/>
      <c r="E120" s="331"/>
      <c r="F120" s="331"/>
      <c r="G120" s="331"/>
    </row>
    <row r="121" spans="1:7" ht="12">
      <c r="A121" s="331"/>
      <c r="B121" s="331"/>
      <c r="C121" s="331"/>
      <c r="D121" s="331"/>
      <c r="E121" s="331"/>
      <c r="F121" s="331"/>
      <c r="G121" s="331"/>
    </row>
    <row r="122" spans="1:7" ht="12">
      <c r="A122" s="331"/>
      <c r="B122" s="331"/>
      <c r="C122" s="331"/>
      <c r="D122" s="331"/>
      <c r="E122" s="331"/>
      <c r="F122" s="331"/>
      <c r="G122" s="331"/>
    </row>
    <row r="123" spans="1:7" ht="12">
      <c r="A123" s="331"/>
      <c r="B123" s="331"/>
      <c r="C123" s="331"/>
      <c r="D123" s="331"/>
      <c r="E123" s="331"/>
      <c r="F123" s="331"/>
      <c r="G123" s="331"/>
    </row>
    <row r="124" spans="1:7" ht="12">
      <c r="A124" s="331"/>
      <c r="B124" s="331"/>
      <c r="C124" s="331"/>
      <c r="D124" s="331"/>
      <c r="E124" s="331"/>
      <c r="F124" s="331"/>
      <c r="G124" s="331"/>
    </row>
    <row r="125" spans="1:7" ht="12">
      <c r="A125" s="331"/>
      <c r="B125" s="331"/>
      <c r="C125" s="331"/>
      <c r="D125" s="331"/>
      <c r="E125" s="331"/>
      <c r="F125" s="331"/>
      <c r="G125" s="331"/>
    </row>
    <row r="126" spans="1:7" ht="12">
      <c r="A126" s="331"/>
      <c r="B126" s="331"/>
      <c r="C126" s="331"/>
      <c r="D126" s="331"/>
      <c r="E126" s="331"/>
      <c r="F126" s="331"/>
      <c r="G126" s="331"/>
    </row>
    <row r="127" spans="1:7" ht="12">
      <c r="A127" s="331"/>
      <c r="B127" s="331"/>
      <c r="C127" s="331"/>
      <c r="D127" s="331"/>
      <c r="E127" s="331"/>
      <c r="F127" s="331"/>
      <c r="G127" s="331"/>
    </row>
    <row r="128" spans="1:7" ht="12">
      <c r="A128" s="331"/>
      <c r="B128" s="331"/>
      <c r="C128" s="331"/>
      <c r="D128" s="331"/>
      <c r="E128" s="331"/>
      <c r="F128" s="331"/>
      <c r="G128" s="331"/>
    </row>
    <row r="129" spans="1:7" ht="12">
      <c r="A129" s="331"/>
      <c r="B129" s="331"/>
      <c r="C129" s="331"/>
      <c r="D129" s="331"/>
      <c r="E129" s="331"/>
      <c r="F129" s="331"/>
      <c r="G129" s="331"/>
    </row>
    <row r="130" spans="1:7" ht="12">
      <c r="A130" s="331"/>
      <c r="B130" s="331"/>
      <c r="C130" s="331"/>
      <c r="D130" s="331"/>
      <c r="E130" s="331"/>
      <c r="F130" s="331"/>
      <c r="G130" s="331"/>
    </row>
    <row r="131" spans="1:7" ht="12">
      <c r="A131" s="331"/>
      <c r="B131" s="331"/>
      <c r="C131" s="331"/>
      <c r="D131" s="331"/>
      <c r="E131" s="331"/>
      <c r="F131" s="331"/>
      <c r="G131" s="331"/>
    </row>
    <row r="132" spans="1:7" ht="12">
      <c r="A132" s="331"/>
      <c r="B132" s="331"/>
      <c r="C132" s="331"/>
      <c r="D132" s="331"/>
      <c r="E132" s="331"/>
      <c r="F132" s="331"/>
      <c r="G132" s="331"/>
    </row>
    <row r="133" spans="1:7" ht="12">
      <c r="A133" s="331"/>
      <c r="B133" s="331"/>
      <c r="C133" s="331"/>
      <c r="D133" s="331"/>
      <c r="E133" s="331"/>
      <c r="F133" s="331"/>
      <c r="G133" s="331"/>
    </row>
    <row r="134" spans="1:7" ht="12">
      <c r="A134" s="331"/>
      <c r="B134" s="331"/>
      <c r="C134" s="331"/>
      <c r="D134" s="331"/>
      <c r="E134" s="331"/>
      <c r="F134" s="331"/>
      <c r="G134" s="331"/>
    </row>
    <row r="135" spans="1:7" ht="12">
      <c r="A135" s="331"/>
      <c r="B135" s="331"/>
      <c r="C135" s="331"/>
      <c r="D135" s="331"/>
      <c r="E135" s="331"/>
      <c r="F135" s="331"/>
      <c r="G135" s="331"/>
    </row>
    <row r="136" spans="1:7" ht="12">
      <c r="A136" s="331"/>
      <c r="B136" s="331"/>
      <c r="C136" s="331"/>
      <c r="D136" s="331"/>
      <c r="E136" s="331"/>
      <c r="F136" s="331"/>
      <c r="G136" s="331"/>
    </row>
    <row r="137" spans="1:7" ht="12">
      <c r="A137" s="331"/>
      <c r="B137" s="331"/>
      <c r="C137" s="331"/>
      <c r="D137" s="331"/>
      <c r="E137" s="331"/>
      <c r="F137" s="331"/>
      <c r="G137" s="331"/>
    </row>
    <row r="138" spans="1:7" ht="12">
      <c r="A138" s="331"/>
      <c r="B138" s="331"/>
      <c r="C138" s="331"/>
      <c r="D138" s="331"/>
      <c r="E138" s="331"/>
      <c r="F138" s="331"/>
      <c r="G138" s="331"/>
    </row>
    <row r="139" spans="1:7" ht="12">
      <c r="A139" s="331"/>
      <c r="B139" s="331"/>
      <c r="C139" s="331"/>
      <c r="D139" s="331"/>
      <c r="E139" s="331"/>
      <c r="F139" s="331"/>
      <c r="G139" s="331"/>
    </row>
    <row r="140" spans="1:7" ht="12">
      <c r="A140" s="331"/>
      <c r="B140" s="331"/>
      <c r="C140" s="331"/>
      <c r="D140" s="331"/>
      <c r="E140" s="331"/>
      <c r="F140" s="331"/>
      <c r="G140" s="331"/>
    </row>
    <row r="141" spans="1:7" ht="12">
      <c r="A141" s="331"/>
      <c r="B141" s="331"/>
      <c r="C141" s="331"/>
      <c r="D141" s="331"/>
      <c r="E141" s="331"/>
      <c r="F141" s="331"/>
      <c r="G141" s="331"/>
    </row>
    <row r="142" spans="1:7" ht="12">
      <c r="A142" s="331"/>
      <c r="B142" s="331"/>
      <c r="C142" s="331"/>
      <c r="D142" s="331"/>
      <c r="E142" s="331"/>
      <c r="F142" s="331"/>
      <c r="G142" s="331"/>
    </row>
    <row r="143" spans="1:7" ht="12">
      <c r="A143" s="331"/>
      <c r="B143" s="331"/>
      <c r="C143" s="331"/>
      <c r="D143" s="331"/>
      <c r="E143" s="331"/>
      <c r="F143" s="331"/>
      <c r="G143" s="331"/>
    </row>
    <row r="144" spans="1:7" ht="12">
      <c r="A144" s="331"/>
      <c r="B144" s="331"/>
      <c r="C144" s="331"/>
      <c r="D144" s="331"/>
      <c r="E144" s="331"/>
      <c r="F144" s="331"/>
      <c r="G144" s="331"/>
    </row>
    <row r="145" spans="1:7" ht="12">
      <c r="A145" s="331"/>
      <c r="B145" s="331"/>
      <c r="C145" s="331"/>
      <c r="D145" s="331"/>
      <c r="E145" s="331"/>
      <c r="F145" s="331"/>
      <c r="G145" s="331"/>
    </row>
    <row r="146" spans="1:7" ht="12">
      <c r="A146" s="331"/>
      <c r="B146" s="331"/>
      <c r="C146" s="331"/>
      <c r="D146" s="331"/>
      <c r="E146" s="331"/>
      <c r="F146" s="331"/>
      <c r="G146" s="331"/>
    </row>
    <row r="147" spans="1:7" ht="12">
      <c r="A147" s="331"/>
      <c r="B147" s="331"/>
      <c r="C147" s="331"/>
      <c r="D147" s="331"/>
      <c r="E147" s="331"/>
      <c r="F147" s="331"/>
      <c r="G147" s="331"/>
    </row>
    <row r="148" spans="1:7" ht="12">
      <c r="A148" s="331"/>
      <c r="B148" s="331"/>
      <c r="C148" s="331"/>
      <c r="D148" s="331"/>
      <c r="E148" s="331"/>
      <c r="F148" s="331"/>
      <c r="G148" s="331"/>
    </row>
    <row r="149" spans="1:7" ht="12">
      <c r="A149" s="331"/>
      <c r="B149" s="331"/>
      <c r="C149" s="331"/>
      <c r="D149" s="331"/>
      <c r="E149" s="331"/>
      <c r="F149" s="331"/>
      <c r="G149" s="331"/>
    </row>
    <row r="150" spans="1:7" ht="12">
      <c r="A150" s="331"/>
      <c r="B150" s="331"/>
      <c r="C150" s="331"/>
      <c r="D150" s="331"/>
      <c r="E150" s="331"/>
      <c r="F150" s="331"/>
      <c r="G150" s="331"/>
    </row>
    <row r="151" spans="1:7" ht="12">
      <c r="A151" s="331"/>
      <c r="B151" s="331"/>
      <c r="C151" s="331"/>
      <c r="D151" s="331"/>
      <c r="E151" s="331"/>
      <c r="F151" s="331"/>
      <c r="G151" s="331"/>
    </row>
    <row r="152" spans="1:7" ht="12">
      <c r="A152" s="331"/>
      <c r="B152" s="331"/>
      <c r="C152" s="331"/>
      <c r="D152" s="331"/>
      <c r="E152" s="331"/>
      <c r="F152" s="331"/>
      <c r="G152" s="331"/>
    </row>
    <row r="153" spans="1:7" ht="12">
      <c r="A153" s="331"/>
      <c r="B153" s="331"/>
      <c r="C153" s="331"/>
      <c r="D153" s="331"/>
      <c r="E153" s="331"/>
      <c r="F153" s="331"/>
      <c r="G153" s="331"/>
    </row>
    <row r="154" spans="1:7" ht="12">
      <c r="A154" s="331"/>
      <c r="B154" s="331"/>
      <c r="C154" s="331"/>
      <c r="D154" s="331"/>
      <c r="E154" s="331"/>
      <c r="F154" s="331"/>
      <c r="G154" s="331"/>
    </row>
    <row r="155" spans="1:7" ht="12">
      <c r="A155" s="331"/>
      <c r="B155" s="331"/>
      <c r="C155" s="331"/>
      <c r="D155" s="331"/>
      <c r="E155" s="331"/>
      <c r="F155" s="331"/>
      <c r="G155" s="331"/>
    </row>
    <row r="156" spans="1:7" ht="12">
      <c r="A156" s="331"/>
      <c r="B156" s="331"/>
      <c r="C156" s="331"/>
      <c r="D156" s="331"/>
      <c r="E156" s="331"/>
      <c r="F156" s="331"/>
      <c r="G156" s="331"/>
    </row>
    <row r="157" spans="1:7" ht="12">
      <c r="A157" s="331"/>
      <c r="B157" s="331"/>
      <c r="C157" s="331"/>
      <c r="D157" s="331"/>
      <c r="E157" s="331"/>
      <c r="F157" s="331"/>
      <c r="G157" s="331"/>
    </row>
    <row r="158" spans="1:7" ht="12">
      <c r="A158" s="331"/>
      <c r="B158" s="331"/>
      <c r="C158" s="331"/>
      <c r="D158" s="331"/>
      <c r="E158" s="331"/>
      <c r="F158" s="331"/>
      <c r="G158" s="331"/>
    </row>
    <row r="159" spans="1:7" ht="12">
      <c r="A159" s="331"/>
      <c r="B159" s="331"/>
      <c r="C159" s="331"/>
      <c r="D159" s="331"/>
      <c r="E159" s="331"/>
      <c r="F159" s="331"/>
      <c r="G159" s="331"/>
    </row>
    <row r="160" spans="1:7" ht="12">
      <c r="A160" s="331"/>
      <c r="B160" s="331"/>
      <c r="C160" s="331"/>
      <c r="D160" s="331"/>
      <c r="E160" s="331"/>
      <c r="F160" s="331"/>
      <c r="G160" s="331"/>
    </row>
    <row r="161" spans="1:7" ht="12">
      <c r="A161" s="331"/>
      <c r="B161" s="331"/>
      <c r="C161" s="331"/>
      <c r="D161" s="331"/>
      <c r="E161" s="331"/>
      <c r="F161" s="331"/>
      <c r="G161" s="331"/>
    </row>
    <row r="162" spans="1:7" ht="12">
      <c r="A162" s="331"/>
      <c r="B162" s="331"/>
      <c r="C162" s="331"/>
      <c r="D162" s="331"/>
      <c r="E162" s="331"/>
      <c r="F162" s="331"/>
      <c r="G162" s="331"/>
    </row>
    <row r="163" spans="1:7" ht="12">
      <c r="A163" s="331"/>
      <c r="B163" s="331"/>
      <c r="C163" s="331"/>
      <c r="D163" s="331"/>
      <c r="E163" s="331"/>
      <c r="F163" s="331"/>
      <c r="G163" s="331"/>
    </row>
    <row r="164" spans="1:7" ht="12">
      <c r="A164" s="331"/>
      <c r="B164" s="331"/>
      <c r="C164" s="331"/>
      <c r="D164" s="331"/>
      <c r="E164" s="331"/>
      <c r="F164" s="331"/>
      <c r="G164" s="331"/>
    </row>
    <row r="165" spans="1:7" ht="12">
      <c r="A165" s="331"/>
      <c r="B165" s="331"/>
      <c r="C165" s="331"/>
      <c r="D165" s="331"/>
      <c r="E165" s="331"/>
      <c r="F165" s="331"/>
      <c r="G165" s="331"/>
    </row>
    <row r="166" spans="1:7" ht="12">
      <c r="A166" s="331"/>
      <c r="B166" s="331"/>
      <c r="C166" s="331"/>
      <c r="D166" s="331"/>
      <c r="E166" s="331"/>
      <c r="F166" s="331"/>
      <c r="G166" s="331"/>
    </row>
    <row r="167" spans="1:7" ht="12">
      <c r="A167" s="331"/>
      <c r="B167" s="331"/>
      <c r="C167" s="331"/>
      <c r="D167" s="331"/>
      <c r="E167" s="331"/>
      <c r="F167" s="331"/>
      <c r="G167" s="331"/>
    </row>
    <row r="168" spans="1:7" ht="12">
      <c r="A168" s="331"/>
      <c r="B168" s="331"/>
      <c r="C168" s="331"/>
      <c r="D168" s="331"/>
      <c r="E168" s="331"/>
      <c r="F168" s="331"/>
      <c r="G168" s="331"/>
    </row>
    <row r="169" spans="1:7" ht="12">
      <c r="A169" s="331"/>
      <c r="B169" s="331"/>
      <c r="C169" s="331"/>
      <c r="D169" s="331"/>
      <c r="E169" s="331"/>
      <c r="F169" s="331"/>
      <c r="G169" s="331"/>
    </row>
    <row r="170" spans="1:7" ht="12">
      <c r="A170" s="331"/>
      <c r="B170" s="331"/>
      <c r="C170" s="331"/>
      <c r="D170" s="331"/>
      <c r="E170" s="331"/>
      <c r="F170" s="331"/>
      <c r="G170" s="331"/>
    </row>
    <row r="171" spans="1:7" ht="12">
      <c r="A171" s="331"/>
      <c r="B171" s="331"/>
      <c r="C171" s="331"/>
      <c r="D171" s="331"/>
      <c r="E171" s="331"/>
      <c r="F171" s="331"/>
      <c r="G171" s="331"/>
    </row>
    <row r="172" spans="1:7" ht="12">
      <c r="A172" s="331"/>
      <c r="B172" s="331"/>
      <c r="C172" s="331"/>
      <c r="D172" s="331"/>
      <c r="E172" s="331"/>
      <c r="F172" s="331"/>
      <c r="G172" s="331"/>
    </row>
    <row r="173" spans="1:7" ht="12">
      <c r="A173" s="331"/>
      <c r="B173" s="331"/>
      <c r="C173" s="331"/>
      <c r="D173" s="331"/>
      <c r="E173" s="331"/>
      <c r="F173" s="331"/>
      <c r="G173" s="331"/>
    </row>
    <row r="174" spans="1:7" ht="12">
      <c r="A174" s="331"/>
      <c r="B174" s="331"/>
      <c r="C174" s="331"/>
      <c r="D174" s="331"/>
      <c r="E174" s="331"/>
      <c r="F174" s="331"/>
      <c r="G174" s="331"/>
    </row>
    <row r="175" spans="1:7" ht="12">
      <c r="A175" s="331"/>
      <c r="B175" s="331"/>
      <c r="C175" s="331"/>
      <c r="D175" s="331"/>
      <c r="E175" s="331"/>
      <c r="F175" s="331"/>
      <c r="G175" s="331"/>
    </row>
    <row r="176" spans="1:7" ht="12">
      <c r="A176" s="331"/>
      <c r="B176" s="331"/>
      <c r="C176" s="331"/>
      <c r="D176" s="331"/>
      <c r="E176" s="331"/>
      <c r="F176" s="331"/>
      <c r="G176" s="331"/>
    </row>
    <row r="177" spans="1:7" ht="12">
      <c r="A177" s="331"/>
      <c r="B177" s="331"/>
      <c r="C177" s="331"/>
      <c r="D177" s="331"/>
      <c r="E177" s="331"/>
      <c r="F177" s="331"/>
      <c r="G177" s="331"/>
    </row>
    <row r="178" spans="1:7" ht="12">
      <c r="A178" s="331"/>
      <c r="B178" s="331"/>
      <c r="C178" s="331"/>
      <c r="D178" s="331"/>
      <c r="E178" s="331"/>
      <c r="F178" s="331"/>
      <c r="G178" s="331"/>
    </row>
    <row r="179" spans="1:7" ht="12">
      <c r="A179" s="331"/>
      <c r="B179" s="331"/>
      <c r="C179" s="331"/>
      <c r="D179" s="331"/>
      <c r="E179" s="331"/>
      <c r="F179" s="331"/>
      <c r="G179" s="331"/>
    </row>
    <row r="180" spans="1:7" ht="12">
      <c r="A180" s="331"/>
      <c r="B180" s="331"/>
      <c r="C180" s="331"/>
      <c r="D180" s="331"/>
      <c r="E180" s="331"/>
      <c r="F180" s="331"/>
      <c r="G180" s="331"/>
    </row>
    <row r="181" spans="1:7" ht="12">
      <c r="A181" s="331"/>
      <c r="B181" s="331"/>
      <c r="C181" s="331"/>
      <c r="D181" s="331"/>
      <c r="E181" s="331"/>
      <c r="F181" s="331"/>
      <c r="G181" s="331"/>
    </row>
    <row r="182" spans="1:7" ht="12">
      <c r="A182" s="331"/>
      <c r="B182" s="331"/>
      <c r="C182" s="331"/>
      <c r="D182" s="331"/>
      <c r="E182" s="331"/>
      <c r="F182" s="331"/>
      <c r="G182" s="331"/>
    </row>
    <row r="183" spans="1:7" ht="12">
      <c r="A183" s="331"/>
      <c r="B183" s="331"/>
      <c r="C183" s="331"/>
      <c r="D183" s="331"/>
      <c r="E183" s="331"/>
      <c r="F183" s="331"/>
      <c r="G183" s="331"/>
    </row>
    <row r="184" spans="1:7" ht="12">
      <c r="A184" s="331"/>
      <c r="B184" s="331"/>
      <c r="C184" s="331"/>
      <c r="D184" s="331"/>
      <c r="E184" s="331"/>
      <c r="F184" s="331"/>
      <c r="G184" s="331"/>
    </row>
    <row r="185" spans="1:7" ht="12">
      <c r="A185" s="331"/>
      <c r="B185" s="331"/>
      <c r="C185" s="331"/>
      <c r="D185" s="331"/>
      <c r="E185" s="331"/>
      <c r="F185" s="331"/>
      <c r="G185" s="331"/>
    </row>
    <row r="186" spans="1:7" ht="12">
      <c r="A186" s="331"/>
      <c r="B186" s="331"/>
      <c r="C186" s="331"/>
      <c r="D186" s="331"/>
      <c r="E186" s="331"/>
      <c r="F186" s="331"/>
      <c r="G186" s="331"/>
    </row>
    <row r="187" spans="1:7" ht="12">
      <c r="A187" s="331"/>
      <c r="B187" s="331"/>
      <c r="C187" s="331"/>
      <c r="D187" s="331"/>
      <c r="E187" s="331"/>
      <c r="F187" s="331"/>
      <c r="G187" s="331"/>
    </row>
    <row r="188" spans="1:7" ht="12">
      <c r="A188" s="331"/>
      <c r="B188" s="331"/>
      <c r="C188" s="331"/>
      <c r="D188" s="331"/>
      <c r="E188" s="331"/>
      <c r="F188" s="331"/>
      <c r="G188" s="331"/>
    </row>
    <row r="189" spans="1:7" ht="12">
      <c r="A189" s="331"/>
      <c r="B189" s="331"/>
      <c r="C189" s="331"/>
      <c r="D189" s="331"/>
      <c r="E189" s="331"/>
      <c r="F189" s="331"/>
      <c r="G189" s="331"/>
    </row>
    <row r="190" spans="1:7" ht="12">
      <c r="A190" s="331"/>
      <c r="B190" s="331"/>
      <c r="C190" s="331"/>
      <c r="D190" s="331"/>
      <c r="E190" s="331"/>
      <c r="F190" s="331"/>
      <c r="G190" s="331"/>
    </row>
    <row r="191" spans="1:7" ht="12">
      <c r="A191" s="331"/>
      <c r="B191" s="331"/>
      <c r="C191" s="331"/>
      <c r="D191" s="331"/>
      <c r="E191" s="331"/>
      <c r="F191" s="331"/>
      <c r="G191" s="331"/>
    </row>
    <row r="192" spans="1:7" ht="12">
      <c r="A192" s="331"/>
      <c r="B192" s="331"/>
      <c r="C192" s="331"/>
      <c r="D192" s="331"/>
      <c r="E192" s="331"/>
      <c r="F192" s="331"/>
      <c r="G192" s="331"/>
    </row>
    <row r="193" spans="1:7" ht="12">
      <c r="A193" s="331"/>
      <c r="B193" s="331"/>
      <c r="C193" s="331"/>
      <c r="D193" s="331"/>
      <c r="E193" s="331"/>
      <c r="F193" s="331"/>
      <c r="G193" s="331"/>
    </row>
    <row r="194" spans="1:7" ht="12">
      <c r="A194" s="331"/>
      <c r="B194" s="331"/>
      <c r="C194" s="331"/>
      <c r="D194" s="331"/>
      <c r="E194" s="331"/>
      <c r="F194" s="331"/>
      <c r="G194" s="331"/>
    </row>
    <row r="195" spans="1:7" ht="12">
      <c r="A195" s="331"/>
      <c r="B195" s="331"/>
      <c r="C195" s="331"/>
      <c r="D195" s="331"/>
      <c r="E195" s="331"/>
      <c r="F195" s="331"/>
      <c r="G195" s="331"/>
    </row>
    <row r="196" spans="1:7" ht="12">
      <c r="A196" s="331"/>
      <c r="B196" s="331"/>
      <c r="C196" s="331"/>
      <c r="D196" s="331"/>
      <c r="E196" s="331"/>
      <c r="F196" s="331"/>
      <c r="G196" s="331"/>
    </row>
    <row r="197" spans="1:7" ht="12">
      <c r="A197" s="331"/>
      <c r="B197" s="331"/>
      <c r="C197" s="331"/>
      <c r="D197" s="331"/>
      <c r="E197" s="331"/>
      <c r="F197" s="331"/>
      <c r="G197" s="331"/>
    </row>
    <row r="198" spans="1:7" ht="12">
      <c r="A198" s="331"/>
      <c r="B198" s="331"/>
      <c r="C198" s="331"/>
      <c r="D198" s="331"/>
      <c r="E198" s="331"/>
      <c r="F198" s="331"/>
      <c r="G198" s="331"/>
    </row>
    <row r="199" spans="1:7" ht="12">
      <c r="A199" s="331"/>
      <c r="B199" s="331"/>
      <c r="C199" s="331"/>
      <c r="D199" s="331"/>
      <c r="E199" s="331"/>
      <c r="F199" s="331"/>
      <c r="G199" s="331"/>
    </row>
    <row r="200" spans="1:7" ht="12">
      <c r="A200" s="331"/>
      <c r="B200" s="331"/>
      <c r="C200" s="331"/>
      <c r="D200" s="331"/>
      <c r="E200" s="331"/>
      <c r="F200" s="331"/>
      <c r="G200" s="331"/>
    </row>
    <row r="201" spans="1:7" ht="12">
      <c r="A201" s="331"/>
      <c r="B201" s="331"/>
      <c r="C201" s="331"/>
      <c r="D201" s="331"/>
      <c r="E201" s="331"/>
      <c r="F201" s="331"/>
      <c r="G201" s="331"/>
    </row>
    <row r="202" spans="1:7" ht="12">
      <c r="A202" s="331"/>
      <c r="B202" s="331"/>
      <c r="C202" s="331"/>
      <c r="D202" s="331"/>
      <c r="E202" s="331"/>
      <c r="F202" s="331"/>
      <c r="G202" s="331"/>
    </row>
    <row r="203" spans="1:7" ht="12">
      <c r="A203" s="331"/>
      <c r="B203" s="331"/>
      <c r="C203" s="331"/>
      <c r="D203" s="331"/>
      <c r="E203" s="331"/>
      <c r="F203" s="331"/>
      <c r="G203" s="331"/>
    </row>
    <row r="204" spans="1:7" ht="12">
      <c r="A204" s="331"/>
      <c r="B204" s="331"/>
      <c r="C204" s="331"/>
      <c r="D204" s="331"/>
      <c r="E204" s="331"/>
      <c r="F204" s="331"/>
      <c r="G204" s="331"/>
    </row>
    <row r="205" spans="1:7" ht="12">
      <c r="A205" s="331"/>
      <c r="B205" s="331"/>
      <c r="C205" s="331"/>
      <c r="D205" s="331"/>
      <c r="E205" s="331"/>
      <c r="F205" s="331"/>
      <c r="G205" s="331"/>
    </row>
    <row r="206" spans="1:7" ht="12">
      <c r="A206" s="331"/>
      <c r="B206" s="331"/>
      <c r="C206" s="331"/>
      <c r="D206" s="331"/>
      <c r="E206" s="331"/>
      <c r="F206" s="331"/>
      <c r="G206" s="331"/>
    </row>
    <row r="207" spans="1:7" ht="12">
      <c r="A207" s="331"/>
      <c r="B207" s="331"/>
      <c r="C207" s="331"/>
      <c r="D207" s="331"/>
      <c r="E207" s="331"/>
      <c r="F207" s="331"/>
      <c r="G207" s="331"/>
    </row>
    <row r="208" spans="1:7" ht="12">
      <c r="A208" s="331"/>
      <c r="B208" s="331"/>
      <c r="C208" s="331"/>
      <c r="D208" s="331"/>
      <c r="E208" s="331"/>
      <c r="F208" s="331"/>
      <c r="G208" s="331"/>
    </row>
    <row r="209" spans="1:7" ht="12">
      <c r="A209" s="331"/>
      <c r="B209" s="331"/>
      <c r="C209" s="331"/>
      <c r="D209" s="331"/>
      <c r="E209" s="331"/>
      <c r="F209" s="331"/>
      <c r="G209" s="331"/>
    </row>
    <row r="210" spans="1:7" ht="12">
      <c r="A210" s="331"/>
      <c r="B210" s="331"/>
      <c r="C210" s="331"/>
      <c r="D210" s="331"/>
      <c r="E210" s="331"/>
      <c r="F210" s="331"/>
      <c r="G210" s="331"/>
    </row>
    <row r="211" spans="1:7" ht="12">
      <c r="A211" s="331"/>
      <c r="B211" s="331"/>
      <c r="C211" s="331"/>
      <c r="D211" s="331"/>
      <c r="E211" s="331"/>
      <c r="F211" s="331"/>
      <c r="G211" s="331"/>
    </row>
    <row r="212" spans="1:7" ht="12">
      <c r="A212" s="331"/>
      <c r="B212" s="331"/>
      <c r="C212" s="331"/>
      <c r="D212" s="331"/>
      <c r="E212" s="331"/>
      <c r="F212" s="331"/>
      <c r="G212" s="331"/>
    </row>
    <row r="213" spans="1:7" ht="12">
      <c r="A213" s="331"/>
      <c r="B213" s="331"/>
      <c r="C213" s="331"/>
      <c r="D213" s="331"/>
      <c r="E213" s="331"/>
      <c r="F213" s="331"/>
      <c r="G213" s="331"/>
    </row>
    <row r="214" spans="1:7" ht="12">
      <c r="A214" s="331"/>
      <c r="B214" s="331"/>
      <c r="C214" s="331"/>
      <c r="D214" s="331"/>
      <c r="E214" s="331"/>
      <c r="F214" s="331"/>
      <c r="G214" s="331"/>
    </row>
    <row r="215" spans="1:7" ht="12">
      <c r="A215" s="331"/>
      <c r="B215" s="331"/>
      <c r="C215" s="331"/>
      <c r="D215" s="331"/>
      <c r="E215" s="331"/>
      <c r="F215" s="331"/>
      <c r="G215" s="331"/>
    </row>
    <row r="216" spans="1:7" ht="12">
      <c r="A216" s="331"/>
      <c r="B216" s="331"/>
      <c r="C216" s="331"/>
      <c r="D216" s="331"/>
      <c r="E216" s="331"/>
      <c r="F216" s="331"/>
      <c r="G216" s="331"/>
    </row>
    <row r="217" spans="1:7" ht="12">
      <c r="A217" s="331"/>
      <c r="B217" s="331"/>
      <c r="C217" s="331"/>
      <c r="D217" s="331"/>
      <c r="E217" s="331"/>
      <c r="F217" s="331"/>
      <c r="G217" s="331"/>
    </row>
    <row r="218" spans="1:7" ht="12">
      <c r="A218" s="331"/>
      <c r="B218" s="331"/>
      <c r="C218" s="331"/>
      <c r="D218" s="331"/>
      <c r="E218" s="331"/>
      <c r="F218" s="331"/>
      <c r="G218" s="331"/>
    </row>
    <row r="219" spans="1:7" ht="12">
      <c r="A219" s="331"/>
      <c r="B219" s="331"/>
      <c r="C219" s="331"/>
      <c r="D219" s="331"/>
      <c r="E219" s="331"/>
      <c r="F219" s="331"/>
      <c r="G219" s="331"/>
    </row>
    <row r="220" spans="1:7" ht="12">
      <c r="A220" s="331"/>
      <c r="B220" s="331"/>
      <c r="C220" s="331"/>
      <c r="D220" s="331"/>
      <c r="E220" s="331"/>
      <c r="F220" s="331"/>
      <c r="G220" s="331"/>
    </row>
    <row r="221" spans="1:7" ht="12">
      <c r="A221" s="331"/>
      <c r="B221" s="331"/>
      <c r="C221" s="331"/>
      <c r="D221" s="331"/>
      <c r="E221" s="331"/>
      <c r="F221" s="331"/>
      <c r="G221" s="331"/>
    </row>
    <row r="222" spans="1:7" ht="12">
      <c r="A222" s="331"/>
      <c r="B222" s="331"/>
      <c r="C222" s="331"/>
      <c r="D222" s="331"/>
      <c r="E222" s="331"/>
      <c r="F222" s="331"/>
      <c r="G222" s="331"/>
    </row>
    <row r="223" spans="1:7" ht="12">
      <c r="A223" s="331"/>
      <c r="B223" s="331"/>
      <c r="C223" s="331"/>
      <c r="D223" s="331"/>
      <c r="E223" s="331"/>
      <c r="F223" s="331"/>
      <c r="G223" s="331"/>
    </row>
    <row r="224" spans="1:7" ht="12">
      <c r="A224" s="331"/>
      <c r="B224" s="331"/>
      <c r="C224" s="331"/>
      <c r="D224" s="331"/>
      <c r="E224" s="331"/>
      <c r="F224" s="331"/>
      <c r="G224" s="331"/>
    </row>
    <row r="225" spans="1:7" ht="12">
      <c r="A225" s="331"/>
      <c r="B225" s="331"/>
      <c r="C225" s="331"/>
      <c r="D225" s="331"/>
      <c r="E225" s="331"/>
      <c r="F225" s="331"/>
      <c r="G225" s="331"/>
    </row>
    <row r="226" spans="1:7" ht="12">
      <c r="A226" s="331"/>
      <c r="B226" s="331"/>
      <c r="C226" s="331"/>
      <c r="D226" s="331"/>
      <c r="E226" s="331"/>
      <c r="F226" s="331"/>
      <c r="G226" s="331"/>
    </row>
    <row r="227" spans="1:7" ht="12">
      <c r="A227" s="331"/>
      <c r="B227" s="331"/>
      <c r="C227" s="331"/>
      <c r="D227" s="331"/>
      <c r="E227" s="331"/>
      <c r="F227" s="331"/>
      <c r="G227" s="331"/>
    </row>
    <row r="228" spans="1:7" ht="12">
      <c r="A228" s="331"/>
      <c r="B228" s="331"/>
      <c r="C228" s="331"/>
      <c r="D228" s="331"/>
      <c r="E228" s="331"/>
      <c r="F228" s="331"/>
      <c r="G228" s="331"/>
    </row>
    <row r="229" spans="1:7" ht="12">
      <c r="A229" s="331"/>
      <c r="B229" s="331"/>
      <c r="C229" s="331"/>
      <c r="D229" s="331"/>
      <c r="E229" s="331"/>
      <c r="F229" s="331"/>
      <c r="G229" s="331"/>
    </row>
    <row r="230" spans="1:7" ht="12">
      <c r="A230" s="331"/>
      <c r="B230" s="331"/>
      <c r="C230" s="331"/>
      <c r="D230" s="331"/>
      <c r="E230" s="331"/>
      <c r="F230" s="331"/>
      <c r="G230" s="331"/>
    </row>
    <row r="231" spans="1:7" ht="12">
      <c r="A231" s="331"/>
      <c r="B231" s="331"/>
      <c r="C231" s="331"/>
      <c r="D231" s="331"/>
      <c r="E231" s="331"/>
      <c r="F231" s="331"/>
      <c r="G231" s="331"/>
    </row>
    <row r="232" spans="1:7" ht="12">
      <c r="A232" s="331"/>
      <c r="B232" s="331"/>
      <c r="C232" s="331"/>
      <c r="D232" s="331"/>
      <c r="E232" s="331"/>
      <c r="F232" s="331"/>
      <c r="G232" s="331"/>
    </row>
    <row r="233" spans="1:7" ht="12">
      <c r="A233" s="331"/>
      <c r="B233" s="331"/>
      <c r="C233" s="331"/>
      <c r="D233" s="331"/>
      <c r="E233" s="331"/>
      <c r="F233" s="331"/>
      <c r="G233" s="331"/>
    </row>
    <row r="234" spans="1:7" ht="12">
      <c r="A234" s="331"/>
      <c r="B234" s="331"/>
      <c r="C234" s="331"/>
      <c r="D234" s="331"/>
      <c r="E234" s="331"/>
      <c r="F234" s="331"/>
      <c r="G234" s="331"/>
    </row>
    <row r="235" spans="1:7" ht="12">
      <c r="A235" s="331"/>
      <c r="B235" s="331"/>
      <c r="C235" s="331"/>
      <c r="D235" s="331"/>
      <c r="E235" s="331"/>
      <c r="F235" s="331"/>
      <c r="G235" s="331"/>
    </row>
    <row r="236" spans="1:7" ht="12">
      <c r="A236" s="331"/>
      <c r="B236" s="331"/>
      <c r="C236" s="331"/>
      <c r="D236" s="331"/>
      <c r="E236" s="331"/>
      <c r="F236" s="331"/>
      <c r="G236" s="331"/>
    </row>
    <row r="237" spans="1:7" ht="12">
      <c r="A237" s="331"/>
      <c r="B237" s="331"/>
      <c r="C237" s="331"/>
      <c r="D237" s="331"/>
      <c r="E237" s="331"/>
      <c r="F237" s="331"/>
      <c r="G237" s="331"/>
    </row>
    <row r="238" spans="1:7" ht="12">
      <c r="A238" s="331"/>
      <c r="B238" s="331"/>
      <c r="C238" s="331"/>
      <c r="D238" s="331"/>
      <c r="E238" s="331"/>
      <c r="F238" s="331"/>
      <c r="G238" s="331"/>
    </row>
    <row r="239" spans="1:7" ht="12">
      <c r="A239" s="331"/>
      <c r="B239" s="331"/>
      <c r="C239" s="331"/>
      <c r="D239" s="331"/>
      <c r="E239" s="331"/>
      <c r="F239" s="331"/>
      <c r="G239" s="331"/>
    </row>
    <row r="240" spans="1:7" ht="12">
      <c r="A240" s="331"/>
      <c r="B240" s="331"/>
      <c r="C240" s="331"/>
      <c r="D240" s="331"/>
      <c r="E240" s="331"/>
      <c r="F240" s="331"/>
      <c r="G240" s="331"/>
    </row>
    <row r="241" spans="1:7" ht="12">
      <c r="A241" s="331"/>
      <c r="B241" s="331"/>
      <c r="C241" s="331"/>
      <c r="D241" s="331"/>
      <c r="E241" s="331"/>
      <c r="F241" s="331"/>
      <c r="G241" s="331"/>
    </row>
    <row r="242" spans="1:7" ht="12">
      <c r="A242" s="331"/>
      <c r="B242" s="331"/>
      <c r="C242" s="331"/>
      <c r="D242" s="331"/>
      <c r="E242" s="331"/>
      <c r="F242" s="331"/>
      <c r="G242" s="331"/>
    </row>
    <row r="243" spans="1:7" ht="12">
      <c r="A243" s="331"/>
      <c r="B243" s="331"/>
      <c r="C243" s="331"/>
      <c r="D243" s="331"/>
      <c r="E243" s="331"/>
      <c r="F243" s="331"/>
      <c r="G243" s="331"/>
    </row>
    <row r="244" spans="1:7" ht="12">
      <c r="A244" s="331"/>
      <c r="B244" s="331"/>
      <c r="C244" s="331"/>
      <c r="D244" s="331"/>
      <c r="E244" s="331"/>
      <c r="F244" s="331"/>
      <c r="G244" s="331"/>
    </row>
    <row r="245" spans="1:7" ht="12">
      <c r="A245" s="331"/>
      <c r="B245" s="331"/>
      <c r="C245" s="331"/>
      <c r="D245" s="331"/>
      <c r="E245" s="331"/>
      <c r="F245" s="331"/>
      <c r="G245" s="331"/>
    </row>
    <row r="246" spans="1:7" ht="12">
      <c r="A246" s="331"/>
      <c r="B246" s="331"/>
      <c r="C246" s="331"/>
      <c r="D246" s="331"/>
      <c r="E246" s="331"/>
      <c r="F246" s="331"/>
      <c r="G246" s="331"/>
    </row>
    <row r="247" spans="1:7" ht="12">
      <c r="A247" s="331"/>
      <c r="B247" s="331"/>
      <c r="C247" s="331"/>
      <c r="D247" s="331"/>
      <c r="E247" s="331"/>
      <c r="F247" s="331"/>
      <c r="G247" s="331"/>
    </row>
    <row r="248" spans="1:7" ht="12">
      <c r="A248" s="331"/>
      <c r="B248" s="331"/>
      <c r="C248" s="331"/>
      <c r="D248" s="331"/>
      <c r="E248" s="331"/>
      <c r="F248" s="331"/>
      <c r="G248" s="331"/>
    </row>
    <row r="249" spans="1:7" ht="12">
      <c r="A249" s="331"/>
      <c r="B249" s="331"/>
      <c r="C249" s="331"/>
      <c r="D249" s="331"/>
      <c r="E249" s="331"/>
      <c r="F249" s="331"/>
      <c r="G249" s="331"/>
    </row>
    <row r="250" spans="1:7" ht="12">
      <c r="A250" s="331"/>
      <c r="B250" s="331"/>
      <c r="C250" s="331"/>
      <c r="D250" s="331"/>
      <c r="E250" s="331"/>
      <c r="F250" s="331"/>
      <c r="G250" s="331"/>
    </row>
    <row r="251" spans="1:7" ht="12">
      <c r="A251" s="331"/>
      <c r="B251" s="331"/>
      <c r="C251" s="331"/>
      <c r="D251" s="331"/>
      <c r="E251" s="331"/>
      <c r="F251" s="331"/>
      <c r="G251" s="331"/>
    </row>
    <row r="252" spans="1:7" ht="12">
      <c r="A252" s="331"/>
      <c r="B252" s="331"/>
      <c r="C252" s="331"/>
      <c r="D252" s="331"/>
      <c r="E252" s="331"/>
      <c r="F252" s="331"/>
      <c r="G252" s="331"/>
    </row>
    <row r="253" spans="1:7" ht="12">
      <c r="A253" s="331"/>
      <c r="B253" s="331"/>
      <c r="C253" s="331"/>
      <c r="D253" s="331"/>
      <c r="E253" s="331"/>
      <c r="F253" s="331"/>
      <c r="G253" s="331"/>
    </row>
    <row r="254" spans="1:7" ht="12">
      <c r="A254" s="331"/>
      <c r="B254" s="331"/>
      <c r="C254" s="331"/>
      <c r="D254" s="331"/>
      <c r="E254" s="331"/>
      <c r="F254" s="331"/>
      <c r="G254" s="331"/>
    </row>
    <row r="255" spans="1:7" ht="12">
      <c r="A255" s="331"/>
      <c r="B255" s="331"/>
      <c r="C255" s="331"/>
      <c r="D255" s="331"/>
      <c r="E255" s="331"/>
      <c r="F255" s="331"/>
      <c r="G255" s="331"/>
    </row>
    <row r="256" spans="1:7" ht="12">
      <c r="A256" s="331"/>
      <c r="B256" s="331"/>
      <c r="C256" s="331"/>
      <c r="D256" s="331"/>
      <c r="E256" s="331"/>
      <c r="F256" s="331"/>
      <c r="G256" s="331"/>
    </row>
    <row r="257" spans="1:7" ht="12">
      <c r="A257" s="331"/>
      <c r="B257" s="331"/>
      <c r="C257" s="331"/>
      <c r="D257" s="331"/>
      <c r="E257" s="331"/>
      <c r="F257" s="331"/>
      <c r="G257" s="331"/>
    </row>
    <row r="258" spans="1:7" ht="12">
      <c r="A258" s="331"/>
      <c r="B258" s="331"/>
      <c r="C258" s="331"/>
      <c r="D258" s="331"/>
      <c r="E258" s="331"/>
      <c r="F258" s="331"/>
      <c r="G258" s="331"/>
    </row>
    <row r="259" spans="1:7" ht="12">
      <c r="A259" s="331"/>
      <c r="B259" s="331"/>
      <c r="C259" s="331"/>
      <c r="D259" s="331"/>
      <c r="E259" s="331"/>
      <c r="F259" s="331"/>
      <c r="G259" s="331"/>
    </row>
    <row r="260" spans="1:7" ht="12">
      <c r="A260" s="331"/>
      <c r="B260" s="331"/>
      <c r="C260" s="331"/>
      <c r="D260" s="331"/>
      <c r="E260" s="331"/>
      <c r="F260" s="331"/>
      <c r="G260" s="331"/>
    </row>
    <row r="261" spans="1:7" ht="12">
      <c r="A261" s="331"/>
      <c r="B261" s="331"/>
      <c r="C261" s="331"/>
      <c r="D261" s="331"/>
      <c r="E261" s="331"/>
      <c r="F261" s="331"/>
      <c r="G261" s="331"/>
    </row>
    <row r="262" spans="1:7" ht="12">
      <c r="A262" s="331"/>
      <c r="B262" s="331"/>
      <c r="C262" s="331"/>
      <c r="D262" s="331"/>
      <c r="E262" s="331"/>
      <c r="F262" s="331"/>
      <c r="G262" s="331"/>
    </row>
    <row r="263" spans="1:7" ht="12">
      <c r="A263" s="331"/>
      <c r="B263" s="331"/>
      <c r="C263" s="331"/>
      <c r="D263" s="331"/>
      <c r="E263" s="331"/>
      <c r="F263" s="331"/>
      <c r="G263" s="331"/>
    </row>
    <row r="264" spans="1:7" ht="12">
      <c r="A264" s="331"/>
      <c r="B264" s="331"/>
      <c r="C264" s="331"/>
      <c r="D264" s="331"/>
      <c r="E264" s="331"/>
      <c r="F264" s="331"/>
      <c r="G264" s="331"/>
    </row>
    <row r="265" spans="1:7" ht="12">
      <c r="A265" s="331"/>
      <c r="B265" s="331"/>
      <c r="C265" s="331"/>
      <c r="D265" s="331"/>
      <c r="E265" s="331"/>
      <c r="F265" s="331"/>
      <c r="G265" s="331"/>
    </row>
    <row r="266" spans="1:7" ht="12">
      <c r="A266" s="331"/>
      <c r="B266" s="331"/>
      <c r="C266" s="331"/>
      <c r="D266" s="331"/>
      <c r="E266" s="331"/>
      <c r="F266" s="331"/>
      <c r="G266" s="331"/>
    </row>
    <row r="267" spans="1:7" ht="12">
      <c r="A267" s="331"/>
      <c r="B267" s="331"/>
      <c r="C267" s="331"/>
      <c r="D267" s="331"/>
      <c r="E267" s="331"/>
      <c r="F267" s="331"/>
      <c r="G267" s="331"/>
    </row>
    <row r="268" spans="1:7" ht="12">
      <c r="A268" s="331"/>
      <c r="B268" s="331"/>
      <c r="C268" s="331"/>
      <c r="D268" s="331"/>
      <c r="E268" s="331"/>
      <c r="F268" s="331"/>
      <c r="G268" s="331"/>
    </row>
    <row r="269" spans="1:7" ht="12">
      <c r="A269" s="331"/>
      <c r="B269" s="331"/>
      <c r="C269" s="331"/>
      <c r="D269" s="331"/>
      <c r="E269" s="331"/>
      <c r="F269" s="331"/>
      <c r="G269" s="331"/>
    </row>
    <row r="270" spans="1:7" ht="12">
      <c r="A270" s="331"/>
      <c r="B270" s="331"/>
      <c r="C270" s="331"/>
      <c r="D270" s="331"/>
      <c r="E270" s="331"/>
      <c r="F270" s="331"/>
      <c r="G270" s="331"/>
    </row>
    <row r="271" spans="1:7" ht="12">
      <c r="A271" s="331"/>
      <c r="B271" s="331"/>
      <c r="C271" s="331"/>
      <c r="D271" s="331"/>
      <c r="E271" s="331"/>
      <c r="F271" s="331"/>
      <c r="G271" s="331"/>
    </row>
    <row r="272" spans="1:7" ht="12">
      <c r="A272" s="331"/>
      <c r="B272" s="331"/>
      <c r="C272" s="331"/>
      <c r="D272" s="331"/>
      <c r="E272" s="331"/>
      <c r="F272" s="331"/>
      <c r="G272" s="331"/>
    </row>
    <row r="273" spans="1:7" ht="12">
      <c r="A273" s="331"/>
      <c r="B273" s="331"/>
      <c r="C273" s="331"/>
      <c r="D273" s="331"/>
      <c r="E273" s="331"/>
      <c r="F273" s="331"/>
      <c r="G273" s="331"/>
    </row>
    <row r="274" spans="1:7" ht="12">
      <c r="A274" s="331"/>
      <c r="B274" s="331"/>
      <c r="C274" s="331"/>
      <c r="D274" s="331"/>
      <c r="E274" s="331"/>
      <c r="F274" s="331"/>
      <c r="G274" s="331"/>
    </row>
    <row r="275" spans="1:7" ht="12">
      <c r="A275" s="331"/>
      <c r="B275" s="331"/>
      <c r="C275" s="331"/>
      <c r="D275" s="331"/>
      <c r="E275" s="331"/>
      <c r="F275" s="331"/>
      <c r="G275" s="331"/>
    </row>
    <row r="276" spans="1:7" ht="12">
      <c r="A276" s="331"/>
      <c r="B276" s="331"/>
      <c r="C276" s="331"/>
      <c r="D276" s="331"/>
      <c r="E276" s="331"/>
      <c r="F276" s="331"/>
      <c r="G276" s="331"/>
    </row>
    <row r="277" spans="1:7" ht="12">
      <c r="A277" s="331"/>
      <c r="B277" s="331"/>
      <c r="C277" s="331"/>
      <c r="D277" s="331"/>
      <c r="E277" s="331"/>
      <c r="F277" s="331"/>
      <c r="G277" s="331"/>
    </row>
    <row r="278" spans="1:7" ht="12">
      <c r="A278" s="331"/>
      <c r="B278" s="331"/>
      <c r="C278" s="331"/>
      <c r="D278" s="331"/>
      <c r="E278" s="331"/>
      <c r="F278" s="331"/>
      <c r="G278" s="331"/>
    </row>
    <row r="279" spans="1:7" ht="12">
      <c r="A279" s="331"/>
      <c r="B279" s="331"/>
      <c r="C279" s="331"/>
      <c r="D279" s="331"/>
      <c r="E279" s="331"/>
      <c r="F279" s="331"/>
      <c r="G279" s="331"/>
    </row>
    <row r="280" spans="1:7" ht="12">
      <c r="A280" s="331"/>
      <c r="B280" s="331"/>
      <c r="C280" s="331"/>
      <c r="D280" s="331"/>
      <c r="E280" s="331"/>
      <c r="F280" s="331"/>
      <c r="G280" s="331"/>
    </row>
    <row r="281" spans="1:7" ht="12">
      <c r="A281" s="331"/>
      <c r="B281" s="331"/>
      <c r="C281" s="331"/>
      <c r="D281" s="331"/>
      <c r="E281" s="331"/>
      <c r="F281" s="331"/>
      <c r="G281" s="331"/>
    </row>
    <row r="282" spans="1:7" ht="12">
      <c r="A282" s="331"/>
      <c r="B282" s="331"/>
      <c r="C282" s="331"/>
      <c r="D282" s="331"/>
      <c r="E282" s="331"/>
      <c r="F282" s="331"/>
      <c r="G282" s="331"/>
    </row>
    <row r="283" spans="1:7" ht="12">
      <c r="A283" s="331"/>
      <c r="B283" s="331"/>
      <c r="C283" s="331"/>
      <c r="D283" s="331"/>
      <c r="E283" s="331"/>
      <c r="F283" s="331"/>
      <c r="G283" s="331"/>
    </row>
    <row r="284" spans="1:7" ht="12">
      <c r="A284" s="331"/>
      <c r="B284" s="331"/>
      <c r="C284" s="331"/>
      <c r="D284" s="331"/>
      <c r="E284" s="331"/>
      <c r="F284" s="331"/>
      <c r="G284" s="331"/>
    </row>
    <row r="285" spans="1:7" ht="12">
      <c r="A285" s="331"/>
      <c r="B285" s="331"/>
      <c r="C285" s="331"/>
      <c r="D285" s="331"/>
      <c r="E285" s="331"/>
      <c r="F285" s="331"/>
      <c r="G285" s="331"/>
    </row>
    <row r="286" spans="1:7" ht="12">
      <c r="A286" s="331"/>
      <c r="B286" s="331"/>
      <c r="C286" s="331"/>
      <c r="D286" s="331"/>
      <c r="E286" s="331"/>
      <c r="F286" s="331"/>
      <c r="G286" s="331"/>
    </row>
    <row r="287" spans="1:7" ht="12">
      <c r="A287" s="331"/>
      <c r="B287" s="331"/>
      <c r="C287" s="331"/>
      <c r="D287" s="331"/>
      <c r="E287" s="331"/>
      <c r="F287" s="331"/>
      <c r="G287" s="331"/>
    </row>
    <row r="288" spans="1:7" ht="12">
      <c r="A288" s="331"/>
      <c r="B288" s="331"/>
      <c r="C288" s="331"/>
      <c r="D288" s="331"/>
      <c r="E288" s="331"/>
      <c r="F288" s="331"/>
      <c r="G288" s="331"/>
    </row>
    <row r="289" spans="1:7" ht="12">
      <c r="A289" s="331"/>
      <c r="B289" s="331"/>
      <c r="C289" s="331"/>
      <c r="D289" s="331"/>
      <c r="E289" s="331"/>
      <c r="F289" s="331"/>
      <c r="G289" s="331"/>
    </row>
    <row r="290" spans="1:7" ht="12">
      <c r="A290" s="331"/>
      <c r="B290" s="331"/>
      <c r="C290" s="331"/>
      <c r="D290" s="331"/>
      <c r="E290" s="331"/>
      <c r="F290" s="331"/>
      <c r="G290" s="331"/>
    </row>
    <row r="291" spans="1:7" ht="12">
      <c r="A291" s="331"/>
      <c r="B291" s="331"/>
      <c r="C291" s="331"/>
      <c r="D291" s="331"/>
      <c r="E291" s="331"/>
      <c r="F291" s="331"/>
      <c r="G291" s="331"/>
    </row>
    <row r="292" spans="1:7" ht="12">
      <c r="A292" s="331"/>
      <c r="B292" s="331"/>
      <c r="C292" s="331"/>
      <c r="D292" s="331"/>
      <c r="E292" s="331"/>
      <c r="F292" s="331"/>
      <c r="G292" s="331"/>
    </row>
    <row r="293" spans="1:7" ht="12">
      <c r="A293" s="331"/>
      <c r="B293" s="331"/>
      <c r="C293" s="331"/>
      <c r="D293" s="331"/>
      <c r="E293" s="331"/>
      <c r="F293" s="331"/>
      <c r="G293" s="331"/>
    </row>
    <row r="294" spans="1:7" ht="12">
      <c r="A294" s="331"/>
      <c r="B294" s="331"/>
      <c r="C294" s="331"/>
      <c r="D294" s="331"/>
      <c r="E294" s="331"/>
      <c r="F294" s="331"/>
      <c r="G294" s="331"/>
    </row>
    <row r="295" spans="1:7" ht="12">
      <c r="A295" s="331"/>
      <c r="B295" s="331"/>
      <c r="C295" s="331"/>
      <c r="D295" s="331"/>
      <c r="E295" s="331"/>
      <c r="F295" s="331"/>
      <c r="G295" s="331"/>
    </row>
    <row r="296" spans="1:7" ht="12">
      <c r="A296" s="331"/>
      <c r="B296" s="331"/>
      <c r="C296" s="331"/>
      <c r="D296" s="331"/>
      <c r="E296" s="331"/>
      <c r="F296" s="331"/>
      <c r="G296" s="331"/>
    </row>
    <row r="297" spans="1:7" ht="12">
      <c r="A297" s="331"/>
      <c r="B297" s="331"/>
      <c r="C297" s="331"/>
      <c r="D297" s="331"/>
      <c r="E297" s="331"/>
      <c r="F297" s="331"/>
      <c r="G297" s="331"/>
    </row>
    <row r="298" spans="1:7" ht="12">
      <c r="A298" s="331"/>
      <c r="B298" s="331"/>
      <c r="C298" s="331"/>
      <c r="D298" s="331"/>
      <c r="E298" s="331"/>
      <c r="F298" s="331"/>
      <c r="G298" s="331"/>
    </row>
    <row r="299" spans="1:7" ht="12">
      <c r="A299" s="331"/>
      <c r="B299" s="331"/>
      <c r="C299" s="331"/>
      <c r="D299" s="331"/>
      <c r="E299" s="331"/>
      <c r="F299" s="331"/>
      <c r="G299" s="331"/>
    </row>
    <row r="300" spans="1:7" ht="12">
      <c r="A300" s="331"/>
      <c r="B300" s="331"/>
      <c r="C300" s="331"/>
      <c r="D300" s="331"/>
      <c r="E300" s="331"/>
      <c r="F300" s="331"/>
      <c r="G300" s="331"/>
    </row>
    <row r="301" spans="1:7" ht="12">
      <c r="A301" s="331"/>
      <c r="B301" s="331"/>
      <c r="C301" s="331"/>
      <c r="D301" s="331"/>
      <c r="E301" s="331"/>
      <c r="F301" s="331"/>
      <c r="G301" s="331"/>
    </row>
    <row r="302" spans="1:7" ht="12">
      <c r="A302" s="331"/>
      <c r="B302" s="331"/>
      <c r="C302" s="331"/>
      <c r="D302" s="331"/>
      <c r="E302" s="331"/>
      <c r="F302" s="331"/>
      <c r="G302" s="331"/>
    </row>
    <row r="303" spans="1:7" ht="12">
      <c r="A303" s="331"/>
      <c r="B303" s="331"/>
      <c r="C303" s="331"/>
      <c r="D303" s="331"/>
      <c r="E303" s="331"/>
      <c r="F303" s="331"/>
      <c r="G303" s="331"/>
    </row>
    <row r="304" spans="1:7" ht="12">
      <c r="A304" s="331"/>
      <c r="B304" s="331"/>
      <c r="C304" s="331"/>
      <c r="D304" s="331"/>
      <c r="E304" s="331"/>
      <c r="F304" s="331"/>
      <c r="G304" s="331"/>
    </row>
    <row r="305" spans="1:7" ht="12">
      <c r="A305" s="331"/>
      <c r="B305" s="331"/>
      <c r="C305" s="331"/>
      <c r="D305" s="331"/>
      <c r="E305" s="331"/>
      <c r="F305" s="331"/>
      <c r="G305" s="331"/>
    </row>
    <row r="306" spans="1:7" ht="12">
      <c r="A306" s="331"/>
      <c r="B306" s="331"/>
      <c r="C306" s="331"/>
      <c r="D306" s="331"/>
      <c r="E306" s="331"/>
      <c r="F306" s="331"/>
      <c r="G306" s="331"/>
    </row>
    <row r="307" spans="1:7" ht="12">
      <c r="A307" s="331"/>
      <c r="B307" s="331"/>
      <c r="C307" s="331"/>
      <c r="D307" s="331"/>
      <c r="E307" s="331"/>
      <c r="F307" s="331"/>
      <c r="G307" s="331"/>
    </row>
    <row r="308" spans="1:7" ht="12">
      <c r="A308" s="331"/>
      <c r="B308" s="331"/>
      <c r="C308" s="331"/>
      <c r="D308" s="331"/>
      <c r="E308" s="331"/>
      <c r="F308" s="331"/>
      <c r="G308" s="331"/>
    </row>
    <row r="309" spans="1:7" ht="12">
      <c r="A309" s="331"/>
      <c r="B309" s="331"/>
      <c r="C309" s="331"/>
      <c r="D309" s="331"/>
      <c r="E309" s="331"/>
      <c r="F309" s="331"/>
      <c r="G309" s="331"/>
    </row>
    <row r="310" spans="1:7" ht="12">
      <c r="A310" s="331"/>
      <c r="B310" s="331"/>
      <c r="C310" s="331"/>
      <c r="D310" s="331"/>
      <c r="E310" s="331"/>
      <c r="F310" s="331"/>
      <c r="G310" s="331"/>
    </row>
    <row r="311" spans="1:7" ht="12">
      <c r="A311" s="331"/>
      <c r="B311" s="331"/>
      <c r="C311" s="331"/>
      <c r="D311" s="331"/>
      <c r="E311" s="331"/>
      <c r="F311" s="331"/>
      <c r="G311" s="331"/>
    </row>
    <row r="312" spans="1:7" ht="12">
      <c r="A312" s="331"/>
      <c r="B312" s="331"/>
      <c r="C312" s="331"/>
      <c r="D312" s="331"/>
      <c r="E312" s="331"/>
      <c r="F312" s="331"/>
      <c r="G312" s="331"/>
    </row>
    <row r="313" spans="1:7" ht="12">
      <c r="A313" s="331"/>
      <c r="B313" s="331"/>
      <c r="C313" s="331"/>
      <c r="D313" s="331"/>
      <c r="E313" s="331"/>
      <c r="F313" s="331"/>
      <c r="G313" s="331"/>
    </row>
    <row r="314" spans="1:7" ht="12">
      <c r="A314" s="331"/>
      <c r="B314" s="331"/>
      <c r="C314" s="331"/>
      <c r="D314" s="331"/>
      <c r="E314" s="331"/>
      <c r="F314" s="331"/>
      <c r="G314" s="331"/>
    </row>
    <row r="315" spans="1:7" ht="12">
      <c r="A315" s="331"/>
      <c r="B315" s="331"/>
      <c r="C315" s="331"/>
      <c r="D315" s="331"/>
      <c r="E315" s="331"/>
      <c r="F315" s="331"/>
      <c r="G315" s="331"/>
    </row>
    <row r="316" spans="1:7" ht="12">
      <c r="A316" s="331"/>
      <c r="B316" s="331"/>
      <c r="C316" s="331"/>
      <c r="D316" s="331"/>
      <c r="E316" s="331"/>
      <c r="F316" s="331"/>
      <c r="G316" s="331"/>
    </row>
    <row r="317" spans="1:7" ht="12">
      <c r="A317" s="331"/>
      <c r="B317" s="331"/>
      <c r="C317" s="331"/>
      <c r="D317" s="331"/>
      <c r="E317" s="331"/>
      <c r="F317" s="331"/>
      <c r="G317" s="331"/>
    </row>
    <row r="318" spans="1:7" ht="12">
      <c r="A318" s="331"/>
      <c r="B318" s="331"/>
      <c r="C318" s="331"/>
      <c r="D318" s="331"/>
      <c r="E318" s="331"/>
      <c r="F318" s="331"/>
      <c r="G318" s="331"/>
    </row>
    <row r="319" spans="1:7" ht="12">
      <c r="A319" s="331"/>
      <c r="B319" s="331"/>
      <c r="C319" s="331"/>
      <c r="D319" s="331"/>
      <c r="E319" s="331"/>
      <c r="F319" s="331"/>
      <c r="G319" s="331"/>
    </row>
    <row r="320" spans="1:7" ht="12">
      <c r="A320" s="331"/>
      <c r="B320" s="331"/>
      <c r="C320" s="331"/>
      <c r="D320" s="331"/>
      <c r="E320" s="331"/>
      <c r="F320" s="331"/>
      <c r="G320" s="331"/>
    </row>
    <row r="321" spans="1:7" ht="12">
      <c r="A321" s="331"/>
      <c r="B321" s="331"/>
      <c r="C321" s="331"/>
      <c r="D321" s="331"/>
      <c r="E321" s="331"/>
      <c r="F321" s="331"/>
      <c r="G321" s="331"/>
    </row>
    <row r="322" spans="1:7" ht="12">
      <c r="A322" s="331"/>
      <c r="B322" s="331"/>
      <c r="C322" s="331"/>
      <c r="D322" s="331"/>
      <c r="E322" s="331"/>
      <c r="F322" s="331"/>
      <c r="G322" s="331"/>
    </row>
    <row r="323" spans="1:7" ht="12">
      <c r="A323" s="331"/>
      <c r="B323" s="331"/>
      <c r="C323" s="331"/>
      <c r="D323" s="331"/>
      <c r="E323" s="331"/>
      <c r="F323" s="331"/>
      <c r="G323" s="331"/>
    </row>
    <row r="324" spans="1:7" ht="12">
      <c r="A324" s="331"/>
      <c r="B324" s="331"/>
      <c r="C324" s="331"/>
      <c r="D324" s="331"/>
      <c r="E324" s="331"/>
      <c r="F324" s="331"/>
      <c r="G324" s="331"/>
    </row>
    <row r="325" spans="1:7" ht="12">
      <c r="A325" s="331"/>
      <c r="B325" s="331"/>
      <c r="C325" s="331"/>
      <c r="D325" s="331"/>
      <c r="E325" s="331"/>
      <c r="F325" s="331"/>
      <c r="G325" s="331"/>
    </row>
    <row r="326" spans="1:7" ht="12">
      <c r="A326" s="331"/>
      <c r="B326" s="331"/>
      <c r="C326" s="331"/>
      <c r="D326" s="331"/>
      <c r="E326" s="331"/>
      <c r="F326" s="331"/>
      <c r="G326" s="331"/>
    </row>
    <row r="327" spans="1:7" ht="12">
      <c r="A327" s="331"/>
      <c r="B327" s="331"/>
      <c r="C327" s="331"/>
      <c r="D327" s="331"/>
      <c r="E327" s="331"/>
      <c r="F327" s="331"/>
      <c r="G327" s="331"/>
    </row>
    <row r="328" spans="1:7" ht="12">
      <c r="A328" s="331"/>
      <c r="B328" s="331"/>
      <c r="C328" s="331"/>
      <c r="D328" s="331"/>
      <c r="E328" s="331"/>
      <c r="F328" s="331"/>
      <c r="G328" s="331"/>
    </row>
    <row r="329" spans="1:7" ht="12">
      <c r="A329" s="331"/>
      <c r="B329" s="331"/>
      <c r="C329" s="331"/>
      <c r="D329" s="331"/>
      <c r="E329" s="331"/>
      <c r="F329" s="331"/>
      <c r="G329" s="331"/>
    </row>
    <row r="330" spans="1:7" ht="12">
      <c r="A330" s="331"/>
      <c r="B330" s="331"/>
      <c r="C330" s="331"/>
      <c r="D330" s="331"/>
      <c r="E330" s="331"/>
      <c r="F330" s="331"/>
      <c r="G330" s="331"/>
    </row>
    <row r="331" spans="1:7" ht="12">
      <c r="A331" s="331"/>
      <c r="B331" s="331"/>
      <c r="C331" s="331"/>
      <c r="D331" s="331"/>
      <c r="E331" s="331"/>
      <c r="F331" s="331"/>
      <c r="G331" s="331"/>
    </row>
    <row r="332" spans="1:7" ht="12">
      <c r="A332" s="331"/>
      <c r="B332" s="331"/>
      <c r="C332" s="331"/>
      <c r="D332" s="331"/>
      <c r="E332" s="331"/>
      <c r="F332" s="331"/>
      <c r="G332" s="331"/>
    </row>
    <row r="333" spans="1:7" ht="12">
      <c r="A333" s="331"/>
      <c r="B333" s="331"/>
      <c r="C333" s="331"/>
      <c r="D333" s="331"/>
      <c r="E333" s="331"/>
      <c r="F333" s="331"/>
      <c r="G333" s="331"/>
    </row>
    <row r="334" spans="1:7" ht="12">
      <c r="A334" s="331"/>
      <c r="B334" s="331"/>
      <c r="C334" s="331"/>
      <c r="D334" s="331"/>
      <c r="E334" s="331"/>
      <c r="F334" s="331"/>
      <c r="G334" s="331"/>
    </row>
    <row r="335" spans="1:7" ht="12">
      <c r="A335" s="331"/>
      <c r="B335" s="331"/>
      <c r="C335" s="331"/>
      <c r="D335" s="331"/>
      <c r="E335" s="331"/>
      <c r="F335" s="331"/>
      <c r="G335" s="331"/>
    </row>
    <row r="336" spans="1:7" ht="12">
      <c r="A336" s="331"/>
      <c r="B336" s="331"/>
      <c r="C336" s="331"/>
      <c r="D336" s="331"/>
      <c r="E336" s="331"/>
      <c r="F336" s="331"/>
      <c r="G336" s="331"/>
    </row>
    <row r="337" spans="1:7" ht="12">
      <c r="A337" s="331"/>
      <c r="B337" s="331"/>
      <c r="C337" s="331"/>
      <c r="D337" s="331"/>
      <c r="E337" s="331"/>
      <c r="F337" s="331"/>
      <c r="G337" s="331"/>
    </row>
    <row r="338" spans="1:7" ht="12">
      <c r="A338" s="331"/>
      <c r="B338" s="331"/>
      <c r="C338" s="331"/>
      <c r="D338" s="331"/>
      <c r="E338" s="331"/>
      <c r="F338" s="331"/>
      <c r="G338" s="331"/>
    </row>
    <row r="339" spans="1:7" ht="12">
      <c r="A339" s="331"/>
      <c r="B339" s="331"/>
      <c r="C339" s="331"/>
      <c r="D339" s="331"/>
      <c r="E339" s="331"/>
      <c r="F339" s="331"/>
      <c r="G339" s="331"/>
    </row>
    <row r="340" spans="1:7" ht="12">
      <c r="A340" s="331"/>
      <c r="B340" s="331"/>
      <c r="C340" s="331"/>
      <c r="D340" s="331"/>
      <c r="E340" s="331"/>
      <c r="F340" s="331"/>
      <c r="G340" s="331"/>
    </row>
    <row r="341" spans="1:7" ht="12">
      <c r="A341" s="331"/>
      <c r="B341" s="331"/>
      <c r="C341" s="331"/>
      <c r="D341" s="331"/>
      <c r="E341" s="331"/>
      <c r="F341" s="331"/>
      <c r="G341" s="331"/>
    </row>
    <row r="342" spans="1:7" ht="12">
      <c r="A342" s="331"/>
      <c r="B342" s="331"/>
      <c r="C342" s="331"/>
      <c r="D342" s="331"/>
      <c r="E342" s="331"/>
      <c r="F342" s="331"/>
      <c r="G342" s="331"/>
    </row>
    <row r="343" spans="1:7" ht="12">
      <c r="A343" s="331"/>
      <c r="B343" s="331"/>
      <c r="C343" s="331"/>
      <c r="D343" s="331"/>
      <c r="E343" s="331"/>
      <c r="F343" s="331"/>
      <c r="G343" s="331"/>
    </row>
    <row r="344" spans="1:7" ht="12">
      <c r="A344" s="331"/>
      <c r="B344" s="331"/>
      <c r="C344" s="331"/>
      <c r="D344" s="331"/>
      <c r="E344" s="331"/>
      <c r="F344" s="331"/>
      <c r="G344" s="331"/>
    </row>
    <row r="345" spans="1:7" ht="12">
      <c r="A345" s="331"/>
      <c r="B345" s="331"/>
      <c r="C345" s="331"/>
      <c r="D345" s="331"/>
      <c r="E345" s="331"/>
      <c r="F345" s="331"/>
      <c r="G345" s="331"/>
    </row>
    <row r="346" spans="1:7" ht="12">
      <c r="A346" s="331"/>
      <c r="B346" s="331"/>
      <c r="C346" s="331"/>
      <c r="D346" s="331"/>
      <c r="E346" s="331"/>
      <c r="F346" s="331"/>
      <c r="G346" s="331"/>
    </row>
    <row r="347" spans="1:7" ht="12">
      <c r="A347" s="331"/>
      <c r="B347" s="331"/>
      <c r="C347" s="331"/>
      <c r="D347" s="331"/>
      <c r="E347" s="331"/>
      <c r="F347" s="331"/>
      <c r="G347" s="331"/>
    </row>
    <row r="348" spans="1:7" ht="12">
      <c r="A348" s="331"/>
      <c r="B348" s="331"/>
      <c r="C348" s="331"/>
      <c r="D348" s="331"/>
      <c r="E348" s="331"/>
      <c r="F348" s="331"/>
      <c r="G348" s="331"/>
    </row>
    <row r="349" spans="1:7" ht="12">
      <c r="A349" s="331"/>
      <c r="B349" s="331"/>
      <c r="C349" s="331"/>
      <c r="D349" s="331"/>
      <c r="E349" s="331"/>
      <c r="F349" s="331"/>
      <c r="G349" s="331"/>
    </row>
    <row r="350" spans="1:7" ht="12">
      <c r="A350" s="331"/>
      <c r="B350" s="331"/>
      <c r="C350" s="331"/>
      <c r="D350" s="331"/>
      <c r="E350" s="331"/>
      <c r="F350" s="331"/>
      <c r="G350" s="331"/>
    </row>
    <row r="351" spans="1:7" ht="12">
      <c r="A351" s="331"/>
      <c r="B351" s="331"/>
      <c r="C351" s="331"/>
      <c r="D351" s="331"/>
      <c r="E351" s="331"/>
      <c r="F351" s="331"/>
      <c r="G351" s="331"/>
    </row>
    <row r="352" spans="1:7" ht="12">
      <c r="A352" s="331"/>
      <c r="B352" s="331"/>
      <c r="C352" s="331"/>
      <c r="D352" s="331"/>
      <c r="E352" s="331"/>
      <c r="F352" s="331"/>
      <c r="G352" s="331"/>
    </row>
    <row r="353" spans="1:7" ht="12">
      <c r="A353" s="331"/>
      <c r="B353" s="331"/>
      <c r="C353" s="331"/>
      <c r="D353" s="331"/>
      <c r="E353" s="331"/>
      <c r="F353" s="331"/>
      <c r="G353" s="331"/>
    </row>
    <row r="354" spans="1:7" ht="12">
      <c r="A354" s="331"/>
      <c r="B354" s="331"/>
      <c r="C354" s="331"/>
      <c r="D354" s="331"/>
      <c r="E354" s="331"/>
      <c r="F354" s="331"/>
      <c r="G354" s="331"/>
    </row>
    <row r="355" spans="1:7" ht="12">
      <c r="A355" s="331"/>
      <c r="B355" s="331"/>
      <c r="C355" s="331"/>
      <c r="D355" s="331"/>
      <c r="E355" s="331"/>
      <c r="F355" s="331"/>
      <c r="G355" s="331"/>
    </row>
    <row r="356" spans="1:7" ht="12">
      <c r="A356" s="331"/>
      <c r="B356" s="331"/>
      <c r="C356" s="331"/>
      <c r="D356" s="331"/>
      <c r="E356" s="331"/>
      <c r="F356" s="331"/>
      <c r="G356" s="331"/>
    </row>
    <row r="357" spans="1:7" ht="12">
      <c r="A357" s="331"/>
      <c r="B357" s="331"/>
      <c r="C357" s="331"/>
      <c r="D357" s="331"/>
      <c r="E357" s="331"/>
      <c r="F357" s="331"/>
      <c r="G357" s="331"/>
    </row>
    <row r="358" spans="1:7" ht="12">
      <c r="A358" s="331"/>
      <c r="B358" s="331"/>
      <c r="C358" s="331"/>
      <c r="D358" s="331"/>
      <c r="E358" s="331"/>
      <c r="F358" s="331"/>
      <c r="G358" s="331"/>
    </row>
    <row r="359" spans="1:7" ht="12">
      <c r="A359" s="331"/>
      <c r="B359" s="331"/>
      <c r="C359" s="331"/>
      <c r="D359" s="331"/>
      <c r="E359" s="331"/>
      <c r="F359" s="331"/>
      <c r="G359" s="331"/>
    </row>
    <row r="360" spans="1:7" ht="12">
      <c r="A360" s="331"/>
      <c r="B360" s="331"/>
      <c r="C360" s="331"/>
      <c r="D360" s="331"/>
      <c r="E360" s="331"/>
      <c r="F360" s="331"/>
      <c r="G360" s="331"/>
    </row>
    <row r="361" spans="1:7" ht="12">
      <c r="A361" s="331"/>
      <c r="B361" s="331"/>
      <c r="C361" s="331"/>
      <c r="D361" s="331"/>
      <c r="E361" s="331"/>
      <c r="F361" s="331"/>
      <c r="G361" s="331"/>
    </row>
    <row r="362" spans="1:7" ht="12">
      <c r="A362" s="331"/>
      <c r="B362" s="331"/>
      <c r="C362" s="331"/>
      <c r="D362" s="331"/>
      <c r="E362" s="331"/>
      <c r="F362" s="331"/>
      <c r="G362" s="331"/>
    </row>
  </sheetData>
  <sheetProtection/>
  <mergeCells count="11">
    <mergeCell ref="E10:E12"/>
    <mergeCell ref="F10:F12"/>
    <mergeCell ref="A6:F6"/>
    <mergeCell ref="A7:F7"/>
    <mergeCell ref="A8:F8"/>
    <mergeCell ref="A10:C10"/>
    <mergeCell ref="A14:F14"/>
    <mergeCell ref="A11:A12"/>
    <mergeCell ref="B11:B12"/>
    <mergeCell ref="C11:C12"/>
    <mergeCell ref="D10:D12"/>
  </mergeCells>
  <printOptions/>
  <pageMargins left="0.3937007874015748" right="0.3937007874015748" top="0.27" bottom="0.2" header="0.11811023622047245" footer="0.118110236220472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31" t="s">
        <v>531</v>
      </c>
    </row>
    <row r="2" ht="12.75">
      <c r="J2" s="331" t="s">
        <v>278</v>
      </c>
    </row>
    <row r="3" ht="12.75">
      <c r="J3" s="331" t="s">
        <v>181</v>
      </c>
    </row>
    <row r="4" ht="12.75">
      <c r="J4" s="331" t="s">
        <v>666</v>
      </c>
    </row>
    <row r="5" spans="1:10" ht="16.5">
      <c r="A5" s="869" t="s">
        <v>418</v>
      </c>
      <c r="B5" s="869"/>
      <c r="C5" s="869"/>
      <c r="D5" s="869"/>
      <c r="E5" s="869"/>
      <c r="F5" s="869"/>
      <c r="G5" s="869"/>
      <c r="H5" s="869"/>
      <c r="I5" s="869"/>
      <c r="J5" s="869"/>
    </row>
    <row r="6" spans="1:10" ht="16.5">
      <c r="A6" s="869" t="s">
        <v>471</v>
      </c>
      <c r="B6" s="869"/>
      <c r="C6" s="869"/>
      <c r="D6" s="869"/>
      <c r="E6" s="869"/>
      <c r="F6" s="869"/>
      <c r="G6" s="869"/>
      <c r="H6" s="869"/>
      <c r="I6" s="869"/>
      <c r="J6" s="869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401</v>
      </c>
    </row>
    <row r="9" spans="1:11" ht="15" customHeight="1">
      <c r="A9" s="840" t="s">
        <v>419</v>
      </c>
      <c r="B9" s="837" t="s">
        <v>361</v>
      </c>
      <c r="C9" s="842" t="s">
        <v>25</v>
      </c>
      <c r="D9" s="870" t="s">
        <v>429</v>
      </c>
      <c r="E9" s="871"/>
      <c r="F9" s="871"/>
      <c r="G9" s="872"/>
      <c r="H9" s="842" t="s">
        <v>369</v>
      </c>
      <c r="I9" s="842"/>
      <c r="J9" s="842" t="s">
        <v>26</v>
      </c>
      <c r="K9" s="843" t="s">
        <v>31</v>
      </c>
    </row>
    <row r="10" spans="1:11" ht="15" customHeight="1">
      <c r="A10" s="841"/>
      <c r="B10" s="838"/>
      <c r="C10" s="835"/>
      <c r="D10" s="835" t="s">
        <v>368</v>
      </c>
      <c r="E10" s="864" t="s">
        <v>367</v>
      </c>
      <c r="F10" s="865"/>
      <c r="G10" s="866"/>
      <c r="H10" s="835" t="s">
        <v>368</v>
      </c>
      <c r="I10" s="835" t="s">
        <v>422</v>
      </c>
      <c r="J10" s="835"/>
      <c r="K10" s="844"/>
    </row>
    <row r="11" spans="1:11" ht="18" customHeight="1">
      <c r="A11" s="841"/>
      <c r="B11" s="838"/>
      <c r="C11" s="835"/>
      <c r="D11" s="835"/>
      <c r="E11" s="873" t="s">
        <v>27</v>
      </c>
      <c r="F11" s="864" t="s">
        <v>367</v>
      </c>
      <c r="G11" s="866"/>
      <c r="H11" s="835"/>
      <c r="I11" s="835"/>
      <c r="J11" s="835"/>
      <c r="K11" s="844"/>
    </row>
    <row r="12" spans="1:11" ht="42" customHeight="1">
      <c r="A12" s="841"/>
      <c r="B12" s="838"/>
      <c r="C12" s="835"/>
      <c r="D12" s="835"/>
      <c r="E12" s="850"/>
      <c r="F12" s="46" t="s">
        <v>24</v>
      </c>
      <c r="G12" s="46" t="s">
        <v>23</v>
      </c>
      <c r="H12" s="835"/>
      <c r="I12" s="835"/>
      <c r="J12" s="835"/>
      <c r="K12" s="844"/>
    </row>
    <row r="13" spans="1:11" ht="7.5" customHeight="1">
      <c r="A13" s="1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7">
        <v>11</v>
      </c>
    </row>
    <row r="14" spans="1:11" ht="19.5" customHeight="1">
      <c r="A14" s="138" t="s">
        <v>371</v>
      </c>
      <c r="B14" s="16" t="s">
        <v>375</v>
      </c>
      <c r="C14" s="16"/>
      <c r="D14" s="16"/>
      <c r="E14" s="16"/>
      <c r="F14" s="17" t="s">
        <v>406</v>
      </c>
      <c r="G14" s="16"/>
      <c r="H14" s="16"/>
      <c r="I14" s="16"/>
      <c r="J14" s="16"/>
      <c r="K14" s="276" t="s">
        <v>406</v>
      </c>
    </row>
    <row r="15" spans="1:11" ht="19.5" customHeight="1">
      <c r="A15" s="277"/>
      <c r="B15" s="274" t="s">
        <v>431</v>
      </c>
      <c r="C15" s="275"/>
      <c r="D15" s="275"/>
      <c r="E15" s="275"/>
      <c r="F15" s="273"/>
      <c r="G15" s="275"/>
      <c r="H15" s="275"/>
      <c r="I15" s="275"/>
      <c r="J15" s="275"/>
      <c r="K15" s="278"/>
    </row>
    <row r="16" spans="1:11" ht="39" customHeight="1">
      <c r="A16" s="282"/>
      <c r="B16" s="641" t="s">
        <v>645</v>
      </c>
      <c r="C16" s="642">
        <v>159184</v>
      </c>
      <c r="D16" s="642">
        <v>312540</v>
      </c>
      <c r="E16" s="642">
        <v>0</v>
      </c>
      <c r="F16" s="643" t="s">
        <v>406</v>
      </c>
      <c r="G16" s="642">
        <v>0</v>
      </c>
      <c r="H16" s="642">
        <v>287540</v>
      </c>
      <c r="I16" s="642">
        <f>'Dochody-ukł.wykon.'!I117</f>
        <v>25000</v>
      </c>
      <c r="J16" s="642">
        <f>C16+D16-H16</f>
        <v>184184</v>
      </c>
      <c r="K16" s="644" t="s">
        <v>406</v>
      </c>
    </row>
    <row r="17" spans="1:11" ht="39.75" customHeight="1">
      <c r="A17" s="283"/>
      <c r="B17" s="645" t="s">
        <v>644</v>
      </c>
      <c r="C17" s="646">
        <v>0</v>
      </c>
      <c r="D17" s="646">
        <v>169896</v>
      </c>
      <c r="E17" s="646">
        <v>0</v>
      </c>
      <c r="F17" s="647" t="s">
        <v>406</v>
      </c>
      <c r="G17" s="646">
        <v>0</v>
      </c>
      <c r="H17" s="646">
        <v>169896</v>
      </c>
      <c r="I17" s="646">
        <v>0</v>
      </c>
      <c r="J17" s="642">
        <f>C17+D17-H17</f>
        <v>0</v>
      </c>
      <c r="K17" s="648" t="s">
        <v>406</v>
      </c>
    </row>
    <row r="18" spans="1:11" s="42" customFormat="1" ht="19.5" customHeight="1" thickBot="1">
      <c r="A18" s="867" t="s">
        <v>14</v>
      </c>
      <c r="B18" s="868"/>
      <c r="C18" s="279">
        <f>SUM(C16:C17)</f>
        <v>159184</v>
      </c>
      <c r="D18" s="279">
        <f>SUM(D16:D17)</f>
        <v>482436</v>
      </c>
      <c r="E18" s="279">
        <f>SUM(E16:E17)</f>
        <v>0</v>
      </c>
      <c r="F18" s="280" t="s">
        <v>184</v>
      </c>
      <c r="G18" s="279">
        <f>SUM(G16:G17)</f>
        <v>0</v>
      </c>
      <c r="H18" s="279">
        <f>SUM(H16:H17)</f>
        <v>457436</v>
      </c>
      <c r="I18" s="279">
        <f>SUM(I16:I17)</f>
        <v>25000</v>
      </c>
      <c r="J18" s="279">
        <f>SUM(J16:J17)</f>
        <v>184184</v>
      </c>
      <c r="K18" s="281" t="s">
        <v>184</v>
      </c>
    </row>
    <row r="19" ht="4.5" customHeight="1"/>
    <row r="20" ht="12.75" customHeight="1">
      <c r="A20" s="47" t="s">
        <v>28</v>
      </c>
    </row>
    <row r="21" ht="14.25">
      <c r="A21" s="47" t="s">
        <v>29</v>
      </c>
    </row>
    <row r="22" ht="12.75">
      <c r="A22" s="47" t="s">
        <v>30</v>
      </c>
    </row>
    <row r="23" ht="12.75">
      <c r="A23" s="47" t="s">
        <v>37</v>
      </c>
    </row>
  </sheetData>
  <sheetProtection/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*</cp:lastModifiedBy>
  <cp:lastPrinted>2008-02-18T13:30:46Z</cp:lastPrinted>
  <dcterms:created xsi:type="dcterms:W3CDTF">1998-12-09T13:02:10Z</dcterms:created>
  <dcterms:modified xsi:type="dcterms:W3CDTF">2008-02-18T13:33:38Z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