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30" yWindow="390" windowWidth="1845" windowHeight="6540" tabRatio="762" firstSheet="9" activeTab="12"/>
  </bookViews>
  <sheets>
    <sheet name="Dochody-ukł.wykon." sheetId="1" r:id="rId1"/>
    <sheet name="Wydatki wg grup" sheetId="2" r:id="rId2"/>
    <sheet name="WYDATKI ukł.wyk." sheetId="3" r:id="rId3"/>
    <sheet name="Inwestycje 2007" sheetId="4" r:id="rId4"/>
    <sheet name="Wieloletnie programy" sheetId="5" r:id="rId5"/>
    <sheet name="Projekty unijne (2)" sheetId="6" r:id="rId6"/>
    <sheet name="Żródła finans." sheetId="7" r:id="rId7"/>
    <sheet name="Doch.i wyd..zlec.zał.3" sheetId="8" r:id="rId8"/>
    <sheet name="Doch. i wyd. adm.-4a" sheetId="9" r:id="rId9"/>
    <sheet name="Wspolne 232-4" sheetId="10" r:id="rId10"/>
    <sheet name="Gosp. pom." sheetId="11" r:id="rId11"/>
    <sheet name="Stowarzyszenia 10" sheetId="12" r:id="rId12"/>
    <sheet name="PFOŚiGW" sheetId="13" r:id="rId13"/>
    <sheet name="PFGZGiK" sheetId="14" r:id="rId14"/>
    <sheet name="Prognoza dł. 8" sheetId="15" r:id="rId15"/>
    <sheet name="Sytuacja finans." sheetId="16" r:id="rId16"/>
    <sheet name="Dotacje podmiotowe" sheetId="17" r:id="rId17"/>
  </sheets>
  <definedNames>
    <definedName name="_xlnm.Print_Area" localSheetId="7">'Doch.i wyd..zlec.zał.3'!$A$1:$G$178</definedName>
    <definedName name="_xlnm.Print_Area" localSheetId="0">'Dochody-ukł.wykon.'!$A$1:$H$268</definedName>
    <definedName name="_xlnm.Print_Area" localSheetId="10">'Gosp. pom.'!$A$1:$K$18</definedName>
    <definedName name="_xlnm.Print_Area" localSheetId="3">'Inwestycje 2007'!$A$1:$L$27</definedName>
    <definedName name="_xlnm.Print_Area" localSheetId="13">'PFGZGiK'!$A$1:$E$28</definedName>
    <definedName name="_xlnm.Print_Area" localSheetId="14">'Prognoza dł. 8'!$A$1:$AA$34</definedName>
    <definedName name="_xlnm.Print_Area" localSheetId="2">'WYDATKI ukł.wyk.'!$A$1:$H$666</definedName>
    <definedName name="_xlnm.Print_Titles" localSheetId="7">'Doch.i wyd..zlec.zał.3'!$17:$17</definedName>
    <definedName name="_xlnm.Print_Titles" localSheetId="0">'Dochody-ukł.wykon.'!$11:$11</definedName>
    <definedName name="_xlnm.Print_Titles" localSheetId="14">'Prognoza dł. 8'!$A:$A</definedName>
    <definedName name="_xlnm.Print_Titles" localSheetId="5">'Projekty unijne (2)'!$13:$13</definedName>
    <definedName name="_xlnm.Print_Titles" localSheetId="15">'Sytuacja finans.'!$A:$A</definedName>
    <definedName name="_xlnm.Print_Titles" localSheetId="9">'Wspolne 232-4'!$13:$13</definedName>
    <definedName name="_xlnm.Print_Titles" localSheetId="2">'WYDATKI ukł.wyk.'!$13:$13</definedName>
    <definedName name="_xlnm.Print_Titles" localSheetId="1">'Wydatki wg grup'!$11:$11</definedName>
  </definedNames>
  <calcPr fullCalcOnLoad="1"/>
</workbook>
</file>

<file path=xl/sharedStrings.xml><?xml version="1.0" encoding="utf-8"?>
<sst xmlns="http://schemas.openxmlformats.org/spreadsheetml/2006/main" count="2184" uniqueCount="797">
  <si>
    <t>Wynagro-
dzenia</t>
  </si>
  <si>
    <t>Gospodarki Zasobem Geodezyjnym i Kartograficznym</t>
  </si>
  <si>
    <t>dotacje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</si>
  <si>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</si>
  <si>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</si>
  <si>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</si>
  <si>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</si>
  <si>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</si>
  <si>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</si>
  <si>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</si>
  <si>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</si>
  <si>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</si>
  <si>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14.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</si>
  <si>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</si>
  <si>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</si>
  <si>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</si>
  <si>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</si>
  <si>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</si>
  <si>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</si>
  <si>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</si>
  <si>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</si>
  <si>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</si>
  <si>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</si>
  <si>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</si>
  <si>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</si>
  <si>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</si>
  <si>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</si>
  <si>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</si>
  <si>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</si>
  <si>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</si>
  <si>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</si>
  <si>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</si>
  <si>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</si>
  <si>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</si>
  <si>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</si>
  <si>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</si>
  <si>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Wykończenie IV piętra wraz z montażem dźwigu w  budynku Starostwa Powiatowego ul. Saperów 14A</t>
  </si>
  <si>
    <t>Plan wydatków budżetu powiatu elbląskiego na 2007 rok</t>
  </si>
  <si>
    <t>**   stan środków pieniężnych</t>
  </si>
  <si>
    <t>Rozliczenia
z budżetem
z tytułu wpłat nadwyżek środków za 2006 r.</t>
  </si>
  <si>
    <t>Papiery wartościowe (obligacje)</t>
  </si>
  <si>
    <t>Wykup papierów wartościowych (obligacji)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</si>
  <si>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</si>
  <si>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</si>
  <si>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</si>
  <si>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</si>
  <si>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Plan
na 2007 r.
(6+12)</t>
  </si>
  <si>
    <t>Pochodne od 
wynagro-dzeń</t>
  </si>
  <si>
    <t>(** kol. 4 do wykorzystania fakultatywnego)</t>
  </si>
  <si>
    <t>środki pochodzące
 z innych  źródeł*</t>
  </si>
  <si>
    <t>Wydatki budżetu powiatu na  2007 r.</t>
  </si>
  <si>
    <t xml:space="preserve">*** źródła dochodów wskazanych przez Zarząd </t>
  </si>
  <si>
    <t>Plan przychodów i wydatków Powiatowego Funduszu</t>
  </si>
  <si>
    <t>010</t>
  </si>
  <si>
    <t>Rolnictwo i łowiectwo</t>
  </si>
  <si>
    <t>Prace geodezyjno-urządzeniowe na potrzeby rolnictwa</t>
  </si>
  <si>
    <t>01005</t>
  </si>
  <si>
    <t>01095</t>
  </si>
  <si>
    <t>Pozostała działalność</t>
  </si>
  <si>
    <t>020</t>
  </si>
  <si>
    <t>Leśnictwo</t>
  </si>
  <si>
    <t>02001</t>
  </si>
  <si>
    <t>Nadzór na gospodarką leśną</t>
  </si>
  <si>
    <t>02002</t>
  </si>
  <si>
    <t>Transport i łączność</t>
  </si>
  <si>
    <t>PW na 2006 r.</t>
  </si>
  <si>
    <t>Drogi publiczne powiatowe</t>
  </si>
  <si>
    <t>Załącznik nr 1</t>
  </si>
  <si>
    <t>do Uchwały Nr .............</t>
  </si>
  <si>
    <t>Zarządu Powiatu w Elblągu</t>
  </si>
  <si>
    <t>Dz.</t>
  </si>
  <si>
    <t xml:space="preserve">W y s z c z e g ó l n i e n i e </t>
  </si>
  <si>
    <t>PW za 2006 r.</t>
  </si>
  <si>
    <t>4300</t>
  </si>
  <si>
    <t>Zakup usług pozostałych</t>
  </si>
  <si>
    <t>8550</t>
  </si>
  <si>
    <t>Różne rozliczenia finansowe</t>
  </si>
  <si>
    <t xml:space="preserve">Różne wydatki na rzecz osób fizycznych </t>
  </si>
  <si>
    <t>Dotacje celowe na zadania bieżące wg porozumień między jst</t>
  </si>
  <si>
    <t>Nagrody i wydatki osobowe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</si>
  <si>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</si>
  <si>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</si>
  <si>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</si>
  <si>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</si>
  <si>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</si>
  <si>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</si>
  <si>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</si>
  <si>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</si>
  <si>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</si>
  <si>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dostępu do sieci Internet</t>
  </si>
  <si>
    <t>Opłaty z tytułu zakupu usług telekom. tel. komórkowej</t>
  </si>
  <si>
    <t>Opłaty z tytułu zakupu usług telekom. tel. stacjonarnej</t>
  </si>
  <si>
    <t>Podróże służbowe krajowe</t>
  </si>
  <si>
    <t>Różne opłaty i składki</t>
  </si>
  <si>
    <t>Odpisy na zakładowy fundusz świadczeń socjalnych</t>
  </si>
  <si>
    <t>Podatek od nieruchomości</t>
  </si>
  <si>
    <t>Pozostałe podatki na rzecz budżetów j.s.t.</t>
  </si>
  <si>
    <t>Opłaty na rzecz budżetu państwa</t>
  </si>
  <si>
    <t>Opłaty na rzecz budżetów jednostek samorządu terytorialnego</t>
  </si>
  <si>
    <t>Podatek od towarów i usług</t>
  </si>
  <si>
    <t>Pozostałe odsetki</t>
  </si>
  <si>
    <t>Wydatki inwestycyjne jednostek budżetowych</t>
  </si>
  <si>
    <t>Wydatki na zakupy inwestycyjne jednostek budżetowych</t>
  </si>
  <si>
    <t>Turystyka</t>
  </si>
  <si>
    <t>Zadania w zakresie upowszechniania turystyki</t>
  </si>
  <si>
    <t>2830</t>
  </si>
  <si>
    <t>Dotacja celowa z budżetu na finansowanie lub dofinansowanie</t>
  </si>
  <si>
    <t>zad.zlec.do realizacji pozost.jedn.nie zalicznym do sekt.fin.publ.</t>
  </si>
  <si>
    <t>4210</t>
  </si>
  <si>
    <t>Gospodarka mieszkaniowa</t>
  </si>
  <si>
    <t>Gospodarka gruntami i nieruchomościami</t>
  </si>
  <si>
    <t>4480</t>
  </si>
  <si>
    <t>4700</t>
  </si>
  <si>
    <t>Szkolenia pracowników niebęd. człon. korpusu sł. cyw.</t>
  </si>
  <si>
    <t>Działalność usługowa</t>
  </si>
  <si>
    <t>Prace geodezyjne i kartograficzne (nieinwestycyjne)</t>
  </si>
  <si>
    <t>Opracowania geodezyjne i kartograficzne</t>
  </si>
  <si>
    <t>Nadzór budowlany</t>
  </si>
  <si>
    <t>Opłaty czynszowe za pomieszczenia biurowe</t>
  </si>
  <si>
    <t>Wydatki na zakupy inwestycyjne</t>
  </si>
  <si>
    <t>Administracja publiczna</t>
  </si>
  <si>
    <t>Urzędy wojewódzkie</t>
  </si>
  <si>
    <t>Zakup materiałów papierniczych do sprzętu drukarskiego i urządzeń kserograficznych</t>
  </si>
  <si>
    <t>Zakup akcesoriów komputerowych, w tym programów i licencji</t>
  </si>
  <si>
    <t>Rady powiatów</t>
  </si>
  <si>
    <t>Różne wydatki na rzecz osób fizycznych</t>
  </si>
  <si>
    <t>Podróże służbowe zagraniczne</t>
  </si>
  <si>
    <t>Starostwa powiatowe</t>
  </si>
  <si>
    <t>Opłaty za usługi internetowe</t>
  </si>
  <si>
    <t>Opłaty z tytułu zakupu usług telekom. tel. Komórkowej</t>
  </si>
  <si>
    <t>Wydatki na zakupy inwestycyjne jednostek budżet.</t>
  </si>
  <si>
    <t>Komisje poborowe</t>
  </si>
  <si>
    <t>Bezpieczeństwo publiczne i ochrona przeciwpożar.</t>
  </si>
  <si>
    <t>Obrona cywilna</t>
  </si>
  <si>
    <t>Obsługa długu publicznego</t>
  </si>
  <si>
    <t>Obsługa papierów wartościowych, kredytów i pożyczek</t>
  </si>
  <si>
    <t>Odsetki i dyskonta od papierów wart.oraz pożyczek</t>
  </si>
  <si>
    <t>Różne rozliczenia</t>
  </si>
  <si>
    <t>Rezerwy ogólne i celowe</t>
  </si>
  <si>
    <t>Rezerwy</t>
  </si>
  <si>
    <t>Oświata i wychowanie</t>
  </si>
  <si>
    <t>Szkoły podstawowe</t>
  </si>
  <si>
    <t>Zakup pomocy naukowych,dydaktycznych i książek</t>
  </si>
  <si>
    <t>Gimnazja</t>
  </si>
  <si>
    <t>Zakup pomocy naukowych, dydaktycznych i książek</t>
  </si>
  <si>
    <t>Licea ogólnokształcące</t>
  </si>
  <si>
    <t>Wydatki na zakupy inwestycyjne jednostek</t>
  </si>
  <si>
    <t>Szkoły zawodowe</t>
  </si>
  <si>
    <t>Dokształcanie i doskonalenie nauczycieli</t>
  </si>
  <si>
    <t>Dotacja celowa z budżetu na fin.lub dofin.zadań zleconych</t>
  </si>
  <si>
    <t>do realizacji stowarzyszeniom</t>
  </si>
  <si>
    <t>Szkolnictwo wyższe</t>
  </si>
  <si>
    <t>Pomoc materialna dla studentów i doktorantów</t>
  </si>
  <si>
    <t>Stypendia i zasiłki dla studentów</t>
  </si>
  <si>
    <t>Ochrona zdrowia</t>
  </si>
  <si>
    <t>Dotacje celowe na zadania bieżące wg porozumień</t>
  </si>
  <si>
    <t>Programy polityki zdrowotnej</t>
  </si>
  <si>
    <t xml:space="preserve">Składki na ubezpieczenia zdrowotne </t>
  </si>
  <si>
    <t>4130</t>
  </si>
  <si>
    <t>Składki na ubezpieczenia zdrowotne</t>
  </si>
  <si>
    <t>Pomoc społeczna</t>
  </si>
  <si>
    <t>Placówki opiekuńczo-wychowawcze</t>
  </si>
  <si>
    <t>Świadczenia społeczne</t>
  </si>
  <si>
    <t>Zakup środków żywności</t>
  </si>
  <si>
    <t>Domy pomocy społecznej</t>
  </si>
  <si>
    <t>Zakup usług obejmujących wykonanie ekspertyz, analiz i opinii</t>
  </si>
  <si>
    <t>Opłaty na rzecz budżetów jednostek samorząd.terytorial.</t>
  </si>
  <si>
    <t>Ośrodki wsparcia</t>
  </si>
  <si>
    <t>Zakup leków</t>
  </si>
  <si>
    <t>Rodziny zastępcze</t>
  </si>
  <si>
    <t>Powiatowe centra pomocy rodzinie</t>
  </si>
  <si>
    <t>Jednostki specjalist.poradnictwa, mieszkania chronione</t>
  </si>
  <si>
    <t>4260</t>
  </si>
  <si>
    <t>4270</t>
  </si>
  <si>
    <t>Pozostałe zadania w zakresie polityki społecznej</t>
  </si>
  <si>
    <t>Zespoły ds. orzekania o niepełnosprawności</t>
  </si>
  <si>
    <t>Powiatowe urzędy pracy</t>
  </si>
  <si>
    <t>Swiadczenia społeczne</t>
  </si>
  <si>
    <t>Edukacyjna opieka wychowawcza</t>
  </si>
  <si>
    <t>Świetlice szkolne</t>
  </si>
  <si>
    <t>Poradnie psychol.-pedagog.oraz in.porad.spec.</t>
  </si>
  <si>
    <t>Internaty i bursy szkolne</t>
  </si>
  <si>
    <t>podatek od towarów i usług</t>
  </si>
  <si>
    <t>Pomoc materialna dla uczniów</t>
  </si>
  <si>
    <t>Stypendia oraz inne formy pomocy dla uczniów</t>
  </si>
  <si>
    <t>Stypendia dla uczniów</t>
  </si>
  <si>
    <t>Młodzieżowe ośrodki wychowawcze</t>
  </si>
  <si>
    <t>Kultura i ochrona dziedzictwa narodowego</t>
  </si>
  <si>
    <t>Pozostałe zadania w zakresie kultury</t>
  </si>
  <si>
    <t>Biblioteki</t>
  </si>
  <si>
    <t>Kultura fizyczna i sport</t>
  </si>
  <si>
    <t>Zadania w zakresie upowszech. kultury fizycz.i sportu</t>
  </si>
  <si>
    <t>Nagrody i wydatki osobowe nie zaliczone do wynagr.</t>
  </si>
  <si>
    <t>WYDATKI OGÓŁEM</t>
  </si>
  <si>
    <t>płace</t>
  </si>
  <si>
    <t>dług</t>
  </si>
  <si>
    <t>rzeczowe</t>
  </si>
  <si>
    <t>majątkowe</t>
  </si>
  <si>
    <t>Przebudowa drogi powiatowej Nr 1185 N Rychliki-Gołutowo (2007-2011)</t>
  </si>
  <si>
    <t>Przebudowa drogi powiatowej nr 1119N Karczowiska Górne-Marwica na odcinku Stankowo-Marwica (2007-2011)</t>
  </si>
  <si>
    <t>Przebudowa drogi powiatowej Nr 1185 Jelonki-Śliwice-Rychliki-Gołtowo na odcinku Jelonki-Śliwice (2007-2013)</t>
  </si>
  <si>
    <t>Budowa bazy rekreacyjno-biwakowej przy pochylni Buczyniec (2007-2011)</t>
  </si>
  <si>
    <t>Poprawa dostępu do portu w Elblągu- budowa mostu zwodzonego w Nowakowie (2007-2010)</t>
  </si>
  <si>
    <t>Inkubator Przedsiębiorczości Turystycznej Obszaru Kanału Elbląskiego w Pasłęku (2007-2009)</t>
  </si>
  <si>
    <t>Starostwo Powiatowe</t>
  </si>
  <si>
    <t>Budowa kompleksu sportowo-rekreacyjnego w Pasłęku przy Zespole Szkół Ekonomicznych i Technicznych (2007-2012)</t>
  </si>
  <si>
    <t>Utworzenie zespołu sportowo-rekreacyjnego Domu Dziecka w Marwicy (2007-2010)</t>
  </si>
  <si>
    <t>DD Marwica</t>
  </si>
  <si>
    <t>9.</t>
  </si>
  <si>
    <t>10.</t>
  </si>
  <si>
    <t>11.</t>
  </si>
  <si>
    <t>PW w 2006 r.</t>
  </si>
  <si>
    <t>Wsk. %     5/4</t>
  </si>
  <si>
    <t>Planowane dochody</t>
  </si>
  <si>
    <t>Nadwyżka / Deficyt   I - II</t>
  </si>
  <si>
    <t>Finansowanie   III -  IV</t>
  </si>
  <si>
    <t>Rady Powiatu w Elblągu</t>
  </si>
  <si>
    <t xml:space="preserve"> w złotych</t>
  </si>
  <si>
    <t>Klasyfikacja</t>
  </si>
  <si>
    <t>X</t>
  </si>
  <si>
    <t>Przebudowa toalety na parterze w bydynku Starostwa Powiatowego</t>
  </si>
  <si>
    <t>Dokończenie budowy windy</t>
  </si>
  <si>
    <t>Wykonanie dokumentacji techniczno-ekonomicznej na termomodernizację obiektów jednostek organizacyjnych powiatu elbląskiego</t>
  </si>
  <si>
    <t>12.</t>
  </si>
  <si>
    <t>13.</t>
  </si>
  <si>
    <t>Zakup rębaka do gałęzi</t>
  </si>
  <si>
    <t>Zakup ładowarko-koparki</t>
  </si>
  <si>
    <t>Zakup skrapiarki</t>
  </si>
  <si>
    <t>Zakup ciągnika z kosiarką, siewnika, dmuchawy spalinowej</t>
  </si>
  <si>
    <t>Zakup komputerów</t>
  </si>
  <si>
    <t>80120</t>
  </si>
  <si>
    <t>80130</t>
  </si>
  <si>
    <t>80146</t>
  </si>
  <si>
    <t>80195</t>
  </si>
  <si>
    <t>80197</t>
  </si>
  <si>
    <t>80309</t>
  </si>
  <si>
    <t xml:space="preserve">Pomoc społeczna </t>
  </si>
  <si>
    <t>85202</t>
  </si>
  <si>
    <t>Domu pomocy społecznej</t>
  </si>
  <si>
    <t>85203</t>
  </si>
  <si>
    <t>85204</t>
  </si>
  <si>
    <t>85218</t>
  </si>
  <si>
    <t>85220</t>
  </si>
  <si>
    <t>1.Gospodarstwo Pomocnicze "Pólko" przy Zespole Szkól Ekonomicznych i Technicznych w Pasłęku</t>
  </si>
  <si>
    <t>2. Zakład obsługi Powiatowego Zasobu Geodezyjnego i Kartograficznego w Elblągu</t>
  </si>
  <si>
    <t>Wpływy z usług</t>
  </si>
  <si>
    <t>Przelewy redystrybucyjne</t>
  </si>
  <si>
    <t>Odsetki bankowe</t>
  </si>
  <si>
    <t>Szkolenia pracowników niebędących członkami korpusu służby cywilnej</t>
  </si>
  <si>
    <t>Zakup materiałów papierniczych do sprzętu drukarskiego i urządzeń kserograficznyvh</t>
  </si>
  <si>
    <t>0830</t>
  </si>
  <si>
    <t>0920</t>
  </si>
  <si>
    <t>1</t>
  </si>
  <si>
    <t>2</t>
  </si>
  <si>
    <t>do uchwały Nr ...............</t>
  </si>
  <si>
    <t xml:space="preserve">      w złotych</t>
  </si>
  <si>
    <t xml:space="preserve">PW  za 2006 r. </t>
  </si>
  <si>
    <t>2110</t>
  </si>
  <si>
    <t>Dotacje celowe otrzymane z budżetu państwa  na</t>
  </si>
  <si>
    <t xml:space="preserve">zad. bieżące z zakresu adm.rząd. oraz inne zad.zlecone   </t>
  </si>
  <si>
    <t>0750</t>
  </si>
  <si>
    <t>Dochody z najmu i dzierżawy składników majątkowych</t>
  </si>
  <si>
    <t>Skarbu Państwa lub j.s.t.i innych umów</t>
  </si>
  <si>
    <t>Gospodarka leśna</t>
  </si>
  <si>
    <t>Środki otrzymane od pozostałych jedn.sekt.finansów publ.</t>
  </si>
  <si>
    <t>0690</t>
  </si>
  <si>
    <t>Wpływy z różnych opłat</t>
  </si>
  <si>
    <t>0970</t>
  </si>
  <si>
    <t>Wpływy z różnych dochodów</t>
  </si>
  <si>
    <t>2310</t>
  </si>
  <si>
    <t>Dotacje celowe otrzymane z gminy na zadania bieżące</t>
  </si>
  <si>
    <t>realizowane na podstwie porozumień między j.s.t.</t>
  </si>
  <si>
    <t>0470</t>
  </si>
  <si>
    <t>Wpływy z opłat za zarząd, użytkowanie i użytkowanie</t>
  </si>
  <si>
    <t>wieczyste nieruchomości</t>
  </si>
  <si>
    <t>0770</t>
  </si>
  <si>
    <t>Wpłaty z tyt.odpłatnego nabycia pr. własności nieruchom.</t>
  </si>
  <si>
    <t>0910</t>
  </si>
  <si>
    <t>Odsetki od nieterminowych wpłat z tyt. podatków i opłat</t>
  </si>
  <si>
    <t xml:space="preserve">zad.bieżące z zakresu adm.rząd. oraz inne zad.zlecone   </t>
  </si>
  <si>
    <t>2360</t>
  </si>
  <si>
    <t xml:space="preserve">Dochody j.s.t. zw. z real. zadań z zakresu adm.rządowej </t>
  </si>
  <si>
    <t>oraz innych zadań zleconych ustawami</t>
  </si>
  <si>
    <t>8510</t>
  </si>
  <si>
    <t>Wpływy z różnych rozliczeń</t>
  </si>
  <si>
    <t>Prace geodezyjne i kartograficzne /nieinwestycyjne/</t>
  </si>
  <si>
    <t xml:space="preserve">zad.bieżące z zakresu adm.rząd. oraz inne zad. zlecone   </t>
  </si>
  <si>
    <t xml:space="preserve">zad. bieżące z zakresu adm.rząd.oraz inne zad. zlecone   </t>
  </si>
  <si>
    <t>0420</t>
  </si>
  <si>
    <t xml:space="preserve">Wpływy z opłaty komunikacyjnej </t>
  </si>
  <si>
    <t>0840</t>
  </si>
  <si>
    <t>Wpływy ze sprzedaży wyrobów</t>
  </si>
  <si>
    <t>Odsetki od nieterminowych wpłat z tytułu podatków i opłat</t>
  </si>
  <si>
    <t>0960</t>
  </si>
  <si>
    <t xml:space="preserve">zad.bieżące z zakresu adm.rząd. oraz inne zad. zlecone  </t>
  </si>
  <si>
    <t>Bezpieczeństwo publiczne i ochrona przeciwpożarowa</t>
  </si>
  <si>
    <t>Dochody od osób prawnych, od osób fizycznych i od</t>
  </si>
  <si>
    <t>innych jednostek nieposiadających osob. prawnej</t>
  </si>
  <si>
    <t>Udziały powiatów w podatkach stanowiących dochód</t>
  </si>
  <si>
    <t>budżetu państwa</t>
  </si>
  <si>
    <t>0010</t>
  </si>
  <si>
    <t>Podatek dochodowy od osób fizycznych</t>
  </si>
  <si>
    <t xml:space="preserve">Część oświatowa subwencji ogólnej dla j.s.t. </t>
  </si>
  <si>
    <t>Subwencje ogólne z budżetu państwa</t>
  </si>
  <si>
    <t>Część wyrównawcza subwencji ogólnej dla powiatów</t>
  </si>
  <si>
    <t>Część równoważąca subwencji ogólnej dla powiatów</t>
  </si>
  <si>
    <t>2920</t>
  </si>
  <si>
    <t>Otrzymane spadki, zapisy i darowizny w postaci pieniężnej</t>
  </si>
  <si>
    <t>2130</t>
  </si>
  <si>
    <t xml:space="preserve">Dotacje celowe otrzymane z budżetu państwa na  </t>
  </si>
  <si>
    <t>realizację bieżących zadań własnych powiatu</t>
  </si>
  <si>
    <t>2380</t>
  </si>
  <si>
    <t>Wpłata do budżetu części zysku przez gosp.pomoc.</t>
  </si>
  <si>
    <t>realizowane na podstawie porozumień między j.s.t.</t>
  </si>
  <si>
    <t>Przeciwdziałanie alkoholizmowi</t>
  </si>
  <si>
    <t xml:space="preserve">Dotacje celowe otrzymane od samorządu woj. na </t>
  </si>
  <si>
    <t>zad.bieżące real. na pods. porozumień miedzy j.s.t.</t>
  </si>
  <si>
    <t>Składki na ubezpieczenia zdrowotne oraz świadczenia</t>
  </si>
  <si>
    <t>dla osób nie objętych obowiązkiem ubezp. zdrowotnego</t>
  </si>
  <si>
    <t>0870</t>
  </si>
  <si>
    <t>Wpływy ze sprzedaży składników majątkowych</t>
  </si>
  <si>
    <t>Dotacje celowe z budżetu państwa na zadania bieżące real.</t>
  </si>
  <si>
    <t>przez powiat na podst.porozumień z organami adm.rządowej</t>
  </si>
  <si>
    <t>Jednostki specjal.poradnictwa, mieszkania chronione</t>
  </si>
  <si>
    <t>Zespoły d/s orzekania o niepełnosprawności</t>
  </si>
  <si>
    <t>Państwowy Fundusz Rehabilitacji Osób Niepełnosprawnych</t>
  </si>
  <si>
    <t>2128</t>
  </si>
  <si>
    <t>2129</t>
  </si>
  <si>
    <t>DOCHODY OGÓŁEM</t>
  </si>
  <si>
    <t>1. Dochody własne</t>
  </si>
  <si>
    <t xml:space="preserve"> - udziały w podatku dochodowym</t>
  </si>
  <si>
    <t xml:space="preserve"> - z majątku powiatu</t>
  </si>
  <si>
    <t xml:space="preserve"> - pozostałe dochody</t>
  </si>
  <si>
    <t>2.Dotacje celowe</t>
  </si>
  <si>
    <t xml:space="preserve"> - na zadania własne - § 2130 , 6430</t>
  </si>
  <si>
    <t xml:space="preserve"> - na zadania zlecone  - § 2110, 6410</t>
  </si>
  <si>
    <t xml:space="preserve"> - na umowy i porozumienia z jst-§ 2310,2320,2330,6610</t>
  </si>
  <si>
    <t xml:space="preserve"> - na umowy i porozumienia z org. admin. rządow.</t>
  </si>
  <si>
    <t>3. Subwencje</t>
  </si>
  <si>
    <t>Załącznik nr 3</t>
  </si>
  <si>
    <t>do uchwały Nr</t>
  </si>
  <si>
    <t>Rady Powiatu w Elbląg</t>
  </si>
  <si>
    <t>Załącznik nr 3a</t>
  </si>
  <si>
    <t>do uchwały Nr.............</t>
  </si>
  <si>
    <t>RPO Warmia i Mazury na lata 2007-2013; projekt kluczowy pn. "Program rozwoju turystyki w obszarze Kanału Elbląskiego i Pojezierza Iławskiego na lata 2007-2013"; fiszka Nr ZPRL 3.1.8.50</t>
  </si>
  <si>
    <t>1.8</t>
  </si>
  <si>
    <t>1.9</t>
  </si>
  <si>
    <t>1.10</t>
  </si>
  <si>
    <t>RPO Warmia i Mazury na lata 2007-2013; projekt kluczowy pn. "Program rozwoju turystyki w obszarze Kanału Elbląskiego i Pojezierza Iławskiego na lata 2007-2013"; fiszka Nr ZPRL 2.12.14</t>
  </si>
  <si>
    <t>1.11</t>
  </si>
  <si>
    <t>Załącznik nr 5</t>
  </si>
  <si>
    <t>do uchwały nr.........</t>
  </si>
  <si>
    <t>Załącznik nr 9</t>
  </si>
  <si>
    <t>do uchwały nr ...........</t>
  </si>
  <si>
    <t>Załącznik nr 11</t>
  </si>
  <si>
    <t>do uchwały nr..........</t>
  </si>
  <si>
    <t>Załącznik nr 12</t>
  </si>
  <si>
    <t>Załącznik nr 14</t>
  </si>
  <si>
    <t>do uchwały Nr...........</t>
  </si>
  <si>
    <t>Plan dochodów budżetu powiatu elbląskiego na 2007 r.</t>
  </si>
  <si>
    <t>Załącznik nr 2</t>
  </si>
  <si>
    <t>do uchwały Nr.........</t>
  </si>
  <si>
    <t>na 2007 rok</t>
  </si>
  <si>
    <t>Przychody ogółem, w tym:</t>
  </si>
  <si>
    <t>Wydatki ogółem, w tym:</t>
  </si>
  <si>
    <t>Wydatki bieżące, z tego:</t>
  </si>
  <si>
    <t>Wydatki majątkowe, z tego:</t>
  </si>
  <si>
    <t>5. Środki pozyskane z innych źródeł - § 2700, § 2460</t>
  </si>
  <si>
    <t>Załącznik nr 6</t>
  </si>
  <si>
    <t>do uchwały Nr ................</t>
  </si>
  <si>
    <t xml:space="preserve">Dochody i wydatki związane z realizacją zadań z zakresu administracji </t>
  </si>
  <si>
    <t>Dochody</t>
  </si>
  <si>
    <t>W y s z c z e g ó l n i e n i e</t>
  </si>
  <si>
    <t>Prace geodez.-urządzeniowe na potrzeby rolnictwa</t>
  </si>
  <si>
    <t>Dot.cel.otrz.z budż.pań.na zad.bież.z zakr.adm.rząd.</t>
  </si>
  <si>
    <t>Skladki na Fundusz Pracy</t>
  </si>
  <si>
    <t>Opłaty z tytułu zakupu usług telekom. tel. stacjonarn.</t>
  </si>
  <si>
    <t>4430</t>
  </si>
  <si>
    <t>4440</t>
  </si>
  <si>
    <t>Odpisy na zakładowy fund.świadczeń socjalnych</t>
  </si>
  <si>
    <t>4350</t>
  </si>
  <si>
    <t>4370</t>
  </si>
  <si>
    <t>Opłaty z tytułu zakupu usług telekom. tel. stacjon.</t>
  </si>
  <si>
    <t>4410</t>
  </si>
  <si>
    <t>Szkolenia pracowników niebęd. człon. kor. sł. cyw.</t>
  </si>
  <si>
    <t>4740</t>
  </si>
  <si>
    <t>Zakup mater. papier. do sprzętu druk. i urządz. kser.</t>
  </si>
  <si>
    <t>4750</t>
  </si>
  <si>
    <t>Zakup akcesoriów komput., w tym programów i licen.</t>
  </si>
  <si>
    <t>3030</t>
  </si>
  <si>
    <t>Opłaty z tytułu zakupu usług telekom. tel. Stacjon.</t>
  </si>
  <si>
    <t>Zakup materiałów pap. do sprz. drukar. i urządz kser.</t>
  </si>
  <si>
    <t>Składki na ubezp.zdr.oraz świad.dla os.nie obj.ubezp.zdr.</t>
  </si>
  <si>
    <t>Dodatkowe wynagrodzenie roczne</t>
  </si>
  <si>
    <t>Szkolenia pracowników niebęd. człon. korp. sł. cyw.</t>
  </si>
  <si>
    <t>Zakup materiałów pap. do sprz. drukar. i urządz. kser.</t>
  </si>
  <si>
    <t>Dochody i wydatki ogółem, z tego:</t>
  </si>
  <si>
    <t>a) Wydatki bieżące, w tym:</t>
  </si>
  <si>
    <t>- wynagrodzenia § 4010,4040, 4170</t>
  </si>
  <si>
    <t>- pochodne od wynagrodzeń § 4110,4120</t>
  </si>
  <si>
    <t>- świadczenia społeczne § 3110</t>
  </si>
  <si>
    <t>b) Wydatki majątkowe § 6....</t>
  </si>
  <si>
    <t>do uchwały Nr .............</t>
  </si>
  <si>
    <t>Dochody i wydatki związane z realizacją zadań</t>
  </si>
  <si>
    <t>realizowanych na podstawie porozumień (umów) między</t>
  </si>
  <si>
    <t>jednostkami samorządu terytorialnego  w 2007 r.</t>
  </si>
  <si>
    <t xml:space="preserve">  w złotych</t>
  </si>
  <si>
    <t>N a z w a</t>
  </si>
  <si>
    <t>1. Umowy</t>
  </si>
  <si>
    <t>Dotacje celowe otrzymane od samorządu województwa</t>
  </si>
  <si>
    <t xml:space="preserve">na zadania bieżące realizowane na podstawie porozumień </t>
  </si>
  <si>
    <t>/umów/ między jednostkami samorządu terytorialnego</t>
  </si>
  <si>
    <t>2. Porozumienia</t>
  </si>
  <si>
    <t xml:space="preserve">Dotacje celowe otrzymane z gminy na zadania bieżące </t>
  </si>
  <si>
    <t>Składki na ubepieczenie społeczne</t>
  </si>
  <si>
    <t>Zakup materiałów papier. do sprz. druk. i urządzeń ksero.</t>
  </si>
  <si>
    <t>Dotacje celowe przekazane gminie na zadania bieżące real.</t>
  </si>
  <si>
    <t>na podst. porozumień między jednostkami samorządu ter.</t>
  </si>
  <si>
    <t xml:space="preserve"> - dotacje</t>
  </si>
  <si>
    <t xml:space="preserve">Dotacje celowe na zadania własne powiatu </t>
  </si>
  <si>
    <t xml:space="preserve">realizowane przez podmioty należące i nienależące </t>
  </si>
  <si>
    <t xml:space="preserve"> do sektora finansów publicznych w 2007 r. </t>
  </si>
  <si>
    <t>Lp</t>
  </si>
  <si>
    <t>Razem, w tym:</t>
  </si>
  <si>
    <t>Zlot ekologiczny "Powitanie wiosny"</t>
  </si>
  <si>
    <t>"Aktywizowanie społeczności lokalnej powiatu elbląskiego poprzez wspieranie organizacji pozarządowych z terenu powiatu"</t>
  </si>
  <si>
    <t>Ogólnopolski Plener Plastyczny "Bliżej natury"</t>
  </si>
  <si>
    <t>Ogólnopolski Przegląd Kultury Mniejszości Narodowej "Integracje"</t>
  </si>
  <si>
    <t>Regionalny Festiwal Piosenki Ukraińskiej</t>
  </si>
  <si>
    <t>Powiatowe Igrzyska Młodzieży Szkolnej</t>
  </si>
  <si>
    <t>Powiatowe Mistrzostwa Gimnazjów "Gimnazjada"</t>
  </si>
  <si>
    <t>Powiatowe Mistrzostwa Szkół Ponadgimnazjalnych "Licealiada"</t>
  </si>
  <si>
    <t>"Puchar Ferii 2005" - sport dla wszystkich dzieci</t>
  </si>
  <si>
    <t>Organizacja zajęć sportowo-rekreacyjnych dla dzieci i młodzieży z Uczniowskich Klubów Sportowych Powiatu Elbląskiego</t>
  </si>
  <si>
    <t>Organizacja uczestnictwa reprezentacji powiatu dzieci i młodzieży szkolnej w imprezach sportowych na szczeblu wojewódzkim, ogólnopolskim i międzynarodowym</t>
  </si>
  <si>
    <t>Mistrzostwa Polski Wiejskich Szkół Podstawowych w Halowej Piłce Nożnej</t>
  </si>
  <si>
    <t>Powiatowa inauguracja sportowego roku szkolnego 2007/2008</t>
  </si>
  <si>
    <t>Turnieje ogólnopolskie unihokeja dzieci i młodzieży w Elblągu</t>
  </si>
  <si>
    <t>Turniej Koszykówki o Puchar Starosty Elbląskiego z okazji Dnia Niepodległości</t>
  </si>
  <si>
    <t>Edukacja młodzieży z zakresu ratownictwa wodnego i bezpieczeństwa nad akwenami</t>
  </si>
  <si>
    <t>Otwarte mistrzostwa powiatu elbląskiego w biegu na orientację</t>
  </si>
  <si>
    <t>Powiatowa Olimpiada Sportowa Przedszkolaków</t>
  </si>
  <si>
    <t>Ogólnopolskie zawody w trójboju sportowym</t>
  </si>
  <si>
    <t>Międzynarodowy rodzinny turniej w rzucie podkową o puchar Starosty Elbląskiego</t>
  </si>
  <si>
    <t>Przygotowanie i udział reprezentacji powiatu elbląskiego w Ogólnopolskiej Spartakiadzie Młodzieży i Mistrzostwach Polski w lekkiej atletyce osób niepełnosprawnych</t>
  </si>
  <si>
    <t xml:space="preserve"> OGÓŁEM  KWOTA  DOTACJI</t>
  </si>
  <si>
    <t>1.4</t>
  </si>
  <si>
    <t>1.5</t>
  </si>
  <si>
    <t>1.6</t>
  </si>
  <si>
    <t>1.7</t>
  </si>
  <si>
    <t>Przebudowa drogi powiatowej Nr 1119N Karczowiska Górne-Marwica na odcinku Stankowo-Marwica od km 18+400 do km 22+423, gm. Rychliki</t>
  </si>
  <si>
    <t>Budowa bazy rekreacyjno-biwakowej przy pochylni Buczyniec, gm. Pasłęk</t>
  </si>
  <si>
    <t>Remont mostu przez Kanał Jagieloński w miejscowości Kępa Rybacka w ciągu drogi powiatowej Nr 1101N Nowakowo-Kępa Rybacka-Bielnik Drugi, gm. Elbląg</t>
  </si>
  <si>
    <t>E.</t>
  </si>
  <si>
    <t>Wartość udzielonych pożyczek</t>
  </si>
  <si>
    <t>Budowa kompleksu sportowo-rekreacyjnego w Pasłęku przy Zespole Szkół Ekonomicznych i Technicznych w Pasłęku</t>
  </si>
  <si>
    <t>Utworzenie zespołu sportowo-rekreacyjnego Domu Dziecka w Marwicy, gm. Rychliki</t>
  </si>
  <si>
    <t>Inkubator Przedsiębiorczości Turystycznej Obszaru Kanału Elbląskiego w Pasłęku</t>
  </si>
  <si>
    <t>Przebudowa drogi powiatowej Nr 1103 N Bielnik Drugi-Jegłownik-Gronowo Elbląskie-Stare Dolno-Marwica na odcinku Dolno-Wysoka-Powodowo (2007-2011)</t>
  </si>
  <si>
    <t xml:space="preserve"> oraz dochodów i wydatków rachunków dochodów własnych jednostek budżetowych na 2007 r.</t>
  </si>
  <si>
    <t>2338</t>
  </si>
  <si>
    <t>2339</t>
  </si>
  <si>
    <t>Dotacje celowe otrzymane od samorządu województwa na</t>
  </si>
  <si>
    <t>zadania bieżące real. na pods. poroz. (umów) między j.s.t.</t>
  </si>
  <si>
    <t>RPO Warmia i Mazury na lata 2007-2013; projekt kluczowy pn. "Program rozwoju turystyki w obszarze Kanału Elbląskiego i Pojezierza Iławskiego na lata 2007-2013"; fiszka Nr ZPRL 3.1.2.44</t>
  </si>
  <si>
    <t>5. Infrastruktura transportowa lokalna i regionalna</t>
  </si>
  <si>
    <t>5.2. Budowa, rozbudowa i modernizacja infrastruktury transportowej, służącej rozwojowi lokalnemu</t>
  </si>
  <si>
    <t>Przebudowa drogi powiatowej Nr 1103N Kazimierzowo-Helenowo-Wikrowo-Jegłownik-Gronowo Elbląskie-Stare Dolno-Marwica na odcinku długości 7,1 km Helenowo-Jegłownik od km 0+00 do km 7+100, gm. Elbląg</t>
  </si>
  <si>
    <t>RPO Warmia i Mazury na lata 2007-2013; projekt kluczowy pn. "Program rozwoju turystyki w obszarze Kanału Elbląskiego i Pojezierza Iławskiego na lata 2007-2013"; fiszka Nr ZPRL 3.1.3.45</t>
  </si>
  <si>
    <t xml:space="preserve">Przebudowa drogi powiatowej Nr 1185N Rychliki-Gołutowo na odcinku o dł. 4,265 km od km 9+869 do km 14+134, gm. Rychliki  </t>
  </si>
  <si>
    <t>RPO Warmia i Mazury na lata 2007-2013; projekt kluczowy pn. "Program rozwoju turystyki w obszarze Kanału Elbląskiego i Pojezierza Iławskiego na lata 2007-2013"; fiszka Nr ZPRL 3.1.4.46</t>
  </si>
  <si>
    <t>Przebudowa drogi powiatowej Nr 1103N Bielnik Drugi-Jegłownik-Gronowo Elbląskie-Stare Dolno-Marwica na odcinku Stare Dolno-Wysoka-Powodowo od km 18+148 do km 23+248 o długości 5,1 km, gm. Rychliki</t>
  </si>
  <si>
    <t>RPO Warmia i Mazury na lata 2007-2013; projekt kluczowy pn. "Program rozwoju turystyki w obszarze Kanału Elbląskiego i Pojezierza Iławskiego na lata 2007-2013"; fiszka Nr ZPRL 3.1.5.47</t>
  </si>
  <si>
    <t>RPO Warmia i Mazury na lata 2007-2013; projekt kluczowy pn. "Program rozwoju turystyki w obszarze Kanału Elbląskiego i Pojezierza Iławskiego na lata 2007-2013"; fiszka Nr ZPRL 3.1.7.49</t>
  </si>
  <si>
    <t>Przebudowa drogi powiatowej Nr 1185 Jelonki-Śliwice-Rychliki-Gołutowo na odcinku Jelonki-Śliwice o dł. 4,545 km od km 0+000 do km 4+545, gm. Rychliki</t>
  </si>
  <si>
    <t>RPO Warmia i Mazury na lata 2007-2013; projekt kluczowy pn. "Program rozwoju turystyki w obszarze Kanału Elbląskiego i Pojezierza Iławskiego na lata 2007-2013"; fiszka Nr ZPRL 2.9.11</t>
  </si>
  <si>
    <t>2. Turystyka</t>
  </si>
  <si>
    <t>Wzrost potencjału turystycznego Warmii i Mazur</t>
  </si>
  <si>
    <t>Poprawa dostepu do portu w Elblągu - budowa mostu zwodzonego w m. Nowakowo w ciągu drogi powiatowej Nr 1100N rz. Elbląg, gm. Elbląg</t>
  </si>
  <si>
    <t>RPO Warmia i Mazury na lata 2007-2013; projekt kluczowy pn. "Program rozwoju turystyki w obszarze Kanału Elbląskiego i Pojezierza Iławskiego na lata 2007-2013"; fiszka Nr ZPRL 3.1.6.48</t>
  </si>
  <si>
    <t>RPO Warmia i Mazury na lata 2007-2013; projekt kluczowy pn. "Program rozwoju turystyki w obszarze Kanału Elbląskiego i Pojezierza Iławskiego na lata 2007-2013"; fiszka Nr ZPRL 2.10.12</t>
  </si>
  <si>
    <t>Walka z patologiami realizacja programu "Bezpieczna szkoła"</t>
  </si>
  <si>
    <t>Prognozowana sytuacja finansowa powiatu w latach spłaty długu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</si>
  <si>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</si>
  <si>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</si>
  <si>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</si>
  <si>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</si>
  <si>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</si>
  <si>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</si>
  <si>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</si>
  <si>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</si>
  <si>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</si>
  <si>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</si>
  <si>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</si>
  <si>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</si>
  <si>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</si>
  <si>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</si>
  <si>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</si>
  <si>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</si>
  <si>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</si>
  <si>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</si>
  <si>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</si>
  <si>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</si>
  <si>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Wykup papierów wartościowych</t>
  </si>
  <si>
    <t>Wynik (I - II)</t>
  </si>
  <si>
    <t>V.</t>
  </si>
  <si>
    <t>Planowana łączna kwota długu, w tym: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</si>
  <si>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</si>
  <si>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</si>
  <si>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</si>
  <si>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</si>
  <si>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</si>
  <si>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</si>
  <si>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</si>
  <si>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</si>
  <si>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2008 r</t>
  </si>
  <si>
    <t>2010 r.</t>
  </si>
  <si>
    <t>2011 r.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</si>
  <si>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</si>
  <si>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</si>
  <si>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</si>
  <si>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</si>
  <si>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</si>
  <si>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</si>
  <si>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</si>
  <si>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</si>
  <si>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</si>
  <si>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</si>
  <si>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</si>
  <si>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2023 r.</t>
  </si>
  <si>
    <t>2024 r.</t>
  </si>
  <si>
    <t>2025 r.</t>
  </si>
  <si>
    <t>2026 r.</t>
  </si>
  <si>
    <t>2027 r.</t>
  </si>
  <si>
    <t>2028 r.</t>
  </si>
  <si>
    <t>2029 r.</t>
  </si>
  <si>
    <t>RPO Warmia i Mazury na lata 2007-2013; projekt kluczowy pn. "Program rozwoju turystyki w obszarze Kanału Elbląskiego i Pojezierza Iławskiego na lata 2007-2013"; fiszka Nr ZPRL 2.11.13</t>
  </si>
  <si>
    <t>2 - Wzmocnienie zasobów ludzkich w regionach</t>
  </si>
  <si>
    <t>Zintegrowany Program Operacyjny Rozwoju Regionalnego</t>
  </si>
  <si>
    <t>2.2 Wyrównywanie szans edukacyjnych poprzez programy stypendialne</t>
  </si>
  <si>
    <t>Pomoc stypendialna studentom powiatu elbląskiego z obszarów zmarginalizowanych</t>
  </si>
  <si>
    <t>Pomoc stypendialna uczniom szkół ponadgimnazjalnym powiatu elbląskiego z obszarów wiejskich na rok szkolny 2006/2007</t>
  </si>
  <si>
    <t>Sektorowy Program Operacyjny Rozwoju Zasobów Ludzkich 2004-2006</t>
  </si>
  <si>
    <t>I. Aktywna polityka rynku pracy oraz integracji zawodowej i społecznej</t>
  </si>
  <si>
    <t>Kobiety na topie</t>
  </si>
  <si>
    <t>Dotacje celowe otrzymane z budżetu państwa na zadania bieżące</t>
  </si>
  <si>
    <t>real. na podst. porozumień z organami administracji rządowej</t>
  </si>
  <si>
    <t>1.6 Integracja i reintegracja zawodowa kobiet</t>
  </si>
  <si>
    <t>Załącznik nr 4</t>
  </si>
  <si>
    <t>do uchwały nr........</t>
  </si>
  <si>
    <t>w 2007 roku</t>
  </si>
  <si>
    <t xml:space="preserve">rządowej i innych zadań zleconych odrębnymi ustawami </t>
  </si>
  <si>
    <t>Załącznik nr 7</t>
  </si>
  <si>
    <t xml:space="preserve"> administracji rządowej w 2007 roku</t>
  </si>
  <si>
    <t xml:space="preserve"> realizowanych na podstawie porozumień z organami </t>
  </si>
  <si>
    <t xml:space="preserve">Dochody i wydatki związane z realizacją zadań bieżących </t>
  </si>
  <si>
    <t>Załącznik  nr 10</t>
  </si>
  <si>
    <t>do Uchwały Nr ...............</t>
  </si>
  <si>
    <t>Prognoza kwoty długu powiatu elbląskiego</t>
  </si>
  <si>
    <t>Przewidywany stan na koniec roku</t>
  </si>
  <si>
    <t>Rodzaj</t>
  </si>
  <si>
    <t>Wykonanie</t>
  </si>
  <si>
    <t>L.p.</t>
  </si>
  <si>
    <t>zadłużenia</t>
  </si>
  <si>
    <t>na koniec</t>
  </si>
  <si>
    <t>31.12.2005 r.</t>
  </si>
  <si>
    <t>Wyemitowane papiery wartościowe</t>
  </si>
  <si>
    <t>Przyjęte depozyty</t>
  </si>
  <si>
    <t>a) ustaw,</t>
  </si>
  <si>
    <t>b) orzeczeń sądu,</t>
  </si>
  <si>
    <t>c) udzielonych poręczeń i gwarancji,</t>
  </si>
  <si>
    <t>d) innych tytułów,</t>
  </si>
  <si>
    <t>Łączna kwota długu na koniec roku budż.</t>
  </si>
  <si>
    <t>Procentowy (%) udział długu w dochodach</t>
  </si>
  <si>
    <t>Wymagalne zobowiązania:</t>
  </si>
  <si>
    <t>1) jednostek budżetowych,</t>
  </si>
  <si>
    <t>2) wynikające z:</t>
  </si>
  <si>
    <t>Załącznik nr 13</t>
  </si>
  <si>
    <t>Załącznik nr 8</t>
  </si>
  <si>
    <t>Zakup agregatu prądotwórczego na prom</t>
  </si>
  <si>
    <t>Zarząd Dróg Powiat. Pasłęk</t>
  </si>
  <si>
    <t>Zespół Szkół Pasłęk</t>
  </si>
  <si>
    <t>Dom Pomocy Społecznej Rangóry</t>
  </si>
  <si>
    <t xml:space="preserve">Ogółem </t>
  </si>
  <si>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</si>
  <si>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</si>
  <si>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</si>
  <si>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</si>
  <si>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</si>
  <si>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</si>
  <si>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</si>
  <si>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</si>
  <si>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</si>
  <si>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</si>
  <si>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</si>
  <si>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</si>
  <si>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</si>
  <si>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</si>
  <si>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</si>
  <si>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</si>
  <si>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</si>
  <si>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</si>
  <si>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</si>
  <si>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</si>
  <si>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</si>
  <si>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</si>
  <si>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</si>
  <si>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</si>
  <si>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</si>
  <si>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</si>
  <si>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</si>
  <si>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</si>
  <si>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</si>
  <si>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</si>
  <si>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</si>
  <si>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</si>
  <si>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</si>
  <si>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</si>
  <si>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</si>
  <si>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</si>
  <si>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</si>
  <si>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</si>
  <si>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</si>
  <si>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</si>
  <si>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</si>
  <si>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Nazwa zadania</t>
  </si>
  <si>
    <t>Kwota dotacji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</si>
  <si>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</si>
  <si>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</si>
  <si>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</si>
  <si>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</si>
  <si>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</si>
  <si>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</si>
  <si>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</si>
  <si>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</si>
  <si>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</si>
  <si>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</si>
  <si>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</si>
  <si>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</si>
  <si>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</si>
  <si>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</si>
  <si>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2009 r.</t>
  </si>
  <si>
    <t>Plan przychodów i wydatków zakładów budżetowych, gospodarstw pomocniczych</t>
  </si>
  <si>
    <t>Lp.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</si>
  <si>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</si>
  <si>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</si>
  <si>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</si>
  <si>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</si>
  <si>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</si>
  <si>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</si>
  <si>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</si>
  <si>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</si>
  <si>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</si>
  <si>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</si>
  <si>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</si>
  <si>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 i rozchody budżetu w 2007 r.</t>
  </si>
  <si>
    <t>Przychody*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</si>
  <si>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</si>
  <si>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</si>
  <si>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</si>
  <si>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</si>
  <si>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</si>
  <si>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</si>
  <si>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</si>
  <si>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</si>
  <si>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</si>
  <si>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</si>
  <si>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</si>
  <si>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</si>
  <si>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</si>
  <si>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</si>
  <si>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</si>
  <si>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</si>
  <si>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</si>
  <si>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</si>
  <si>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</si>
  <si>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</si>
  <si>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</si>
  <si>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</si>
  <si>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</si>
  <si>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</si>
  <si>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</si>
  <si>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</si>
  <si>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</si>
  <si>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</si>
  <si>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</si>
  <si>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</si>
  <si>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Wydatki osobowe nie zaliczane do wynagrodzeń</t>
  </si>
  <si>
    <t>Wynagrodzenie bezosobowe</t>
  </si>
  <si>
    <t>z dnia .................... 2007 r.</t>
  </si>
  <si>
    <t>z dnia ........................ 2007 r.</t>
  </si>
  <si>
    <t>zad.zlec.do real. pozost.jedn.nie zal. do sekt.fin.publ.</t>
  </si>
  <si>
    <t>Opłaty z tytułu zakupu usług telekom. tel. stacjonar.</t>
  </si>
  <si>
    <t>Zmiany</t>
  </si>
  <si>
    <t>Plan po zmianach na 2007 r.</t>
  </si>
  <si>
    <t>Składki na ubezpieczenia zdrowotne oraz świadczenia dla</t>
  </si>
  <si>
    <t>osób nieobjętych obowiązkiem ubezpieczenia zdrowotnego</t>
  </si>
  <si>
    <t>Poradnie psychologiczno-pedagogiczne, w tym por. specj.</t>
  </si>
  <si>
    <t>4360</t>
  </si>
  <si>
    <t>85295</t>
  </si>
  <si>
    <t>4510</t>
  </si>
  <si>
    <t>Szpitale ogólne</t>
  </si>
  <si>
    <t>Dotacje celowe z budżetu na finansowanie lub dofinns.</t>
  </si>
  <si>
    <t>kosztów realizacji inwestycji i zakupów inwestycyjnych</t>
  </si>
  <si>
    <t>innych jednostek sektora finansów publicznych</t>
  </si>
  <si>
    <t>85111</t>
  </si>
  <si>
    <t>Dotacje celowe otrzymane z gminy na inwestycje i zakupy</t>
  </si>
  <si>
    <t>inwestycyjne realizowane na podstawie porozumień</t>
  </si>
  <si>
    <t>między jednostkami samorządu terytorialnego</t>
  </si>
  <si>
    <t>15.</t>
  </si>
  <si>
    <t>Program wyrównywania szans między regionami- Obszar D- likwidacja barier transportowych - zakup samochodu osobowego "mikrobus" przystosowanego do przewozu osoby niepełnosprawnej na wózku "inwalidzkim"</t>
  </si>
  <si>
    <t>Dom Pomocy Społecznej we Władysławowie</t>
  </si>
  <si>
    <t>z dnia...................2007 r.</t>
  </si>
  <si>
    <t>Dokształacanie i doskonalenie nauczycieli</t>
  </si>
  <si>
    <t>Środki na dofinansowanie własnych zadań bieżących gmin</t>
  </si>
  <si>
    <t>powiatów, samorządów województw, pozyskane z in. źródeł</t>
  </si>
  <si>
    <t>Szkolenie pracowników nie będących członkami korpusu służby cywilnej</t>
  </si>
  <si>
    <t>Dochody z najmu i dizerżawy składników majątkowych</t>
  </si>
  <si>
    <t>Skarbu Państwa, jst lub innych jednostek zaliczanych do sekt.</t>
  </si>
  <si>
    <t>z dnia................2007 r.</t>
  </si>
  <si>
    <t>z dnia...........2007 r.</t>
  </si>
  <si>
    <t>z dnia ................. 2007 r.</t>
  </si>
  <si>
    <t>z dnia ..................... 2007 r.</t>
  </si>
  <si>
    <t>Plan po zmianach</t>
  </si>
  <si>
    <t>Plan na 2007 przed zmianą</t>
  </si>
  <si>
    <t>z dnia...............2007 r.</t>
  </si>
  <si>
    <t>Obrona narodowa</t>
  </si>
  <si>
    <t>Pozostałe wydatki obronne</t>
  </si>
  <si>
    <t>Wpływy z różnych usług</t>
  </si>
  <si>
    <t>75212</t>
  </si>
  <si>
    <t>z dnia .............2007 r.</t>
  </si>
  <si>
    <t>z dnia..............2007 r.</t>
  </si>
  <si>
    <t xml:space="preserve">z dnia ...................... 2007 r. </t>
  </si>
  <si>
    <t>85233</t>
  </si>
  <si>
    <t>2708</t>
  </si>
  <si>
    <t>2709</t>
  </si>
  <si>
    <t>2700</t>
  </si>
  <si>
    <t>Zakup usług obejmujących wykonanie ekspertyz, anal. i opinii</t>
  </si>
  <si>
    <t>Otrzymane spadki, zapisy, darowizny w postaci pieniężnej</t>
  </si>
  <si>
    <t>0020</t>
  </si>
  <si>
    <t>Podatek dochodowy od osób prawnych</t>
  </si>
  <si>
    <t>w 2006 r.</t>
  </si>
  <si>
    <t>Wykonanie w 2006 r.</t>
  </si>
  <si>
    <t>Dług zaciągnięty w związku ze środkami określonymi w umowie zawartej z podmiotem dysponującym funduszami strukturalnymi lub F.S.U.E.</t>
  </si>
  <si>
    <t>Dotacje celowe otrzymane z budżetu państwa na realizację</t>
  </si>
  <si>
    <t>bieżących zadań własnych</t>
  </si>
  <si>
    <t>4530</t>
  </si>
  <si>
    <t>Zakup leków, wyrobów medycznych i produktów biobójczych</t>
  </si>
  <si>
    <t>Opłaty za administrowanie i czynsze za budynki, lokale i pomieszczenia garażowe</t>
  </si>
  <si>
    <t>Festiwal Zdrowia - Intergracje</t>
  </si>
  <si>
    <t>Dotacje celowe przekazane do samorządu województwa</t>
  </si>
  <si>
    <t>na inwestycje i zakupy inwest. na pods. Porozumień z j.s.t.</t>
  </si>
  <si>
    <t>na inwestycje i zakupy inwest. na pods. porozumień z j.s.t.</t>
  </si>
  <si>
    <t>Opłaty za admin. i czynsze za budynki, lokale i pomie.</t>
  </si>
  <si>
    <t>Rózne opłaty i składki</t>
  </si>
  <si>
    <t>4170</t>
  </si>
  <si>
    <t>Zakup samochodu osobowego</t>
  </si>
  <si>
    <t>2120</t>
  </si>
  <si>
    <t>realizowane przez powiat na podstawie por. z org. adm. rząd.</t>
  </si>
  <si>
    <t>Zwiększenie wydatków związanych z realizacją umowy z Marszałkiem Województwa Warmińsko-Mazurskiego</t>
  </si>
  <si>
    <t>Wydatki wykonano w styczniu 2007 r.</t>
  </si>
  <si>
    <t>w sprawie stypendiów dla uczniów, nastąpiło w związku z uzyskaniem dochodów na przełomie roku 2006/2007.</t>
  </si>
  <si>
    <t>Rehabilitacja zawodowa i społeczna osób niepełnosprawnych</t>
  </si>
  <si>
    <t>Rehabilitacja zawodowa i społeczna osób niepełnospraw.</t>
  </si>
  <si>
    <t>Dotacja podmiotowa z budżetu dla jednostek niezaliczanych</t>
  </si>
  <si>
    <t>do sektora finansów publicznych</t>
  </si>
  <si>
    <t>85311</t>
  </si>
  <si>
    <t>Rahabilitacja zawodowa i społeczna osób niepełnosprawnych</t>
  </si>
  <si>
    <t>Dotacja podmiotowa z budżetu dla jednostek niezaliczanych do sektora</t>
  </si>
  <si>
    <t>finansów publicznych</t>
  </si>
  <si>
    <t>Dotacje podmiotowe - na rok 2007</t>
  </si>
  <si>
    <t>Załącznik nr 15</t>
  </si>
  <si>
    <t xml:space="preserve">z dnia ................... 2007 r. </t>
  </si>
  <si>
    <t>Uzupełnienie subwencji ogólnej dla jednostek samorz. terytor.</t>
  </si>
  <si>
    <t>Środki na uzupełnienie dochodów</t>
  </si>
  <si>
    <t>Wydatki na sfinansowanie kosztów emisji skarbowych papierów</t>
  </si>
  <si>
    <t>wartościowych oraz innych kosztów i prowizji</t>
  </si>
  <si>
    <t>6610</t>
  </si>
  <si>
    <t>Dotacje celowe otrzymane z gminy na inwestycje i zakupy inwest.</t>
  </si>
  <si>
    <t>realizowane na podstawie porozumień (umów) z j.s.t.</t>
  </si>
  <si>
    <t>Wyposażenie pracowni multimedialnej</t>
  </si>
  <si>
    <t>Zespół Szkół Ekonomicznych i Technicznych Pasłęk</t>
  </si>
  <si>
    <t>2350</t>
  </si>
  <si>
    <t>Dochody budżetu państwa związane z realizacja zadań</t>
  </si>
  <si>
    <t>zlecanych j.s.t.</t>
  </si>
  <si>
    <t>01008</t>
  </si>
  <si>
    <t>Melioracje wodne</t>
  </si>
  <si>
    <t xml:space="preserve">Dochody </t>
  </si>
  <si>
    <t>budżetowe</t>
  </si>
  <si>
    <t>18.</t>
  </si>
  <si>
    <t>Dom Pomocy Społecznej w Tolkmicku</t>
  </si>
  <si>
    <t>Zakup samochodu przystosowanego do przewozu osób niepełnosprawnych</t>
  </si>
  <si>
    <t xml:space="preserve">Dotacje celowe otrzymane z gminy na inwestycje i zakupy </t>
  </si>
  <si>
    <t>inwest. realizow. na pods. porozumień (umów) między j.s.t.</t>
  </si>
  <si>
    <t>Młodzieżowe Osrodki wychowawcze</t>
  </si>
  <si>
    <t>Zarządzanie kryzysowe</t>
  </si>
  <si>
    <t>Zakup leków i materiałów medycznych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</si>
</sst>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_ ;\-#,##0.00\ "/>
    <numFmt numFmtId="170" formatCode="0.0"/>
    <numFmt numFmtId="171" formatCode="#,##0.00\ _z_ł"/>
    <numFmt numFmtId="172" formatCode="#,##0\ _z_ł"/>
    <numFmt numFmtId="173" formatCode="0;[Red]0"/>
    <numFmt numFmtId="174" formatCode="00\-000"/>
    <numFmt numFmtId="175" formatCode="0.0%"/>
    <numFmt numFmtId="176" formatCode="0.000"/>
    <numFmt numFmtId="177" formatCode="0.0000"/>
    <numFmt numFmtId="178" formatCode="0.000000000"/>
    <numFmt numFmtId="179" formatCode="0.00000000"/>
    <numFmt numFmtId="180" formatCode="0.0000000"/>
    <numFmt numFmtId="181" formatCode="0.000000"/>
    <numFmt numFmtId="182" formatCode="0.00000"/>
  </numFmts>
  <fonts count="35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7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u val="single"/>
      <sz val="9"/>
      <name val="Arial CE"/>
      <family val="2"/>
    </font>
    <font>
      <sz val="11"/>
      <name val="Arial CE"/>
      <family val="2"/>
    </font>
    <font>
      <b/>
      <sz val="14"/>
      <name val="Arial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1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12" fillId="0" borderId="3" xfId="18" applyFont="1" applyBorder="1">
      <alignment/>
      <protection/>
    </xf>
    <xf numFmtId="0" fontId="12" fillId="0" borderId="4" xfId="18" applyFont="1" applyBorder="1">
      <alignment/>
      <protection/>
    </xf>
    <xf numFmtId="0" fontId="18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11" fillId="0" borderId="0" xfId="18" applyFont="1">
      <alignment/>
      <protection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3" fillId="0" borderId="0" xfId="18" applyFont="1">
      <alignment/>
      <protection/>
    </xf>
    <xf numFmtId="0" fontId="4" fillId="2" borderId="7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49" fontId="4" fillId="0" borderId="8" xfId="0" applyNumberFormat="1" applyFont="1" applyFill="1" applyBorder="1" applyAlignment="1">
      <alignment horizontal="center"/>
    </xf>
    <xf numFmtId="49" fontId="15" fillId="0" borderId="4" xfId="0" applyNumberFormat="1" applyFont="1" applyBorder="1" applyAlignment="1">
      <alignment horizontal="center" vertical="top" wrapText="1"/>
    </xf>
    <xf numFmtId="49" fontId="0" fillId="0" borderId="6" xfId="0" applyNumberFormat="1" applyFont="1" applyFill="1" applyBorder="1" applyAlignment="1">
      <alignment horizontal="center"/>
    </xf>
    <xf numFmtId="3" fontId="15" fillId="0" borderId="5" xfId="0" applyNumberFormat="1" applyFont="1" applyBorder="1" applyAlignment="1">
      <alignment vertical="top" wrapText="1"/>
    </xf>
    <xf numFmtId="49" fontId="4" fillId="0" borderId="9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0" fillId="0" borderId="11" xfId="0" applyFont="1" applyFill="1" applyBorder="1" applyAlignment="1">
      <alignment/>
    </xf>
    <xf numFmtId="49" fontId="15" fillId="0" borderId="12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vertical="top" wrapText="1"/>
    </xf>
    <xf numFmtId="3" fontId="15" fillId="0" borderId="12" xfId="0" applyNumberFormat="1" applyFont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0" fillId="0" borderId="13" xfId="0" applyFont="1" applyFill="1" applyBorder="1" applyAlignment="1">
      <alignment/>
    </xf>
    <xf numFmtId="3" fontId="15" fillId="0" borderId="1" xfId="0" applyNumberFormat="1" applyFont="1" applyBorder="1" applyAlignment="1">
      <alignment vertical="top" wrapText="1"/>
    </xf>
    <xf numFmtId="0" fontId="4" fillId="0" borderId="14" xfId="0" applyFont="1" applyFill="1" applyBorder="1" applyAlignment="1">
      <alignment/>
    </xf>
    <xf numFmtId="49" fontId="15" fillId="0" borderId="15" xfId="0" applyNumberFormat="1" applyFont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3" fontId="15" fillId="0" borderId="6" xfId="0" applyNumberFormat="1" applyFont="1" applyBorder="1" applyAlignment="1">
      <alignment vertical="top" wrapText="1"/>
    </xf>
    <xf numFmtId="3" fontId="18" fillId="0" borderId="15" xfId="0" applyNumberFormat="1" applyFont="1" applyBorder="1" applyAlignment="1">
      <alignment vertical="top" wrapText="1"/>
    </xf>
    <xf numFmtId="3" fontId="18" fillId="0" borderId="10" xfId="0" applyNumberFormat="1" applyFont="1" applyBorder="1" applyAlignment="1">
      <alignment vertical="top" wrapText="1"/>
    </xf>
    <xf numFmtId="0" fontId="4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5" fillId="0" borderId="17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 shrinkToFit="1"/>
    </xf>
    <xf numFmtId="0" fontId="25" fillId="0" borderId="2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25" fillId="0" borderId="0" xfId="0" applyFont="1" applyFill="1" applyAlignment="1">
      <alignment horizontal="center" vertical="center" shrinkToFit="1"/>
    </xf>
    <xf numFmtId="0" fontId="0" fillId="0" borderId="22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3" fontId="25" fillId="0" borderId="0" xfId="0" applyNumberFormat="1" applyFont="1" applyFill="1" applyAlignment="1">
      <alignment/>
    </xf>
    <xf numFmtId="49" fontId="4" fillId="0" borderId="23" xfId="0" applyNumberFormat="1" applyFont="1" applyFill="1" applyBorder="1" applyAlignment="1">
      <alignment horizontal="center"/>
    </xf>
    <xf numFmtId="0" fontId="27" fillId="0" borderId="26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3" fontId="0" fillId="0" borderId="17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49" fontId="0" fillId="0" borderId="7" xfId="0" applyNumberFormat="1" applyFont="1" applyFill="1" applyBorder="1" applyAlignment="1">
      <alignment horizontal="center"/>
    </xf>
    <xf numFmtId="3" fontId="15" fillId="0" borderId="29" xfId="0" applyNumberFormat="1" applyFont="1" applyBorder="1" applyAlignment="1">
      <alignment vertical="top" wrapText="1"/>
    </xf>
    <xf numFmtId="3" fontId="15" fillId="0" borderId="7" xfId="0" applyNumberFormat="1" applyFont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center"/>
    </xf>
    <xf numFmtId="3" fontId="15" fillId="0" borderId="17" xfId="0" applyNumberFormat="1" applyFont="1" applyBorder="1" applyAlignment="1">
      <alignment vertical="top" wrapText="1"/>
    </xf>
    <xf numFmtId="0" fontId="0" fillId="0" borderId="7" xfId="0" applyFont="1" applyFill="1" applyBorder="1" applyAlignment="1">
      <alignment/>
    </xf>
    <xf numFmtId="0" fontId="15" fillId="0" borderId="7" xfId="0" applyFont="1" applyBorder="1" applyAlignment="1">
      <alignment vertical="top" wrapText="1"/>
    </xf>
    <xf numFmtId="0" fontId="15" fillId="0" borderId="30" xfId="0" applyFont="1" applyBorder="1" applyAlignment="1">
      <alignment vertical="top" wrapText="1"/>
    </xf>
    <xf numFmtId="3" fontId="4" fillId="0" borderId="31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3" fontId="15" fillId="0" borderId="28" xfId="0" applyNumberFormat="1" applyFont="1" applyBorder="1" applyAlignment="1">
      <alignment vertical="top" wrapText="1"/>
    </xf>
    <xf numFmtId="0" fontId="15" fillId="0" borderId="32" xfId="0" applyFont="1" applyBorder="1" applyAlignment="1">
      <alignment vertical="top" wrapText="1"/>
    </xf>
    <xf numFmtId="0" fontId="15" fillId="0" borderId="24" xfId="0" applyFont="1" applyBorder="1" applyAlignment="1">
      <alignment vertical="top" wrapText="1"/>
    </xf>
    <xf numFmtId="0" fontId="0" fillId="0" borderId="16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25" fillId="0" borderId="0" xfId="0" applyFont="1" applyAlignment="1">
      <alignment/>
    </xf>
    <xf numFmtId="0" fontId="7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3" fontId="25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3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0" fontId="27" fillId="0" borderId="43" xfId="0" applyFont="1" applyBorder="1" applyAlignment="1">
      <alignment horizontal="center" vertical="center"/>
    </xf>
    <xf numFmtId="0" fontId="4" fillId="0" borderId="14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 vertical="top" wrapText="1"/>
    </xf>
    <xf numFmtId="3" fontId="0" fillId="0" borderId="16" xfId="0" applyNumberFormat="1" applyFont="1" applyFill="1" applyBorder="1" applyAlignment="1">
      <alignment/>
    </xf>
    <xf numFmtId="49" fontId="15" fillId="0" borderId="6" xfId="0" applyNumberFormat="1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3" fontId="15" fillId="0" borderId="44" xfId="0" applyNumberFormat="1" applyFont="1" applyBorder="1" applyAlignment="1">
      <alignment vertical="top" wrapText="1"/>
    </xf>
    <xf numFmtId="0" fontId="0" fillId="0" borderId="13" xfId="0" applyFont="1" applyFill="1" applyBorder="1" applyAlignment="1">
      <alignment wrapText="1"/>
    </xf>
    <xf numFmtId="0" fontId="0" fillId="0" borderId="39" xfId="0" applyFont="1" applyFill="1" applyBorder="1" applyAlignment="1">
      <alignment/>
    </xf>
    <xf numFmtId="0" fontId="19" fillId="0" borderId="37" xfId="0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vertical="top" wrapText="1"/>
    </xf>
    <xf numFmtId="0" fontId="15" fillId="0" borderId="45" xfId="0" applyFont="1" applyBorder="1" applyAlignment="1">
      <alignment vertical="top" wrapText="1"/>
    </xf>
    <xf numFmtId="0" fontId="15" fillId="0" borderId="42" xfId="0" applyFont="1" applyBorder="1" applyAlignment="1">
      <alignment vertical="top" wrapText="1"/>
    </xf>
    <xf numFmtId="0" fontId="15" fillId="0" borderId="46" xfId="0" applyFont="1" applyBorder="1" applyAlignment="1">
      <alignment vertical="top" wrapText="1"/>
    </xf>
    <xf numFmtId="3" fontId="18" fillId="0" borderId="31" xfId="0" applyNumberFormat="1" applyFont="1" applyBorder="1" applyAlignment="1">
      <alignment vertical="top" wrapText="1"/>
    </xf>
    <xf numFmtId="3" fontId="15" fillId="0" borderId="45" xfId="0" applyNumberFormat="1" applyFont="1" applyBorder="1" applyAlignment="1">
      <alignment vertical="top" wrapText="1"/>
    </xf>
    <xf numFmtId="3" fontId="15" fillId="0" borderId="42" xfId="0" applyNumberFormat="1" applyFont="1" applyBorder="1" applyAlignment="1">
      <alignment vertical="top" wrapText="1"/>
    </xf>
    <xf numFmtId="0" fontId="15" fillId="0" borderId="47" xfId="0" applyFont="1" applyBorder="1" applyAlignment="1">
      <alignment vertical="top" wrapText="1"/>
    </xf>
    <xf numFmtId="3" fontId="15" fillId="0" borderId="47" xfId="0" applyNumberFormat="1" applyFont="1" applyBorder="1" applyAlignment="1">
      <alignment vertical="top" wrapText="1"/>
    </xf>
    <xf numFmtId="3" fontId="18" fillId="0" borderId="48" xfId="0" applyNumberFormat="1" applyFont="1" applyBorder="1" applyAlignment="1">
      <alignment horizontal="center" vertical="center" wrapText="1"/>
    </xf>
    <xf numFmtId="170" fontId="6" fillId="0" borderId="0" xfId="0" applyNumberFormat="1" applyFont="1" applyAlignment="1">
      <alignment horizontal="center" vertical="center"/>
    </xf>
    <xf numFmtId="170" fontId="0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vertical="center"/>
    </xf>
    <xf numFmtId="170" fontId="18" fillId="0" borderId="7" xfId="0" applyNumberFormat="1" applyFont="1" applyBorder="1" applyAlignment="1">
      <alignment vertical="top" wrapText="1"/>
    </xf>
    <xf numFmtId="3" fontId="0" fillId="0" borderId="5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left"/>
    </xf>
    <xf numFmtId="3" fontId="27" fillId="0" borderId="49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7" fillId="0" borderId="24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3" fontId="7" fillId="0" borderId="5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26" xfId="0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28" fillId="0" borderId="26" xfId="0" applyFont="1" applyFill="1" applyBorder="1" applyAlignment="1">
      <alignment/>
    </xf>
    <xf numFmtId="49" fontId="7" fillId="0" borderId="15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44" xfId="0" applyNumberFormat="1" applyFont="1" applyFill="1" applyBorder="1" applyAlignment="1">
      <alignment/>
    </xf>
    <xf numFmtId="0" fontId="27" fillId="0" borderId="26" xfId="0" applyFont="1" applyFill="1" applyBorder="1" applyAlignment="1">
      <alignment horizontal="center"/>
    </xf>
    <xf numFmtId="3" fontId="27" fillId="0" borderId="15" xfId="0" applyNumberFormat="1" applyFont="1" applyFill="1" applyBorder="1" applyAlignment="1">
      <alignment/>
    </xf>
    <xf numFmtId="49" fontId="27" fillId="0" borderId="24" xfId="0" applyNumberFormat="1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27" fillId="0" borderId="44" xfId="0" applyFont="1" applyFill="1" applyBorder="1" applyAlignment="1">
      <alignment horizontal="center"/>
    </xf>
    <xf numFmtId="0" fontId="7" fillId="0" borderId="44" xfId="0" applyFont="1" applyFill="1" applyBorder="1" applyAlignment="1">
      <alignment/>
    </xf>
    <xf numFmtId="0" fontId="27" fillId="0" borderId="17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49" fontId="27" fillId="0" borderId="23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3" fontId="7" fillId="0" borderId="49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3" fontId="27" fillId="0" borderId="14" xfId="0" applyNumberFormat="1" applyFont="1" applyFill="1" applyBorder="1" applyAlignment="1">
      <alignment/>
    </xf>
    <xf numFmtId="3" fontId="7" fillId="0" borderId="51" xfId="0" applyNumberFormat="1" applyFont="1" applyFill="1" applyBorder="1" applyAlignment="1">
      <alignment/>
    </xf>
    <xf numFmtId="3" fontId="7" fillId="0" borderId="52" xfId="0" applyNumberFormat="1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27" fillId="0" borderId="15" xfId="0" applyFont="1" applyFill="1" applyBorder="1" applyAlignment="1">
      <alignment horizontal="center"/>
    </xf>
    <xf numFmtId="0" fontId="27" fillId="0" borderId="15" xfId="0" applyFont="1" applyFill="1" applyBorder="1" applyAlignment="1">
      <alignment/>
    </xf>
    <xf numFmtId="3" fontId="27" fillId="0" borderId="49" xfId="0" applyNumberFormat="1" applyFont="1" applyFill="1" applyBorder="1" applyAlignment="1">
      <alignment horizontal="right"/>
    </xf>
    <xf numFmtId="3" fontId="27" fillId="0" borderId="15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/>
    </xf>
    <xf numFmtId="49" fontId="7" fillId="0" borderId="23" xfId="0" applyNumberFormat="1" applyFont="1" applyFill="1" applyBorder="1" applyAlignment="1" quotePrefix="1">
      <alignment horizontal="center"/>
    </xf>
    <xf numFmtId="3" fontId="27" fillId="0" borderId="27" xfId="0" applyNumberFormat="1" applyFont="1" applyFill="1" applyBorder="1" applyAlignment="1">
      <alignment/>
    </xf>
    <xf numFmtId="0" fontId="29" fillId="0" borderId="17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44" xfId="0" applyNumberFormat="1" applyFont="1" applyFill="1" applyBorder="1" applyAlignment="1">
      <alignment horizontal="right"/>
    </xf>
    <xf numFmtId="3" fontId="27" fillId="0" borderId="14" xfId="0" applyNumberFormat="1" applyFont="1" applyFill="1" applyBorder="1" applyAlignment="1">
      <alignment horizontal="right"/>
    </xf>
    <xf numFmtId="0" fontId="27" fillId="0" borderId="53" xfId="0" applyFont="1" applyFill="1" applyBorder="1" applyAlignment="1">
      <alignment horizontal="center"/>
    </xf>
    <xf numFmtId="0" fontId="27" fillId="0" borderId="54" xfId="0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right"/>
    </xf>
    <xf numFmtId="3" fontId="27" fillId="0" borderId="51" xfId="0" applyNumberFormat="1" applyFont="1" applyFill="1" applyBorder="1" applyAlignment="1">
      <alignment horizontal="right" vertical="center"/>
    </xf>
    <xf numFmtId="3" fontId="27" fillId="0" borderId="2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ont="1" applyFill="1" applyBorder="1" applyAlignment="1">
      <alignment horizontal="center"/>
    </xf>
    <xf numFmtId="49" fontId="15" fillId="0" borderId="7" xfId="0" applyNumberFormat="1" applyFont="1" applyBorder="1" applyAlignment="1">
      <alignment horizontal="center" vertical="top" wrapText="1"/>
    </xf>
    <xf numFmtId="0" fontId="15" fillId="0" borderId="22" xfId="0" applyFont="1" applyBorder="1" applyAlignment="1">
      <alignment vertical="top" wrapText="1"/>
    </xf>
    <xf numFmtId="49" fontId="15" fillId="0" borderId="17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3" fontId="18" fillId="0" borderId="15" xfId="0" applyNumberFormat="1" applyFont="1" applyBorder="1" applyAlignment="1">
      <alignment vertical="top" wrapText="1"/>
    </xf>
    <xf numFmtId="3" fontId="18" fillId="0" borderId="31" xfId="0" applyNumberFormat="1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49" fontId="18" fillId="0" borderId="15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left" vertical="center" wrapText="1" indent="2"/>
    </xf>
    <xf numFmtId="3" fontId="0" fillId="0" borderId="5" xfId="0" applyNumberFormat="1" applyBorder="1" applyAlignment="1">
      <alignment vertical="center"/>
    </xf>
    <xf numFmtId="3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indent="1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left" vertical="center" wrapText="1" indent="2"/>
    </xf>
    <xf numFmtId="3" fontId="0" fillId="0" borderId="6" xfId="0" applyNumberFormat="1" applyBorder="1" applyAlignment="1">
      <alignment vertical="center"/>
    </xf>
    <xf numFmtId="3" fontId="0" fillId="0" borderId="6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5" fillId="0" borderId="0" xfId="0" applyFont="1" applyFill="1" applyAlignment="1">
      <alignment horizontal="right"/>
    </xf>
    <xf numFmtId="0" fontId="9" fillId="2" borderId="22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8" xfId="0" applyFont="1" applyFill="1" applyBorder="1" applyAlignment="1">
      <alignment/>
    </xf>
    <xf numFmtId="0" fontId="9" fillId="2" borderId="23" xfId="0" applyFont="1" applyFill="1" applyBorder="1" applyAlignment="1">
      <alignment/>
    </xf>
    <xf numFmtId="0" fontId="9" fillId="2" borderId="23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3" fontId="4" fillId="0" borderId="15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left"/>
    </xf>
    <xf numFmtId="3" fontId="0" fillId="0" borderId="6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/>
    </xf>
    <xf numFmtId="3" fontId="0" fillId="0" borderId="28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23" xfId="0" applyNumberFormat="1" applyFont="1" applyFill="1" applyBorder="1" applyAlignment="1">
      <alignment horizontal="right"/>
    </xf>
    <xf numFmtId="0" fontId="4" fillId="2" borderId="19" xfId="0" applyFont="1" applyFill="1" applyBorder="1" applyAlignment="1">
      <alignment/>
    </xf>
    <xf numFmtId="3" fontId="4" fillId="2" borderId="20" xfId="0" applyNumberFormat="1" applyFont="1" applyFill="1" applyBorder="1" applyAlignment="1">
      <alignment/>
    </xf>
    <xf numFmtId="0" fontId="0" fillId="2" borderId="58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3" fontId="0" fillId="2" borderId="45" xfId="0" applyNumberFormat="1" applyFont="1" applyFill="1" applyBorder="1" applyAlignment="1">
      <alignment/>
    </xf>
    <xf numFmtId="49" fontId="0" fillId="2" borderId="24" xfId="0" applyNumberFormat="1" applyFont="1" applyFill="1" applyBorder="1" applyAlignment="1">
      <alignment/>
    </xf>
    <xf numFmtId="0" fontId="0" fillId="2" borderId="17" xfId="0" applyFont="1" applyFill="1" applyBorder="1" applyAlignment="1">
      <alignment/>
    </xf>
    <xf numFmtId="3" fontId="0" fillId="2" borderId="46" xfId="0" applyNumberFormat="1" applyFont="1" applyFill="1" applyBorder="1" applyAlignment="1">
      <alignment/>
    </xf>
    <xf numFmtId="49" fontId="0" fillId="2" borderId="37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49" fontId="0" fillId="2" borderId="8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3" fontId="0" fillId="2" borderId="31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3" xfId="0" applyFont="1" applyBorder="1" applyAlignment="1">
      <alignment horizontal="left"/>
    </xf>
    <xf numFmtId="3" fontId="27" fillId="0" borderId="15" xfId="0" applyNumberFormat="1" applyFont="1" applyBorder="1" applyAlignment="1">
      <alignment horizontal="right"/>
    </xf>
    <xf numFmtId="3" fontId="27" fillId="0" borderId="60" xfId="0" applyNumberFormat="1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3" fontId="7" fillId="0" borderId="6" xfId="0" applyNumberFormat="1" applyFont="1" applyBorder="1" applyAlignment="1">
      <alignment horizontal="right"/>
    </xf>
    <xf numFmtId="3" fontId="7" fillId="0" borderId="61" xfId="0" applyNumberFormat="1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0" fontId="7" fillId="0" borderId="62" xfId="0" applyFont="1" applyBorder="1" applyAlignment="1">
      <alignment horizontal="center"/>
    </xf>
    <xf numFmtId="3" fontId="7" fillId="0" borderId="17" xfId="0" applyNumberFormat="1" applyFont="1" applyBorder="1" applyAlignment="1">
      <alignment horizontal="right"/>
    </xf>
    <xf numFmtId="0" fontId="7" fillId="0" borderId="26" xfId="0" applyFont="1" applyBorder="1" applyAlignment="1">
      <alignment/>
    </xf>
    <xf numFmtId="3" fontId="7" fillId="0" borderId="62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/>
    </xf>
    <xf numFmtId="3" fontId="7" fillId="0" borderId="60" xfId="0" applyNumberFormat="1" applyFont="1" applyBorder="1" applyAlignment="1">
      <alignment horizontal="right"/>
    </xf>
    <xf numFmtId="0" fontId="27" fillId="0" borderId="23" xfId="0" applyFont="1" applyBorder="1" applyAlignment="1">
      <alignment/>
    </xf>
    <xf numFmtId="3" fontId="27" fillId="0" borderId="23" xfId="0" applyNumberFormat="1" applyFont="1" applyBorder="1" applyAlignment="1">
      <alignment/>
    </xf>
    <xf numFmtId="3" fontId="27" fillId="0" borderId="60" xfId="0" applyNumberFormat="1" applyFont="1" applyBorder="1" applyAlignment="1">
      <alignment/>
    </xf>
    <xf numFmtId="0" fontId="27" fillId="0" borderId="2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8" xfId="0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63" xfId="0" applyNumberFormat="1" applyFont="1" applyBorder="1" applyAlignment="1">
      <alignment/>
    </xf>
    <xf numFmtId="0" fontId="27" fillId="0" borderId="17" xfId="0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3" fontId="27" fillId="0" borderId="62" xfId="0" applyNumberFormat="1" applyFont="1" applyBorder="1" applyAlignment="1">
      <alignment/>
    </xf>
    <xf numFmtId="0" fontId="7" fillId="0" borderId="17" xfId="0" applyFont="1" applyBorder="1" applyAlignment="1">
      <alignment/>
    </xf>
    <xf numFmtId="3" fontId="7" fillId="0" borderId="62" xfId="0" applyNumberFormat="1" applyFont="1" applyBorder="1" applyAlignment="1">
      <alignment/>
    </xf>
    <xf numFmtId="0" fontId="27" fillId="0" borderId="26" xfId="0" applyFont="1" applyBorder="1" applyAlignment="1">
      <alignment/>
    </xf>
    <xf numFmtId="3" fontId="27" fillId="0" borderId="17" xfId="0" applyNumberFormat="1" applyFont="1" applyBorder="1" applyAlignment="1">
      <alignment/>
    </xf>
    <xf numFmtId="0" fontId="7" fillId="0" borderId="25" xfId="0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61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60" xfId="0" applyNumberFormat="1" applyFont="1" applyBorder="1" applyAlignment="1">
      <alignment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3" fontId="7" fillId="0" borderId="46" xfId="0" applyNumberFormat="1" applyFont="1" applyBorder="1" applyAlignment="1">
      <alignment horizontal="right" vertical="center"/>
    </xf>
    <xf numFmtId="3" fontId="7" fillId="0" borderId="45" xfId="0" applyNumberFormat="1" applyFont="1" applyBorder="1" applyAlignment="1">
      <alignment horizontal="right" vertical="center"/>
    </xf>
    <xf numFmtId="3" fontId="27" fillId="0" borderId="64" xfId="0" applyNumberFormat="1" applyFont="1" applyBorder="1" applyAlignment="1">
      <alignment horizontal="right" vertical="center"/>
    </xf>
    <xf numFmtId="0" fontId="27" fillId="0" borderId="2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27" fillId="0" borderId="19" xfId="0" applyFont="1" applyBorder="1" applyAlignment="1">
      <alignment/>
    </xf>
    <xf numFmtId="0" fontId="27" fillId="0" borderId="21" xfId="0" applyFont="1" applyBorder="1" applyAlignment="1">
      <alignment horizontal="center"/>
    </xf>
    <xf numFmtId="3" fontId="27" fillId="0" borderId="20" xfId="0" applyNumberFormat="1" applyFont="1" applyBorder="1" applyAlignment="1">
      <alignment/>
    </xf>
    <xf numFmtId="3" fontId="27" fillId="0" borderId="59" xfId="0" applyNumberFormat="1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3" fontId="0" fillId="2" borderId="47" xfId="0" applyNumberFormat="1" applyFont="1" applyFill="1" applyBorder="1" applyAlignment="1">
      <alignment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0" fillId="2" borderId="22" xfId="0" applyFont="1" applyFill="1" applyBorder="1" applyAlignment="1">
      <alignment/>
    </xf>
    <xf numFmtId="0" fontId="30" fillId="2" borderId="44" xfId="0" applyFont="1" applyFill="1" applyBorder="1" applyAlignment="1">
      <alignment/>
    </xf>
    <xf numFmtId="0" fontId="30" fillId="2" borderId="57" xfId="0" applyFont="1" applyFill="1" applyBorder="1" applyAlignment="1">
      <alignment/>
    </xf>
    <xf numFmtId="0" fontId="30" fillId="2" borderId="65" xfId="0" applyFont="1" applyFill="1" applyBorder="1" applyAlignment="1">
      <alignment/>
    </xf>
    <xf numFmtId="0" fontId="30" fillId="2" borderId="24" xfId="0" applyFont="1" applyFill="1" applyBorder="1" applyAlignment="1">
      <alignment horizontal="center"/>
    </xf>
    <xf numFmtId="0" fontId="30" fillId="2" borderId="17" xfId="0" applyFont="1" applyFill="1" applyBorder="1" applyAlignment="1">
      <alignment horizontal="center"/>
    </xf>
    <xf numFmtId="0" fontId="30" fillId="2" borderId="26" xfId="0" applyFont="1" applyFill="1" applyBorder="1" applyAlignment="1">
      <alignment horizontal="center"/>
    </xf>
    <xf numFmtId="0" fontId="30" fillId="2" borderId="46" xfId="0" applyFont="1" applyFill="1" applyBorder="1" applyAlignment="1">
      <alignment horizontal="center"/>
    </xf>
    <xf numFmtId="0" fontId="30" fillId="2" borderId="8" xfId="0" applyFont="1" applyFill="1" applyBorder="1" applyAlignment="1">
      <alignment/>
    </xf>
    <xf numFmtId="0" fontId="30" fillId="2" borderId="15" xfId="0" applyFont="1" applyFill="1" applyBorder="1" applyAlignment="1">
      <alignment/>
    </xf>
    <xf numFmtId="0" fontId="30" fillId="2" borderId="23" xfId="0" applyFont="1" applyFill="1" applyBorder="1" applyAlignment="1">
      <alignment/>
    </xf>
    <xf numFmtId="0" fontId="30" fillId="2" borderId="31" xfId="0" applyFont="1" applyFill="1" applyBorder="1" applyAlignment="1">
      <alignment/>
    </xf>
    <xf numFmtId="0" fontId="30" fillId="0" borderId="58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63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" fillId="0" borderId="48" xfId="0" applyFont="1" applyBorder="1" applyAlignment="1">
      <alignment/>
    </xf>
    <xf numFmtId="3" fontId="2" fillId="0" borderId="43" xfId="0" applyNumberFormat="1" applyFont="1" applyBorder="1" applyAlignment="1">
      <alignment/>
    </xf>
    <xf numFmtId="0" fontId="30" fillId="0" borderId="24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0" fillId="0" borderId="12" xfId="0" applyFont="1" applyBorder="1" applyAlignment="1">
      <alignment/>
    </xf>
    <xf numFmtId="3" fontId="30" fillId="0" borderId="45" xfId="0" applyNumberFormat="1" applyFont="1" applyBorder="1" applyAlignment="1">
      <alignment/>
    </xf>
    <xf numFmtId="0" fontId="30" fillId="0" borderId="17" xfId="0" applyFont="1" applyBorder="1" applyAlignment="1">
      <alignment/>
    </xf>
    <xf numFmtId="3" fontId="30" fillId="0" borderId="46" xfId="0" applyNumberFormat="1" applyFont="1" applyBorder="1" applyAlignment="1">
      <alignment/>
    </xf>
    <xf numFmtId="0" fontId="30" fillId="0" borderId="8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2" fillId="0" borderId="15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30" fillId="0" borderId="6" xfId="0" applyFont="1" applyBorder="1" applyAlignment="1">
      <alignment wrapText="1" shrinkToFit="1"/>
    </xf>
    <xf numFmtId="3" fontId="30" fillId="0" borderId="47" xfId="0" applyNumberFormat="1" applyFont="1" applyBorder="1" applyAlignment="1">
      <alignment/>
    </xf>
    <xf numFmtId="0" fontId="30" fillId="0" borderId="1" xfId="0" applyFont="1" applyBorder="1" applyAlignment="1">
      <alignment/>
    </xf>
    <xf numFmtId="3" fontId="30" fillId="0" borderId="66" xfId="0" applyNumberFormat="1" applyFont="1" applyBorder="1" applyAlignment="1">
      <alignment/>
    </xf>
    <xf numFmtId="3" fontId="30" fillId="0" borderId="62" xfId="0" applyNumberFormat="1" applyFont="1" applyBorder="1" applyAlignment="1">
      <alignment/>
    </xf>
    <xf numFmtId="0" fontId="2" fillId="0" borderId="23" xfId="0" applyFont="1" applyBorder="1" applyAlignment="1">
      <alignment/>
    </xf>
    <xf numFmtId="3" fontId="2" fillId="0" borderId="60" xfId="0" applyNumberFormat="1" applyFont="1" applyBorder="1" applyAlignment="1">
      <alignment/>
    </xf>
    <xf numFmtId="3" fontId="30" fillId="0" borderId="61" xfId="0" applyNumberFormat="1" applyFont="1" applyBorder="1" applyAlignment="1">
      <alignment/>
    </xf>
    <xf numFmtId="3" fontId="30" fillId="0" borderId="42" xfId="0" applyNumberFormat="1" applyFont="1" applyBorder="1" applyAlignment="1">
      <alignment/>
    </xf>
    <xf numFmtId="3" fontId="30" fillId="0" borderId="67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30" fillId="0" borderId="18" xfId="0" applyFont="1" applyFill="1" applyBorder="1" applyAlignment="1">
      <alignment/>
    </xf>
    <xf numFmtId="0" fontId="30" fillId="0" borderId="39" xfId="0" applyFont="1" applyFill="1" applyBorder="1" applyAlignment="1">
      <alignment/>
    </xf>
    <xf numFmtId="0" fontId="30" fillId="0" borderId="39" xfId="0" applyFont="1" applyFill="1" applyBorder="1" applyAlignment="1">
      <alignment wrapText="1"/>
    </xf>
    <xf numFmtId="3" fontId="30" fillId="0" borderId="42" xfId="0" applyNumberFormat="1" applyFont="1" applyFill="1" applyBorder="1" applyAlignment="1">
      <alignment/>
    </xf>
    <xf numFmtId="0" fontId="30" fillId="0" borderId="17" xfId="0" applyFont="1" applyFill="1" applyBorder="1" applyAlignment="1">
      <alignment horizontal="center"/>
    </xf>
    <xf numFmtId="0" fontId="30" fillId="0" borderId="27" xfId="0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3" fontId="2" fillId="0" borderId="31" xfId="0" applyNumberFormat="1" applyFont="1" applyBorder="1" applyAlignment="1">
      <alignment horizontal="right"/>
    </xf>
    <xf numFmtId="0" fontId="12" fillId="0" borderId="27" xfId="18" applyFont="1" applyBorder="1" applyAlignment="1">
      <alignment horizontal="left" vertical="top"/>
      <protection/>
    </xf>
    <xf numFmtId="0" fontId="12" fillId="0" borderId="0" xfId="18" applyFont="1" applyBorder="1" applyAlignment="1">
      <alignment horizontal="left" vertical="top"/>
      <protection/>
    </xf>
    <xf numFmtId="3" fontId="12" fillId="0" borderId="3" xfId="18" applyNumberFormat="1" applyFont="1" applyBorder="1">
      <alignment/>
      <protection/>
    </xf>
    <xf numFmtId="3" fontId="12" fillId="0" borderId="3" xfId="18" applyNumberFormat="1" applyFont="1" applyBorder="1" applyAlignment="1">
      <alignment/>
      <protection/>
    </xf>
    <xf numFmtId="3" fontId="12" fillId="0" borderId="5" xfId="18" applyNumberFormat="1" applyFont="1" applyBorder="1">
      <alignment/>
      <protection/>
    </xf>
    <xf numFmtId="3" fontId="12" fillId="0" borderId="5" xfId="18" applyNumberFormat="1" applyFont="1" applyBorder="1" applyAlignment="1">
      <alignment/>
      <protection/>
    </xf>
    <xf numFmtId="0" fontId="12" fillId="0" borderId="68" xfId="18" applyFont="1" applyBorder="1">
      <alignment/>
      <protection/>
    </xf>
    <xf numFmtId="3" fontId="12" fillId="0" borderId="68" xfId="18" applyNumberFormat="1" applyFont="1" applyBorder="1">
      <alignment/>
      <protection/>
    </xf>
    <xf numFmtId="0" fontId="12" fillId="0" borderId="5" xfId="18" applyFont="1" applyBorder="1">
      <alignment/>
      <protection/>
    </xf>
    <xf numFmtId="3" fontId="12" fillId="0" borderId="68" xfId="18" applyNumberFormat="1" applyFont="1" applyBorder="1" applyAlignment="1">
      <alignment/>
      <protection/>
    </xf>
    <xf numFmtId="3" fontId="12" fillId="0" borderId="68" xfId="18" applyNumberFormat="1" applyFont="1" applyBorder="1" applyAlignment="1">
      <alignment horizontal="right"/>
      <protection/>
    </xf>
    <xf numFmtId="3" fontId="12" fillId="0" borderId="5" xfId="18" applyNumberFormat="1" applyFont="1" applyBorder="1" applyAlignment="1">
      <alignment horizontal="right"/>
      <protection/>
    </xf>
    <xf numFmtId="3" fontId="12" fillId="0" borderId="3" xfId="18" applyNumberFormat="1" applyFont="1" applyBorder="1" applyAlignment="1">
      <alignment horizontal="right"/>
      <protection/>
    </xf>
    <xf numFmtId="3" fontId="12" fillId="0" borderId="4" xfId="18" applyNumberFormat="1" applyFont="1" applyBorder="1" applyAlignment="1">
      <alignment horizontal="right"/>
      <protection/>
    </xf>
    <xf numFmtId="3" fontId="12" fillId="0" borderId="4" xfId="18" applyNumberFormat="1" applyFont="1" applyBorder="1">
      <alignment/>
      <protection/>
    </xf>
    <xf numFmtId="3" fontId="12" fillId="0" borderId="0" xfId="18" applyNumberFormat="1" applyFont="1" applyBorder="1" applyAlignment="1">
      <alignment horizontal="center"/>
      <protection/>
    </xf>
    <xf numFmtId="3" fontId="12" fillId="0" borderId="69" xfId="18" applyNumberFormat="1" applyFont="1" applyBorder="1" applyAlignment="1">
      <alignment horizontal="center"/>
      <protection/>
    </xf>
    <xf numFmtId="3" fontId="12" fillId="0" borderId="70" xfId="18" applyNumberFormat="1" applyFont="1" applyBorder="1" applyAlignment="1">
      <alignment horizontal="center"/>
      <protection/>
    </xf>
    <xf numFmtId="3" fontId="12" fillId="0" borderId="71" xfId="18" applyNumberFormat="1" applyFont="1" applyBorder="1" applyAlignment="1">
      <alignment horizontal="center"/>
      <protection/>
    </xf>
    <xf numFmtId="3" fontId="12" fillId="0" borderId="72" xfId="18" applyNumberFormat="1" applyFont="1" applyBorder="1" applyAlignment="1">
      <alignment horizontal="center"/>
      <protection/>
    </xf>
    <xf numFmtId="3" fontId="12" fillId="0" borderId="4" xfId="18" applyNumberFormat="1" applyFont="1" applyBorder="1" applyAlignment="1">
      <alignment horizontal="center"/>
      <protection/>
    </xf>
    <xf numFmtId="3" fontId="12" fillId="0" borderId="73" xfId="18" applyNumberFormat="1" applyFont="1" applyBorder="1" applyAlignment="1">
      <alignment horizontal="center"/>
      <protection/>
    </xf>
    <xf numFmtId="0" fontId="12" fillId="0" borderId="74" xfId="18" applyFont="1" applyBorder="1" applyAlignment="1">
      <alignment horizontal="center"/>
      <protection/>
    </xf>
    <xf numFmtId="0" fontId="12" fillId="0" borderId="27" xfId="18" applyFont="1" applyBorder="1" applyAlignment="1">
      <alignment horizontal="center"/>
      <protection/>
    </xf>
    <xf numFmtId="0" fontId="12" fillId="0" borderId="0" xfId="18" applyFont="1" applyBorder="1" applyAlignment="1">
      <alignment horizontal="center"/>
      <protection/>
    </xf>
    <xf numFmtId="0" fontId="12" fillId="0" borderId="75" xfId="18" applyFont="1" applyBorder="1" applyAlignment="1">
      <alignment horizontal="center"/>
      <protection/>
    </xf>
    <xf numFmtId="0" fontId="12" fillId="0" borderId="27" xfId="18" applyFont="1" applyBorder="1" applyAlignment="1">
      <alignment horizontal="left"/>
      <protection/>
    </xf>
    <xf numFmtId="0" fontId="12" fillId="0" borderId="62" xfId="18" applyFont="1" applyBorder="1" applyAlignment="1">
      <alignment horizontal="center"/>
      <protection/>
    </xf>
    <xf numFmtId="0" fontId="12" fillId="0" borderId="76" xfId="18" applyFont="1" applyBorder="1" applyAlignment="1">
      <alignment horizontal="left"/>
      <protection/>
    </xf>
    <xf numFmtId="0" fontId="12" fillId="0" borderId="77" xfId="18" applyFont="1" applyBorder="1" applyAlignment="1">
      <alignment horizontal="center"/>
      <protection/>
    </xf>
    <xf numFmtId="0" fontId="12" fillId="0" borderId="78" xfId="18" applyFont="1" applyBorder="1" applyAlignment="1">
      <alignment horizontal="center"/>
      <protection/>
    </xf>
    <xf numFmtId="0" fontId="12" fillId="0" borderId="3" xfId="18" applyFont="1" applyBorder="1" applyAlignment="1">
      <alignment vertical="center"/>
      <protection/>
    </xf>
    <xf numFmtId="3" fontId="12" fillId="0" borderId="74" xfId="18" applyNumberFormat="1" applyFont="1" applyBorder="1" applyAlignment="1">
      <alignment horizontal="center"/>
      <protection/>
    </xf>
    <xf numFmtId="3" fontId="12" fillId="0" borderId="75" xfId="18" applyNumberFormat="1" applyFont="1" applyBorder="1" applyAlignment="1">
      <alignment horizontal="center"/>
      <protection/>
    </xf>
    <xf numFmtId="3" fontId="12" fillId="0" borderId="62" xfId="18" applyNumberFormat="1" applyFont="1" applyBorder="1" applyAlignment="1">
      <alignment horizontal="center"/>
      <protection/>
    </xf>
    <xf numFmtId="3" fontId="12" fillId="0" borderId="76" xfId="18" applyNumberFormat="1" applyFont="1" applyBorder="1" applyAlignment="1">
      <alignment horizontal="left"/>
      <protection/>
    </xf>
    <xf numFmtId="3" fontId="12" fillId="0" borderId="77" xfId="18" applyNumberFormat="1" applyFont="1" applyBorder="1" applyAlignment="1">
      <alignment horizontal="center"/>
      <protection/>
    </xf>
    <xf numFmtId="3" fontId="12" fillId="0" borderId="78" xfId="18" applyNumberFormat="1" applyFont="1" applyBorder="1" applyAlignment="1">
      <alignment horizontal="center"/>
      <protection/>
    </xf>
    <xf numFmtId="3" fontId="12" fillId="0" borderId="79" xfId="18" applyNumberFormat="1" applyFont="1" applyBorder="1" applyAlignment="1">
      <alignment horizontal="center"/>
      <protection/>
    </xf>
    <xf numFmtId="3" fontId="12" fillId="0" borderId="80" xfId="18" applyNumberFormat="1" applyFont="1" applyBorder="1" applyAlignment="1">
      <alignment horizontal="center"/>
      <protection/>
    </xf>
    <xf numFmtId="3" fontId="12" fillId="0" borderId="81" xfId="18" applyNumberFormat="1" applyFont="1" applyBorder="1" applyAlignment="1">
      <alignment horizontal="center"/>
      <protection/>
    </xf>
    <xf numFmtId="0" fontId="12" fillId="0" borderId="82" xfId="18" applyFont="1" applyBorder="1">
      <alignment/>
      <protection/>
    </xf>
    <xf numFmtId="0" fontId="12" fillId="0" borderId="73" xfId="18" applyFont="1" applyBorder="1">
      <alignment/>
      <protection/>
    </xf>
    <xf numFmtId="0" fontId="11" fillId="0" borderId="10" xfId="18" applyFont="1" applyBorder="1">
      <alignment/>
      <protection/>
    </xf>
    <xf numFmtId="3" fontId="11" fillId="0" borderId="10" xfId="18" applyNumberFormat="1" applyFont="1" applyBorder="1">
      <alignment/>
      <protection/>
    </xf>
    <xf numFmtId="0" fontId="11" fillId="2" borderId="42" xfId="18" applyFont="1" applyFill="1" applyBorder="1" applyAlignment="1">
      <alignment horizontal="center" vertical="center" wrapText="1"/>
      <protection/>
    </xf>
    <xf numFmtId="0" fontId="13" fillId="0" borderId="33" xfId="18" applyFont="1" applyBorder="1" applyAlignment="1">
      <alignment horizontal="center" vertical="center"/>
      <protection/>
    </xf>
    <xf numFmtId="0" fontId="13" fillId="0" borderId="42" xfId="18" applyFont="1" applyBorder="1" applyAlignment="1">
      <alignment horizontal="center" vertical="center"/>
      <protection/>
    </xf>
    <xf numFmtId="3" fontId="11" fillId="0" borderId="43" xfId="18" applyNumberFormat="1" applyFont="1" applyBorder="1">
      <alignment/>
      <protection/>
    </xf>
    <xf numFmtId="0" fontId="12" fillId="0" borderId="62" xfId="18" applyFont="1" applyBorder="1" applyAlignment="1">
      <alignment horizontal="left" vertical="top"/>
      <protection/>
    </xf>
    <xf numFmtId="3" fontId="12" fillId="0" borderId="83" xfId="18" applyNumberFormat="1" applyFont="1" applyBorder="1">
      <alignment/>
      <protection/>
    </xf>
    <xf numFmtId="3" fontId="12" fillId="0" borderId="56" xfId="18" applyNumberFormat="1" applyFont="1" applyBorder="1" applyAlignment="1">
      <alignment/>
      <protection/>
    </xf>
    <xf numFmtId="3" fontId="12" fillId="0" borderId="84" xfId="18" applyNumberFormat="1" applyFont="1" applyBorder="1" applyAlignment="1">
      <alignment/>
      <protection/>
    </xf>
    <xf numFmtId="3" fontId="12" fillId="0" borderId="85" xfId="18" applyNumberFormat="1" applyFont="1" applyBorder="1" applyAlignment="1">
      <alignment/>
      <protection/>
    </xf>
    <xf numFmtId="3" fontId="12" fillId="0" borderId="83" xfId="18" applyNumberFormat="1" applyFont="1" applyBorder="1" applyAlignment="1">
      <alignment horizontal="right"/>
      <protection/>
    </xf>
    <xf numFmtId="3" fontId="12" fillId="0" borderId="56" xfId="18" applyNumberFormat="1" applyFont="1" applyBorder="1" applyAlignment="1">
      <alignment horizontal="right"/>
      <protection/>
    </xf>
    <xf numFmtId="3" fontId="12" fillId="0" borderId="84" xfId="18" applyNumberFormat="1" applyFont="1" applyBorder="1" applyAlignment="1">
      <alignment horizontal="right"/>
      <protection/>
    </xf>
    <xf numFmtId="3" fontId="12" fillId="0" borderId="85" xfId="18" applyNumberFormat="1" applyFont="1" applyBorder="1" applyAlignment="1">
      <alignment horizontal="right"/>
      <protection/>
    </xf>
    <xf numFmtId="3" fontId="0" fillId="0" borderId="1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horizontal="right" vertical="center"/>
    </xf>
    <xf numFmtId="0" fontId="12" fillId="0" borderId="27" xfId="18" applyFont="1" applyBorder="1" applyAlignment="1">
      <alignment horizontal="left" vertical="center"/>
      <protection/>
    </xf>
    <xf numFmtId="0" fontId="12" fillId="0" borderId="0" xfId="18" applyFont="1" applyBorder="1" applyAlignment="1">
      <alignment horizontal="left" vertical="center"/>
      <protection/>
    </xf>
    <xf numFmtId="0" fontId="12" fillId="0" borderId="62" xfId="18" applyFont="1" applyBorder="1" applyAlignment="1">
      <alignment horizontal="left" vertical="center"/>
      <protection/>
    </xf>
    <xf numFmtId="0" fontId="12" fillId="0" borderId="86" xfId="18" applyFont="1" applyBorder="1">
      <alignment/>
      <protection/>
    </xf>
    <xf numFmtId="0" fontId="7" fillId="2" borderId="58" xfId="0" applyFont="1" applyFill="1" applyBorder="1" applyAlignment="1">
      <alignment horizontal="left" vertical="center"/>
    </xf>
    <xf numFmtId="49" fontId="7" fillId="2" borderId="24" xfId="0" applyNumberFormat="1" applyFont="1" applyFill="1" applyBorder="1" applyAlignment="1">
      <alignment horizontal="left" vertical="center"/>
    </xf>
    <xf numFmtId="3" fontId="7" fillId="2" borderId="17" xfId="0" applyNumberFormat="1" applyFont="1" applyFill="1" applyBorder="1" applyAlignment="1">
      <alignment horizontal="right" vertical="center"/>
    </xf>
    <xf numFmtId="0" fontId="7" fillId="2" borderId="58" xfId="0" applyFont="1" applyFill="1" applyBorder="1" applyAlignment="1">
      <alignment/>
    </xf>
    <xf numFmtId="3" fontId="7" fillId="2" borderId="12" xfId="0" applyNumberFormat="1" applyFont="1" applyFill="1" applyBorder="1" applyAlignment="1">
      <alignment horizontal="right"/>
    </xf>
    <xf numFmtId="0" fontId="7" fillId="2" borderId="24" xfId="0" applyFont="1" applyFill="1" applyBorder="1" applyAlignment="1">
      <alignment horizontal="left"/>
    </xf>
    <xf numFmtId="3" fontId="7" fillId="2" borderId="7" xfId="0" applyNumberFormat="1" applyFont="1" applyFill="1" applyBorder="1" applyAlignment="1">
      <alignment horizontal="right"/>
    </xf>
    <xf numFmtId="3" fontId="7" fillId="2" borderId="17" xfId="0" applyNumberFormat="1" applyFont="1" applyFill="1" applyBorder="1" applyAlignment="1">
      <alignment horizontal="right"/>
    </xf>
    <xf numFmtId="49" fontId="7" fillId="2" borderId="8" xfId="0" applyNumberFormat="1" applyFont="1" applyFill="1" applyBorder="1" applyAlignment="1">
      <alignment horizontal="left"/>
    </xf>
    <xf numFmtId="3" fontId="7" fillId="2" borderId="15" xfId="0" applyNumberFormat="1" applyFont="1" applyFill="1" applyBorder="1" applyAlignment="1">
      <alignment horizontal="right"/>
    </xf>
    <xf numFmtId="0" fontId="7" fillId="2" borderId="19" xfId="0" applyFont="1" applyFill="1" applyBorder="1" applyAlignment="1">
      <alignment horizontal="left"/>
    </xf>
    <xf numFmtId="3" fontId="7" fillId="2" borderId="20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/>
    </xf>
    <xf numFmtId="3" fontId="7" fillId="2" borderId="15" xfId="0" applyNumberFormat="1" applyFont="1" applyFill="1" applyBorder="1" applyAlignment="1">
      <alignment/>
    </xf>
    <xf numFmtId="3" fontId="7" fillId="2" borderId="12" xfId="0" applyNumberFormat="1" applyFont="1" applyFill="1" applyBorder="1" applyAlignment="1">
      <alignment horizontal="right" vertical="center"/>
    </xf>
    <xf numFmtId="0" fontId="27" fillId="0" borderId="15" xfId="0" applyFont="1" applyBorder="1" applyAlignment="1">
      <alignment/>
    </xf>
    <xf numFmtId="3" fontId="27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46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27" fillId="0" borderId="20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2" fillId="0" borderId="39" xfId="18" applyFont="1" applyBorder="1">
      <alignment/>
      <protection/>
    </xf>
    <xf numFmtId="0" fontId="12" fillId="0" borderId="33" xfId="18" applyFont="1" applyBorder="1">
      <alignment/>
      <protection/>
    </xf>
    <xf numFmtId="3" fontId="12" fillId="0" borderId="1" xfId="18" applyNumberFormat="1" applyFont="1" applyBorder="1">
      <alignment/>
      <protection/>
    </xf>
    <xf numFmtId="0" fontId="12" fillId="0" borderId="1" xfId="18" applyFont="1" applyBorder="1" applyAlignment="1">
      <alignment horizontal="center"/>
      <protection/>
    </xf>
    <xf numFmtId="0" fontId="11" fillId="0" borderId="19" xfId="18" applyFont="1" applyBorder="1">
      <alignment/>
      <protection/>
    </xf>
    <xf numFmtId="3" fontId="11" fillId="0" borderId="20" xfId="18" applyNumberFormat="1" applyFont="1" applyBorder="1">
      <alignment/>
      <protection/>
    </xf>
    <xf numFmtId="0" fontId="12" fillId="0" borderId="87" xfId="18" applyFont="1" applyBorder="1">
      <alignment/>
      <protection/>
    </xf>
    <xf numFmtId="0" fontId="7" fillId="2" borderId="63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3" fontId="27" fillId="0" borderId="31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0" fontId="7" fillId="0" borderId="46" xfId="0" applyFont="1" applyBorder="1" applyAlignment="1">
      <alignment/>
    </xf>
    <xf numFmtId="3" fontId="7" fillId="0" borderId="46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0" fontId="0" fillId="0" borderId="31" xfId="0" applyBorder="1" applyAlignment="1">
      <alignment/>
    </xf>
    <xf numFmtId="0" fontId="12" fillId="0" borderId="0" xfId="18" applyFont="1" applyBorder="1">
      <alignment/>
      <protection/>
    </xf>
    <xf numFmtId="3" fontId="11" fillId="0" borderId="64" xfId="18" applyNumberFormat="1" applyFont="1" applyBorder="1">
      <alignment/>
      <protection/>
    </xf>
    <xf numFmtId="3" fontId="12" fillId="0" borderId="42" xfId="18" applyNumberFormat="1" applyFont="1" applyBorder="1">
      <alignment/>
      <protection/>
    </xf>
    <xf numFmtId="3" fontId="12" fillId="0" borderId="1" xfId="18" applyNumberFormat="1" applyFont="1" applyBorder="1" applyAlignment="1">
      <alignment horizontal="right"/>
      <protection/>
    </xf>
    <xf numFmtId="3" fontId="12" fillId="0" borderId="42" xfId="18" applyNumberFormat="1" applyFont="1" applyBorder="1" applyAlignment="1">
      <alignment horizontal="right"/>
      <protection/>
    </xf>
    <xf numFmtId="3" fontId="12" fillId="0" borderId="88" xfId="18" applyNumberFormat="1" applyFont="1" applyBorder="1" applyAlignment="1">
      <alignment horizontal="right"/>
      <protection/>
    </xf>
    <xf numFmtId="3" fontId="12" fillId="0" borderId="89" xfId="18" applyNumberFormat="1" applyFont="1" applyBorder="1" applyAlignment="1">
      <alignment horizontal="right"/>
      <protection/>
    </xf>
    <xf numFmtId="3" fontId="12" fillId="0" borderId="73" xfId="18" applyNumberFormat="1" applyFont="1" applyBorder="1" applyAlignment="1">
      <alignment horizontal="right"/>
      <protection/>
    </xf>
    <xf numFmtId="3" fontId="12" fillId="0" borderId="81" xfId="18" applyNumberFormat="1" applyFont="1" applyBorder="1" applyAlignment="1">
      <alignment horizontal="right"/>
      <protection/>
    </xf>
    <xf numFmtId="3" fontId="12" fillId="0" borderId="79" xfId="18" applyNumberFormat="1" applyFont="1" applyBorder="1" applyAlignment="1">
      <alignment horizontal="right"/>
      <protection/>
    </xf>
    <xf numFmtId="3" fontId="12" fillId="0" borderId="80" xfId="18" applyNumberFormat="1" applyFont="1" applyBorder="1" applyAlignment="1">
      <alignment horizontal="right"/>
      <protection/>
    </xf>
    <xf numFmtId="3" fontId="12" fillId="0" borderId="69" xfId="18" applyNumberFormat="1" applyFont="1" applyBorder="1" applyAlignment="1">
      <alignment horizontal="right"/>
      <protection/>
    </xf>
    <xf numFmtId="3" fontId="12" fillId="0" borderId="70" xfId="18" applyNumberFormat="1" applyFont="1" applyBorder="1" applyAlignment="1">
      <alignment horizontal="right"/>
      <protection/>
    </xf>
    <xf numFmtId="3" fontId="12" fillId="0" borderId="71" xfId="18" applyNumberFormat="1" applyFont="1" applyBorder="1" applyAlignment="1">
      <alignment horizontal="right"/>
      <protection/>
    </xf>
    <xf numFmtId="3" fontId="12" fillId="0" borderId="72" xfId="18" applyNumberFormat="1" applyFont="1" applyBorder="1" applyAlignment="1">
      <alignment horizontal="right"/>
      <protection/>
    </xf>
    <xf numFmtId="3" fontId="12" fillId="0" borderId="90" xfId="18" applyNumberFormat="1" applyFont="1" applyBorder="1" applyAlignment="1">
      <alignment horizontal="right"/>
      <protection/>
    </xf>
    <xf numFmtId="3" fontId="12" fillId="0" borderId="91" xfId="18" applyNumberFormat="1" applyFont="1" applyBorder="1" applyAlignment="1">
      <alignment horizontal="right"/>
      <protection/>
    </xf>
    <xf numFmtId="3" fontId="12" fillId="0" borderId="92" xfId="18" applyNumberFormat="1" applyFont="1" applyBorder="1" applyAlignment="1">
      <alignment horizontal="right"/>
      <protection/>
    </xf>
    <xf numFmtId="0" fontId="12" fillId="0" borderId="93" xfId="18" applyFont="1" applyBorder="1">
      <alignment/>
      <protection/>
    </xf>
    <xf numFmtId="0" fontId="25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7" fillId="0" borderId="27" xfId="0" applyFont="1" applyBorder="1" applyAlignment="1">
      <alignment/>
    </xf>
    <xf numFmtId="0" fontId="9" fillId="0" borderId="50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9" fillId="0" borderId="64" xfId="0" applyFont="1" applyBorder="1" applyAlignment="1">
      <alignment horizontal="centerContinuous"/>
    </xf>
    <xf numFmtId="0" fontId="9" fillId="0" borderId="0" xfId="0" applyFont="1" applyAlignment="1">
      <alignment/>
    </xf>
    <xf numFmtId="3" fontId="7" fillId="0" borderId="2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39" xfId="0" applyFont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7" fillId="0" borderId="39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3" fontId="7" fillId="0" borderId="46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 horizontal="right"/>
    </xf>
    <xf numFmtId="0" fontId="7" fillId="0" borderId="18" xfId="0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 horizontal="right"/>
    </xf>
    <xf numFmtId="3" fontId="7" fillId="0" borderId="47" xfId="0" applyNumberFormat="1" applyFont="1" applyFill="1" applyBorder="1" applyAlignment="1">
      <alignment horizontal="right"/>
    </xf>
    <xf numFmtId="0" fontId="7" fillId="0" borderId="41" xfId="0" applyFont="1" applyBorder="1" applyAlignment="1">
      <alignment/>
    </xf>
    <xf numFmtId="3" fontId="7" fillId="0" borderId="41" xfId="0" applyNumberFormat="1" applyFont="1" applyFill="1" applyBorder="1" applyAlignment="1">
      <alignment/>
    </xf>
    <xf numFmtId="3" fontId="7" fillId="0" borderId="41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Continuous"/>
    </xf>
    <xf numFmtId="0" fontId="7" fillId="0" borderId="20" xfId="0" applyFont="1" applyBorder="1" applyAlignment="1">
      <alignment/>
    </xf>
    <xf numFmtId="170" fontId="7" fillId="0" borderId="20" xfId="0" applyNumberFormat="1" applyFont="1" applyFill="1" applyBorder="1" applyAlignment="1">
      <alignment horizontal="center"/>
    </xf>
    <xf numFmtId="170" fontId="7" fillId="0" borderId="20" xfId="0" applyNumberFormat="1" applyFont="1" applyBorder="1" applyAlignment="1">
      <alignment horizontal="center"/>
    </xf>
    <xf numFmtId="170" fontId="7" fillId="0" borderId="51" xfId="0" applyNumberFormat="1" applyFont="1" applyBorder="1" applyAlignment="1">
      <alignment horizontal="center"/>
    </xf>
    <xf numFmtId="170" fontId="7" fillId="0" borderId="50" xfId="0" applyNumberFormat="1" applyFont="1" applyBorder="1" applyAlignment="1">
      <alignment horizontal="center"/>
    </xf>
    <xf numFmtId="170" fontId="7" fillId="0" borderId="64" xfId="0" applyNumberFormat="1" applyFont="1" applyBorder="1" applyAlignment="1">
      <alignment horizontal="center"/>
    </xf>
    <xf numFmtId="0" fontId="7" fillId="2" borderId="52" xfId="0" applyFont="1" applyFill="1" applyBorder="1" applyAlignment="1">
      <alignment/>
    </xf>
    <xf numFmtId="0" fontId="7" fillId="2" borderId="27" xfId="0" applyFont="1" applyFill="1" applyBorder="1" applyAlignment="1">
      <alignment horizontal="centerContinuous"/>
    </xf>
    <xf numFmtId="0" fontId="7" fillId="2" borderId="27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17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7" fillId="2" borderId="62" xfId="0" applyFont="1" applyFill="1" applyBorder="1" applyAlignment="1">
      <alignment horizontal="centerContinuous"/>
    </xf>
    <xf numFmtId="0" fontId="7" fillId="2" borderId="17" xfId="0" applyFont="1" applyFill="1" applyBorder="1" applyAlignment="1">
      <alignment horizontal="center"/>
    </xf>
    <xf numFmtId="0" fontId="7" fillId="2" borderId="17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49" xfId="0" applyFont="1" applyFill="1" applyBorder="1" applyAlignment="1">
      <alignment/>
    </xf>
    <xf numFmtId="0" fontId="7" fillId="2" borderId="49" xfId="0" applyFont="1" applyFill="1" applyBorder="1" applyAlignment="1">
      <alignment horizontal="centerContinuous"/>
    </xf>
    <xf numFmtId="0" fontId="7" fillId="2" borderId="49" xfId="0" applyFont="1" applyFill="1" applyBorder="1" applyAlignment="1">
      <alignment horizontal="center"/>
    </xf>
    <xf numFmtId="0" fontId="7" fillId="2" borderId="15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0" fillId="0" borderId="22" xfId="0" applyFont="1" applyBorder="1" applyAlignment="1">
      <alignment horizontal="centerContinuous"/>
    </xf>
    <xf numFmtId="0" fontId="0" fillId="0" borderId="33" xfId="0" applyFont="1" applyBorder="1" applyAlignment="1">
      <alignment horizontal="centerContinuous"/>
    </xf>
    <xf numFmtId="0" fontId="0" fillId="0" borderId="24" xfId="0" applyFont="1" applyBorder="1" applyAlignment="1">
      <alignment horizontal="centerContinuous"/>
    </xf>
    <xf numFmtId="0" fontId="0" fillId="0" borderId="55" xfId="0" applyFont="1" applyBorder="1" applyAlignment="1">
      <alignment horizontal="centerContinuous"/>
    </xf>
    <xf numFmtId="0" fontId="7" fillId="2" borderId="22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4" xfId="0" applyFont="1" applyFill="1" applyBorder="1" applyAlignment="1">
      <alignment horizontal="center"/>
    </xf>
    <xf numFmtId="0" fontId="9" fillId="0" borderId="19" xfId="0" applyFont="1" applyBorder="1" applyAlignment="1">
      <alignment horizontal="centerContinuous"/>
    </xf>
    <xf numFmtId="0" fontId="7" fillId="2" borderId="12" xfId="0" applyFont="1" applyFill="1" applyBorder="1" applyAlignment="1">
      <alignment horizontal="center"/>
    </xf>
    <xf numFmtId="0" fontId="12" fillId="0" borderId="4" xfId="18" applyFont="1" applyBorder="1" applyAlignment="1">
      <alignment horizontal="center"/>
      <protection/>
    </xf>
    <xf numFmtId="0" fontId="12" fillId="0" borderId="94" xfId="18" applyNumberFormat="1" applyFont="1" applyBorder="1" applyAlignment="1">
      <alignment horizontal="center"/>
      <protection/>
    </xf>
    <xf numFmtId="0" fontId="12" fillId="0" borderId="4" xfId="18" applyNumberFormat="1" applyFont="1" applyBorder="1" applyAlignment="1">
      <alignment horizontal="center"/>
      <protection/>
    </xf>
    <xf numFmtId="0" fontId="12" fillId="0" borderId="95" xfId="18" applyNumberFormat="1" applyFont="1" applyBorder="1" applyAlignment="1">
      <alignment horizontal="center"/>
      <protection/>
    </xf>
    <xf numFmtId="0" fontId="12" fillId="0" borderId="73" xfId="18" applyNumberFormat="1" applyFont="1" applyBorder="1" applyAlignment="1">
      <alignment horizontal="center"/>
      <protection/>
    </xf>
    <xf numFmtId="0" fontId="1" fillId="0" borderId="96" xfId="0" applyFont="1" applyBorder="1" applyAlignment="1">
      <alignment horizontal="center" vertical="center"/>
    </xf>
    <xf numFmtId="0" fontId="32" fillId="0" borderId="97" xfId="0" applyFont="1" applyBorder="1" applyAlignment="1">
      <alignment vertical="center"/>
    </xf>
    <xf numFmtId="0" fontId="0" fillId="0" borderId="97" xfId="0" applyBorder="1" applyAlignment="1">
      <alignment vertical="center"/>
    </xf>
    <xf numFmtId="0" fontId="4" fillId="0" borderId="98" xfId="0" applyFont="1" applyBorder="1" applyAlignment="1">
      <alignment horizontal="center" vertical="top"/>
    </xf>
    <xf numFmtId="0" fontId="0" fillId="0" borderId="98" xfId="0" applyBorder="1" applyAlignment="1">
      <alignment vertical="center"/>
    </xf>
    <xf numFmtId="0" fontId="0" fillId="0" borderId="98" xfId="0" applyFont="1" applyBorder="1" applyAlignment="1">
      <alignment vertical="center"/>
    </xf>
    <xf numFmtId="0" fontId="32" fillId="0" borderId="98" xfId="0" applyFont="1" applyBorder="1" applyAlignment="1">
      <alignment vertical="center"/>
    </xf>
    <xf numFmtId="0" fontId="0" fillId="0" borderId="98" xfId="0" applyBorder="1" applyAlignment="1">
      <alignment vertical="center" wrapText="1"/>
    </xf>
    <xf numFmtId="0" fontId="32" fillId="0" borderId="98" xfId="0" applyFont="1" applyBorder="1" applyAlignment="1">
      <alignment vertical="center" wrapText="1"/>
    </xf>
    <xf numFmtId="0" fontId="32" fillId="0" borderId="99" xfId="0" applyFont="1" applyBorder="1" applyAlignment="1">
      <alignment vertical="center" wrapText="1"/>
    </xf>
    <xf numFmtId="3" fontId="0" fillId="0" borderId="98" xfId="0" applyNumberFormat="1" applyBorder="1" applyAlignment="1">
      <alignment vertical="center"/>
    </xf>
    <xf numFmtId="3" fontId="0" fillId="0" borderId="97" xfId="0" applyNumberFormat="1" applyBorder="1" applyAlignment="1">
      <alignment vertical="center"/>
    </xf>
    <xf numFmtId="0" fontId="4" fillId="2" borderId="96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4" fillId="0" borderId="97" xfId="0" applyNumberFormat="1" applyFont="1" applyBorder="1" applyAlignment="1">
      <alignment vertical="center"/>
    </xf>
    <xf numFmtId="3" fontId="4" fillId="0" borderId="98" xfId="0" applyNumberFormat="1" applyFont="1" applyBorder="1" applyAlignment="1">
      <alignment vertical="center"/>
    </xf>
    <xf numFmtId="170" fontId="4" fillId="0" borderId="98" xfId="0" applyNumberFormat="1" applyFont="1" applyBorder="1" applyAlignment="1">
      <alignment vertical="center"/>
    </xf>
    <xf numFmtId="0" fontId="4" fillId="0" borderId="100" xfId="0" applyFont="1" applyBorder="1" applyAlignment="1">
      <alignment horizontal="center" vertical="top"/>
    </xf>
    <xf numFmtId="0" fontId="4" fillId="0" borderId="101" xfId="0" applyFont="1" applyBorder="1" applyAlignment="1">
      <alignment horizontal="center" vertical="top"/>
    </xf>
    <xf numFmtId="0" fontId="11" fillId="0" borderId="9" xfId="18" applyFont="1" applyBorder="1" applyAlignment="1">
      <alignment horizontal="center"/>
      <protection/>
    </xf>
    <xf numFmtId="0" fontId="11" fillId="0" borderId="96" xfId="18" applyFont="1" applyBorder="1" applyAlignment="1">
      <alignment horizontal="center"/>
      <protection/>
    </xf>
    <xf numFmtId="0" fontId="34" fillId="0" borderId="0" xfId="18" applyFont="1">
      <alignment/>
      <protection/>
    </xf>
    <xf numFmtId="3" fontId="4" fillId="0" borderId="1" xfId="0" applyNumberFormat="1" applyFont="1" applyBorder="1" applyAlignment="1">
      <alignment vertical="center"/>
    </xf>
    <xf numFmtId="0" fontId="22" fillId="0" borderId="33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170" fontId="0" fillId="0" borderId="42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/>
    </xf>
    <xf numFmtId="0" fontId="0" fillId="0" borderId="56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0" fillId="0" borderId="84" xfId="0" applyFont="1" applyBorder="1" applyAlignment="1">
      <alignment horizontal="right" vertical="center"/>
    </xf>
    <xf numFmtId="0" fontId="0" fillId="0" borderId="83" xfId="0" applyFont="1" applyBorder="1" applyAlignment="1">
      <alignment horizontal="right" vertical="center"/>
    </xf>
    <xf numFmtId="170" fontId="4" fillId="0" borderId="42" xfId="0" applyNumberFormat="1" applyFont="1" applyBorder="1" applyAlignment="1">
      <alignment horizontal="right" vertical="center"/>
    </xf>
    <xf numFmtId="170" fontId="0" fillId="0" borderId="56" xfId="0" applyNumberFormat="1" applyFont="1" applyBorder="1" applyAlignment="1">
      <alignment horizontal="right" vertical="center"/>
    </xf>
    <xf numFmtId="170" fontId="0" fillId="0" borderId="84" xfId="0" applyNumberFormat="1" applyFont="1" applyBorder="1" applyAlignment="1">
      <alignment horizontal="right" vertical="center"/>
    </xf>
    <xf numFmtId="0" fontId="0" fillId="0" borderId="102" xfId="0" applyFont="1" applyBorder="1" applyAlignment="1">
      <alignment horizontal="center" vertical="center"/>
    </xf>
    <xf numFmtId="0" fontId="0" fillId="0" borderId="68" xfId="0" applyFont="1" applyBorder="1" applyAlignment="1">
      <alignment vertical="center"/>
    </xf>
    <xf numFmtId="0" fontId="0" fillId="0" borderId="68" xfId="0" applyFont="1" applyBorder="1" applyAlignment="1">
      <alignment horizontal="center" vertical="center"/>
    </xf>
    <xf numFmtId="3" fontId="0" fillId="0" borderId="68" xfId="0" applyNumberFormat="1" applyFont="1" applyBorder="1" applyAlignment="1">
      <alignment horizontal="right" vertical="center"/>
    </xf>
    <xf numFmtId="3" fontId="0" fillId="0" borderId="68" xfId="0" applyNumberFormat="1" applyFont="1" applyBorder="1" applyAlignment="1">
      <alignment vertical="center"/>
    </xf>
    <xf numFmtId="0" fontId="0" fillId="0" borderId="85" xfId="0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3" fontId="27" fillId="0" borderId="20" xfId="0" applyNumberFormat="1" applyFont="1" applyBorder="1" applyAlignment="1">
      <alignment horizontal="right"/>
    </xf>
    <xf numFmtId="3" fontId="27" fillId="0" borderId="64" xfId="0" applyNumberFormat="1" applyFont="1" applyBorder="1" applyAlignment="1">
      <alignment horizontal="right"/>
    </xf>
    <xf numFmtId="0" fontId="7" fillId="0" borderId="42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3" fontId="0" fillId="0" borderId="47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4" fillId="0" borderId="64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9" fillId="0" borderId="20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/>
    </xf>
    <xf numFmtId="0" fontId="25" fillId="0" borderId="17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49" fontId="4" fillId="0" borderId="24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/>
    </xf>
    <xf numFmtId="170" fontId="18" fillId="0" borderId="17" xfId="0" applyNumberFormat="1" applyFont="1" applyBorder="1" applyAlignment="1">
      <alignment vertical="top" wrapText="1"/>
    </xf>
    <xf numFmtId="3" fontId="25" fillId="0" borderId="4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9" fillId="0" borderId="5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3" fontId="7" fillId="0" borderId="16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 wrapText="1"/>
    </xf>
    <xf numFmtId="0" fontId="7" fillId="0" borderId="6" xfId="0" applyFont="1" applyBorder="1" applyAlignment="1">
      <alignment/>
    </xf>
    <xf numFmtId="0" fontId="7" fillId="0" borderId="28" xfId="0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3" fontId="7" fillId="0" borderId="103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18" fillId="0" borderId="24" xfId="0" applyFont="1" applyBorder="1" applyAlignment="1">
      <alignment vertical="top" wrapText="1"/>
    </xf>
    <xf numFmtId="0" fontId="7" fillId="0" borderId="2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7" xfId="0" applyFont="1" applyFill="1" applyBorder="1" applyAlignment="1">
      <alignment/>
    </xf>
    <xf numFmtId="3" fontId="7" fillId="0" borderId="26" xfId="0" applyNumberFormat="1" applyFont="1" applyBorder="1" applyAlignment="1">
      <alignment horizontal="right" vertical="center"/>
    </xf>
    <xf numFmtId="0" fontId="7" fillId="0" borderId="62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3" fontId="7" fillId="0" borderId="62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3" fontId="7" fillId="0" borderId="63" xfId="0" applyNumberFormat="1" applyFont="1" applyBorder="1" applyAlignment="1">
      <alignment horizontal="right" vertical="center"/>
    </xf>
    <xf numFmtId="3" fontId="27" fillId="0" borderId="21" xfId="0" applyNumberFormat="1" applyFont="1" applyBorder="1" applyAlignment="1">
      <alignment horizontal="right" vertical="center"/>
    </xf>
    <xf numFmtId="0" fontId="7" fillId="0" borderId="42" xfId="0" applyFont="1" applyBorder="1" applyAlignment="1">
      <alignment horizontal="left" vertical="center"/>
    </xf>
    <xf numFmtId="49" fontId="7" fillId="0" borderId="26" xfId="0" applyNumberFormat="1" applyFont="1" applyFill="1" applyBorder="1" applyAlignment="1">
      <alignment/>
    </xf>
    <xf numFmtId="3" fontId="0" fillId="0" borderId="42" xfId="0" applyNumberFormat="1" applyBorder="1" applyAlignment="1">
      <alignment vertical="center"/>
    </xf>
    <xf numFmtId="3" fontId="18" fillId="0" borderId="48" xfId="0" applyNumberFormat="1" applyFont="1" applyBorder="1" applyAlignment="1">
      <alignment horizontal="right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49" fontId="7" fillId="0" borderId="28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/>
    </xf>
    <xf numFmtId="0" fontId="15" fillId="0" borderId="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3" fontId="0" fillId="0" borderId="97" xfId="0" applyNumberFormat="1" applyFill="1" applyBorder="1" applyAlignment="1">
      <alignment vertical="center"/>
    </xf>
    <xf numFmtId="3" fontId="0" fillId="0" borderId="98" xfId="0" applyNumberFormat="1" applyFill="1" applyBorder="1" applyAlignment="1">
      <alignment vertical="center"/>
    </xf>
    <xf numFmtId="3" fontId="4" fillId="0" borderId="98" xfId="0" applyNumberFormat="1" applyFont="1" applyFill="1" applyBorder="1" applyAlignment="1">
      <alignment vertical="center"/>
    </xf>
    <xf numFmtId="49" fontId="7" fillId="0" borderId="27" xfId="0" applyNumberFormat="1" applyFont="1" applyFill="1" applyBorder="1" applyAlignment="1">
      <alignment/>
    </xf>
    <xf numFmtId="49" fontId="7" fillId="0" borderId="17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3" fontId="0" fillId="0" borderId="4" xfId="0" applyNumberFormat="1" applyFont="1" applyBorder="1" applyAlignment="1">
      <alignment vertical="center"/>
    </xf>
    <xf numFmtId="0" fontId="0" fillId="0" borderId="1" xfId="0" applyFont="1" applyFill="1" applyBorder="1" applyAlignment="1">
      <alignment vertical="top" wrapText="1"/>
    </xf>
    <xf numFmtId="3" fontId="7" fillId="0" borderId="42" xfId="0" applyNumberFormat="1" applyFont="1" applyBorder="1" applyAlignment="1">
      <alignment/>
    </xf>
    <xf numFmtId="3" fontId="7" fillId="0" borderId="45" xfId="0" applyNumberFormat="1" applyFont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0" fontId="15" fillId="0" borderId="12" xfId="0" applyFont="1" applyBorder="1" applyAlignment="1">
      <alignment vertical="top" wrapText="1"/>
    </xf>
    <xf numFmtId="3" fontId="18" fillId="0" borderId="12" xfId="0" applyNumberFormat="1" applyFont="1" applyBorder="1" applyAlignment="1">
      <alignment vertical="top" wrapText="1"/>
    </xf>
    <xf numFmtId="3" fontId="15" fillId="0" borderId="12" xfId="0" applyNumberFormat="1" applyFont="1" applyBorder="1" applyAlignment="1">
      <alignment vertical="top" wrapText="1"/>
    </xf>
    <xf numFmtId="3" fontId="15" fillId="0" borderId="45" xfId="0" applyNumberFormat="1" applyFont="1" applyBorder="1" applyAlignment="1">
      <alignment vertical="top" wrapText="1"/>
    </xf>
    <xf numFmtId="0" fontId="27" fillId="0" borderId="8" xfId="0" applyFont="1" applyBorder="1" applyAlignment="1">
      <alignment horizontal="center" vertical="center"/>
    </xf>
    <xf numFmtId="3" fontId="27" fillId="0" borderId="60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/>
    </xf>
    <xf numFmtId="3" fontId="7" fillId="2" borderId="46" xfId="0" applyNumberFormat="1" applyFont="1" applyFill="1" applyBorder="1" applyAlignment="1">
      <alignment horizontal="right" vertical="center"/>
    </xf>
    <xf numFmtId="3" fontId="7" fillId="2" borderId="30" xfId="0" applyNumberFormat="1" applyFont="1" applyFill="1" applyBorder="1" applyAlignment="1">
      <alignment horizontal="right" vertical="center"/>
    </xf>
    <xf numFmtId="3" fontId="7" fillId="2" borderId="45" xfId="0" applyNumberFormat="1" applyFont="1" applyFill="1" applyBorder="1" applyAlignment="1">
      <alignment horizontal="right"/>
    </xf>
    <xf numFmtId="3" fontId="7" fillId="2" borderId="46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vertical="center"/>
    </xf>
    <xf numFmtId="3" fontId="27" fillId="0" borderId="64" xfId="0" applyNumberFormat="1" applyFont="1" applyFill="1" applyBorder="1" applyAlignment="1">
      <alignment horizontal="right" vertical="center"/>
    </xf>
    <xf numFmtId="3" fontId="7" fillId="2" borderId="45" xfId="0" applyNumberFormat="1" applyFont="1" applyFill="1" applyBorder="1" applyAlignment="1">
      <alignment horizontal="right" vertical="center"/>
    </xf>
    <xf numFmtId="3" fontId="7" fillId="2" borderId="31" xfId="0" applyNumberFormat="1" applyFont="1" applyFill="1" applyBorder="1" applyAlignment="1">
      <alignment horizontal="right"/>
    </xf>
    <xf numFmtId="3" fontId="7" fillId="2" borderId="31" xfId="0" applyNumberFormat="1" applyFont="1" applyFill="1" applyBorder="1" applyAlignment="1">
      <alignment/>
    </xf>
    <xf numFmtId="0" fontId="27" fillId="0" borderId="21" xfId="0" applyFont="1" applyBorder="1" applyAlignment="1">
      <alignment horizontal="left"/>
    </xf>
    <xf numFmtId="3" fontId="7" fillId="0" borderId="26" xfId="0" applyNumberFormat="1" applyFont="1" applyBorder="1" applyAlignment="1">
      <alignment horizontal="right"/>
    </xf>
    <xf numFmtId="3" fontId="7" fillId="0" borderId="25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center"/>
    </xf>
    <xf numFmtId="3" fontId="7" fillId="0" borderId="60" xfId="0" applyNumberFormat="1" applyFont="1" applyBorder="1" applyAlignment="1">
      <alignment horizontal="center"/>
    </xf>
    <xf numFmtId="3" fontId="27" fillId="0" borderId="21" xfId="0" applyNumberFormat="1" applyFont="1" applyBorder="1" applyAlignment="1">
      <alignment horizontal="right"/>
    </xf>
    <xf numFmtId="0" fontId="7" fillId="0" borderId="25" xfId="0" applyFont="1" applyFill="1" applyBorder="1" applyAlignment="1">
      <alignment horizontal="center"/>
    </xf>
    <xf numFmtId="0" fontId="18" fillId="0" borderId="58" xfId="0" applyFont="1" applyBorder="1" applyAlignment="1">
      <alignment vertical="top" wrapText="1"/>
    </xf>
    <xf numFmtId="49" fontId="15" fillId="0" borderId="12" xfId="0" applyNumberFormat="1" applyFont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7" fillId="0" borderId="21" xfId="0" applyFont="1" applyBorder="1" applyAlignment="1">
      <alignment horizontal="center" vertical="center"/>
    </xf>
    <xf numFmtId="3" fontId="27" fillId="0" borderId="59" xfId="0" applyNumberFormat="1" applyFont="1" applyBorder="1" applyAlignment="1">
      <alignment horizontal="right" vertical="center"/>
    </xf>
    <xf numFmtId="0" fontId="7" fillId="0" borderId="54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14" xfId="0" applyBorder="1" applyAlignment="1">
      <alignment/>
    </xf>
    <xf numFmtId="0" fontId="0" fillId="0" borderId="60" xfId="0" applyBorder="1" applyAlignment="1">
      <alignment/>
    </xf>
    <xf numFmtId="0" fontId="9" fillId="2" borderId="75" xfId="0" applyFont="1" applyFill="1" applyBorder="1" applyAlignment="1">
      <alignment horizontal="center"/>
    </xf>
    <xf numFmtId="0" fontId="9" fillId="2" borderId="62" xfId="0" applyFont="1" applyFill="1" applyBorder="1" applyAlignment="1">
      <alignment horizontal="center"/>
    </xf>
    <xf numFmtId="0" fontId="9" fillId="2" borderId="60" xfId="0" applyFont="1" applyFill="1" applyBorder="1" applyAlignment="1">
      <alignment horizontal="center"/>
    </xf>
    <xf numFmtId="0" fontId="25" fillId="0" borderId="59" xfId="0" applyFont="1" applyFill="1" applyBorder="1" applyAlignment="1">
      <alignment horizontal="center" vertical="center" shrinkToFit="1"/>
    </xf>
    <xf numFmtId="3" fontId="4" fillId="0" borderId="60" xfId="0" applyNumberFormat="1" applyFont="1" applyFill="1" applyBorder="1" applyAlignment="1">
      <alignment horizontal="right"/>
    </xf>
    <xf numFmtId="3" fontId="0" fillId="0" borderId="61" xfId="0" applyNumberFormat="1" applyFont="1" applyFill="1" applyBorder="1" applyAlignment="1">
      <alignment horizontal="right"/>
    </xf>
    <xf numFmtId="3" fontId="0" fillId="0" borderId="62" xfId="0" applyNumberFormat="1" applyFont="1" applyFill="1" applyBorder="1" applyAlignment="1">
      <alignment horizontal="right"/>
    </xf>
    <xf numFmtId="3" fontId="0" fillId="0" borderId="62" xfId="0" applyNumberFormat="1" applyBorder="1" applyAlignment="1">
      <alignment vertical="center"/>
    </xf>
    <xf numFmtId="3" fontId="4" fillId="0" borderId="62" xfId="0" applyNumberFormat="1" applyFont="1" applyFill="1" applyBorder="1" applyAlignment="1">
      <alignment horizontal="right"/>
    </xf>
    <xf numFmtId="3" fontId="0" fillId="0" borderId="60" xfId="0" applyNumberFormat="1" applyFont="1" applyFill="1" applyBorder="1" applyAlignment="1">
      <alignment horizontal="right"/>
    </xf>
    <xf numFmtId="3" fontId="4" fillId="2" borderId="59" xfId="0" applyNumberFormat="1" applyFont="1" applyFill="1" applyBorder="1" applyAlignment="1">
      <alignment/>
    </xf>
    <xf numFmtId="3" fontId="0" fillId="0" borderId="17" xfId="0" applyNumberFormat="1" applyBorder="1" applyAlignment="1">
      <alignment vertical="center"/>
    </xf>
    <xf numFmtId="3" fontId="0" fillId="0" borderId="12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2" borderId="12" xfId="0" applyNumberFormat="1" applyFont="1" applyFill="1" applyBorder="1" applyAlignment="1">
      <alignment/>
    </xf>
    <xf numFmtId="3" fontId="0" fillId="2" borderId="17" xfId="0" applyNumberFormat="1" applyFont="1" applyFill="1" applyBorder="1" applyAlignment="1">
      <alignment/>
    </xf>
    <xf numFmtId="3" fontId="0" fillId="2" borderId="15" xfId="0" applyNumberFormat="1" applyFont="1" applyFill="1" applyBorder="1" applyAlignment="1">
      <alignment/>
    </xf>
    <xf numFmtId="0" fontId="7" fillId="0" borderId="17" xfId="0" applyFont="1" applyBorder="1" applyAlignment="1">
      <alignment horizontal="left" vertical="center"/>
    </xf>
    <xf numFmtId="0" fontId="7" fillId="0" borderId="46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27" fillId="0" borderId="2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8" xfId="0" applyFont="1" applyBorder="1" applyAlignment="1">
      <alignment/>
    </xf>
    <xf numFmtId="3" fontId="7" fillId="0" borderId="43" xfId="0" applyNumberFormat="1" applyFont="1" applyBorder="1" applyAlignment="1">
      <alignment horizontal="right"/>
    </xf>
    <xf numFmtId="0" fontId="7" fillId="2" borderId="31" xfId="0" applyFont="1" applyFill="1" applyBorder="1" applyAlignment="1">
      <alignment/>
    </xf>
    <xf numFmtId="0" fontId="4" fillId="0" borderId="104" xfId="0" applyFont="1" applyBorder="1" applyAlignment="1">
      <alignment horizontal="left" vertical="center"/>
    </xf>
    <xf numFmtId="0" fontId="7" fillId="2" borderId="52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 wrapText="1"/>
    </xf>
    <xf numFmtId="3" fontId="7" fillId="2" borderId="14" xfId="0" applyNumberFormat="1" applyFont="1" applyFill="1" applyBorder="1" applyAlignment="1">
      <alignment horizontal="center" vertical="center" wrapText="1"/>
    </xf>
    <xf numFmtId="3" fontId="4" fillId="2" borderId="64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center" wrapText="1"/>
    </xf>
    <xf numFmtId="3" fontId="7" fillId="2" borderId="65" xfId="0" applyNumberFormat="1" applyFont="1" applyFill="1" applyBorder="1" applyAlignment="1">
      <alignment horizontal="center" vertical="center" wrapText="1"/>
    </xf>
    <xf numFmtId="3" fontId="7" fillId="2" borderId="46" xfId="0" applyNumberFormat="1" applyFont="1" applyFill="1" applyBorder="1" applyAlignment="1">
      <alignment horizontal="center" vertical="center" wrapText="1"/>
    </xf>
    <xf numFmtId="3" fontId="7" fillId="2" borderId="31" xfId="0" applyNumberFormat="1" applyFont="1" applyFill="1" applyBorder="1" applyAlignment="1">
      <alignment horizontal="center" vertical="center" wrapText="1"/>
    </xf>
    <xf numFmtId="0" fontId="27" fillId="0" borderId="105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3" fontId="7" fillId="2" borderId="74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06" xfId="0" applyFont="1" applyBorder="1" applyAlignment="1">
      <alignment horizontal="left" vertical="center"/>
    </xf>
    <xf numFmtId="0" fontId="4" fillId="0" borderId="10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18" fillId="2" borderId="44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170" fontId="18" fillId="2" borderId="44" xfId="0" applyNumberFormat="1" applyFont="1" applyFill="1" applyBorder="1" applyAlignment="1">
      <alignment horizontal="center" vertical="center" wrapText="1"/>
    </xf>
    <xf numFmtId="170" fontId="18" fillId="2" borderId="17" xfId="0" applyNumberFormat="1" applyFont="1" applyFill="1" applyBorder="1" applyAlignment="1">
      <alignment horizontal="center" vertical="center" wrapText="1"/>
    </xf>
    <xf numFmtId="170" fontId="18" fillId="2" borderId="6" xfId="0" applyNumberFormat="1" applyFont="1" applyFill="1" applyBorder="1" applyAlignment="1">
      <alignment horizontal="center" vertical="center" wrapText="1"/>
    </xf>
    <xf numFmtId="0" fontId="18" fillId="0" borderId="106" xfId="0" applyFont="1" applyBorder="1" applyAlignment="1">
      <alignment horizontal="center" vertical="center" wrapText="1"/>
    </xf>
    <xf numFmtId="0" fontId="18" fillId="0" borderId="10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58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3" fontId="0" fillId="2" borderId="44" xfId="0" applyNumberFormat="1" applyFont="1" applyFill="1" applyBorder="1" applyAlignment="1">
      <alignment horizontal="center" vertical="center" wrapText="1"/>
    </xf>
    <xf numFmtId="3" fontId="0" fillId="2" borderId="17" xfId="0" applyNumberFormat="1" applyFont="1" applyFill="1" applyBorder="1" applyAlignment="1">
      <alignment horizontal="center" vertical="center" wrapText="1"/>
    </xf>
    <xf numFmtId="3" fontId="0" fillId="2" borderId="15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2" borderId="65" xfId="0" applyFont="1" applyFill="1" applyBorder="1" applyAlignment="1">
      <alignment horizontal="center" vertical="top" wrapText="1"/>
    </xf>
    <xf numFmtId="0" fontId="0" fillId="2" borderId="46" xfId="0" applyFont="1" applyFill="1" applyBorder="1" applyAlignment="1">
      <alignment horizontal="center" vertical="top" wrapText="1"/>
    </xf>
    <xf numFmtId="0" fontId="0" fillId="2" borderId="31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0" fillId="2" borderId="44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/>
    </xf>
    <xf numFmtId="0" fontId="11" fillId="0" borderId="9" xfId="18" applyFont="1" applyBorder="1" applyAlignment="1">
      <alignment horizontal="center"/>
      <protection/>
    </xf>
    <xf numFmtId="0" fontId="11" fillId="0" borderId="10" xfId="18" applyFont="1" applyBorder="1" applyAlignment="1">
      <alignment horizontal="center"/>
      <protection/>
    </xf>
    <xf numFmtId="0" fontId="23" fillId="0" borderId="0" xfId="18" applyFont="1" applyAlignment="1">
      <alignment horizontal="left"/>
      <protection/>
    </xf>
    <xf numFmtId="0" fontId="12" fillId="0" borderId="108" xfId="18" applyFont="1" applyBorder="1" applyAlignment="1">
      <alignment horizontal="center" vertical="center"/>
      <protection/>
    </xf>
    <xf numFmtId="0" fontId="12" fillId="0" borderId="36" xfId="18" applyFont="1" applyBorder="1" applyAlignment="1">
      <alignment horizontal="center" vertical="center"/>
      <protection/>
    </xf>
    <xf numFmtId="0" fontId="12" fillId="0" borderId="102" xfId="18" applyFont="1" applyBorder="1" applyAlignment="1">
      <alignment horizontal="center" vertical="center"/>
      <protection/>
    </xf>
    <xf numFmtId="0" fontId="12" fillId="0" borderId="32" xfId="18" applyFont="1" applyBorder="1" applyAlignment="1">
      <alignment horizontal="center" vertical="center"/>
      <protection/>
    </xf>
    <xf numFmtId="0" fontId="12" fillId="0" borderId="87" xfId="18" applyFont="1" applyBorder="1" applyAlignment="1">
      <alignment horizontal="left" vertical="top" wrapText="1"/>
      <protection/>
    </xf>
    <xf numFmtId="0" fontId="12" fillId="0" borderId="109" xfId="18" applyFont="1" applyBorder="1" applyAlignment="1">
      <alignment horizontal="left" vertical="top" wrapText="1"/>
      <protection/>
    </xf>
    <xf numFmtId="0" fontId="12" fillId="0" borderId="110" xfId="18" applyFont="1" applyBorder="1" applyAlignment="1">
      <alignment horizontal="left" vertical="top" wrapText="1"/>
      <protection/>
    </xf>
    <xf numFmtId="0" fontId="12" fillId="0" borderId="87" xfId="18" applyFont="1" applyBorder="1" applyAlignment="1">
      <alignment horizontal="left"/>
      <protection/>
    </xf>
    <xf numFmtId="0" fontId="12" fillId="0" borderId="109" xfId="18" applyFont="1" applyBorder="1" applyAlignment="1">
      <alignment horizontal="left"/>
      <protection/>
    </xf>
    <xf numFmtId="0" fontId="12" fillId="0" borderId="110" xfId="18" applyFont="1" applyBorder="1" applyAlignment="1">
      <alignment horizontal="left"/>
      <protection/>
    </xf>
    <xf numFmtId="0" fontId="12" fillId="0" borderId="22" xfId="18" applyFont="1" applyBorder="1" applyAlignment="1">
      <alignment horizontal="center" vertical="center"/>
      <protection/>
    </xf>
    <xf numFmtId="0" fontId="12" fillId="0" borderId="24" xfId="18" applyFont="1" applyBorder="1" applyAlignment="1">
      <alignment horizontal="center" vertical="center"/>
      <protection/>
    </xf>
    <xf numFmtId="0" fontId="12" fillId="0" borderId="8" xfId="18" applyFont="1" applyBorder="1" applyAlignment="1">
      <alignment horizontal="center" vertical="center"/>
      <protection/>
    </xf>
    <xf numFmtId="0" fontId="11" fillId="2" borderId="22" xfId="18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1" fillId="2" borderId="44" xfId="18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44" xfId="18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" fillId="0" borderId="41" xfId="18" applyFont="1" applyBorder="1" applyAlignment="1">
      <alignment horizontal="left" vertical="center"/>
      <protection/>
    </xf>
    <xf numFmtId="0" fontId="0" fillId="0" borderId="11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1" fillId="2" borderId="1" xfId="18" applyFont="1" applyFill="1" applyBorder="1" applyAlignment="1">
      <alignment horizontal="center" vertical="center"/>
      <protection/>
    </xf>
    <xf numFmtId="0" fontId="11" fillId="2" borderId="42" xfId="18" applyFont="1" applyFill="1" applyBorder="1" applyAlignment="1">
      <alignment horizontal="center" vertical="center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2" borderId="12" xfId="18" applyFont="1" applyFill="1" applyBorder="1" applyAlignment="1">
      <alignment horizontal="center" vertical="center"/>
      <protection/>
    </xf>
    <xf numFmtId="0" fontId="31" fillId="0" borderId="0" xfId="18" applyFont="1" applyAlignment="1">
      <alignment horizontal="center"/>
      <protection/>
    </xf>
    <xf numFmtId="0" fontId="11" fillId="0" borderId="112" xfId="18" applyFont="1" applyBorder="1" applyAlignment="1">
      <alignment horizontal="center"/>
      <protection/>
    </xf>
    <xf numFmtId="0" fontId="11" fillId="0" borderId="48" xfId="18" applyFont="1" applyBorder="1" applyAlignment="1">
      <alignment horizontal="center"/>
      <protection/>
    </xf>
    <xf numFmtId="0" fontId="11" fillId="0" borderId="20" xfId="18" applyFont="1" applyBorder="1" applyAlignment="1">
      <alignment horizontal="center"/>
      <protection/>
    </xf>
    <xf numFmtId="0" fontId="12" fillId="0" borderId="103" xfId="18" applyFont="1" applyBorder="1" applyAlignment="1">
      <alignment horizontal="left"/>
      <protection/>
    </xf>
    <xf numFmtId="0" fontId="12" fillId="0" borderId="16" xfId="18" applyFont="1" applyBorder="1" applyAlignment="1">
      <alignment horizontal="left"/>
      <protection/>
    </xf>
    <xf numFmtId="0" fontId="12" fillId="0" borderId="63" xfId="18" applyFont="1" applyBorder="1" applyAlignment="1">
      <alignment horizontal="left"/>
      <protection/>
    </xf>
    <xf numFmtId="0" fontId="11" fillId="2" borderId="42" xfId="18" applyFont="1" applyFill="1" applyBorder="1" applyAlignment="1">
      <alignment horizontal="center" vertical="center" wrapText="1"/>
      <protection/>
    </xf>
    <xf numFmtId="0" fontId="11" fillId="2" borderId="45" xfId="18" applyFont="1" applyFill="1" applyBorder="1" applyAlignment="1">
      <alignment horizontal="center" vertical="center"/>
      <protection/>
    </xf>
    <xf numFmtId="3" fontId="12" fillId="0" borderId="41" xfId="18" applyNumberFormat="1" applyFont="1" applyBorder="1" applyAlignment="1">
      <alignment horizontal="left" vertical="center"/>
      <protection/>
    </xf>
    <xf numFmtId="3" fontId="12" fillId="0" borderId="111" xfId="18" applyNumberFormat="1" applyFont="1" applyBorder="1" applyAlignment="1">
      <alignment horizontal="left" vertical="center"/>
      <protection/>
    </xf>
    <xf numFmtId="3" fontId="12" fillId="0" borderId="27" xfId="18" applyNumberFormat="1" applyFont="1" applyBorder="1" applyAlignment="1">
      <alignment horizontal="left" vertical="center"/>
      <protection/>
    </xf>
    <xf numFmtId="3" fontId="12" fillId="0" borderId="26" xfId="18" applyNumberFormat="1" applyFont="1" applyBorder="1" applyAlignment="1">
      <alignment horizontal="left" vertical="center"/>
      <protection/>
    </xf>
    <xf numFmtId="3" fontId="12" fillId="0" borderId="49" xfId="18" applyNumberFormat="1" applyFont="1" applyBorder="1" applyAlignment="1">
      <alignment horizontal="left" vertical="center"/>
      <protection/>
    </xf>
    <xf numFmtId="3" fontId="12" fillId="0" borderId="23" xfId="18" applyNumberFormat="1" applyFont="1" applyBorder="1" applyAlignment="1">
      <alignment horizontal="left" vertical="center"/>
      <protection/>
    </xf>
    <xf numFmtId="0" fontId="12" fillId="0" borderId="87" xfId="18" applyFont="1" applyBorder="1" applyAlignment="1">
      <alignment horizontal="left" vertical="center" wrapText="1"/>
      <protection/>
    </xf>
    <xf numFmtId="0" fontId="0" fillId="0" borderId="109" xfId="0" applyBorder="1" applyAlignment="1">
      <alignment horizontal="left" vertical="center" wrapText="1"/>
    </xf>
    <xf numFmtId="0" fontId="0" fillId="0" borderId="110" xfId="0" applyBorder="1" applyAlignment="1">
      <alignment horizontal="left" vertical="center" wrapText="1"/>
    </xf>
    <xf numFmtId="0" fontId="12" fillId="0" borderId="87" xfId="18" applyFont="1" applyBorder="1" applyAlignment="1">
      <alignment horizontal="left" vertical="center"/>
      <protection/>
    </xf>
    <xf numFmtId="0" fontId="0" fillId="0" borderId="109" xfId="0" applyBorder="1" applyAlignment="1">
      <alignment horizontal="left" vertical="center"/>
    </xf>
    <xf numFmtId="0" fontId="0" fillId="0" borderId="110" xfId="0" applyBorder="1" applyAlignment="1">
      <alignment horizontal="left" vertical="center"/>
    </xf>
    <xf numFmtId="0" fontId="12" fillId="0" borderId="76" xfId="18" applyFont="1" applyBorder="1" applyAlignment="1">
      <alignment horizontal="left" vertical="center" wrapText="1"/>
      <protection/>
    </xf>
    <xf numFmtId="0" fontId="0" fillId="0" borderId="77" xfId="0" applyBorder="1" applyAlignment="1">
      <alignment horizontal="left" vertical="center" wrapText="1"/>
    </xf>
    <xf numFmtId="0" fontId="0" fillId="0" borderId="78" xfId="0" applyBorder="1" applyAlignment="1">
      <alignment horizontal="left" vertical="center" wrapText="1"/>
    </xf>
    <xf numFmtId="0" fontId="12" fillId="0" borderId="111" xfId="18" applyFont="1" applyBorder="1" applyAlignment="1">
      <alignment horizontal="left" vertical="center"/>
      <protection/>
    </xf>
    <xf numFmtId="0" fontId="12" fillId="0" borderId="27" xfId="18" applyFont="1" applyBorder="1" applyAlignment="1">
      <alignment horizontal="left" vertical="center"/>
      <protection/>
    </xf>
    <xf numFmtId="0" fontId="12" fillId="0" borderId="26" xfId="18" applyFont="1" applyBorder="1" applyAlignment="1">
      <alignment horizontal="left" vertical="center"/>
      <protection/>
    </xf>
    <xf numFmtId="0" fontId="12" fillId="0" borderId="49" xfId="18" applyFont="1" applyBorder="1" applyAlignment="1">
      <alignment horizontal="left" vertical="center"/>
      <protection/>
    </xf>
    <xf numFmtId="0" fontId="12" fillId="0" borderId="23" xfId="18" applyFont="1" applyBorder="1" applyAlignment="1">
      <alignment horizontal="left" vertical="center"/>
      <protection/>
    </xf>
    <xf numFmtId="3" fontId="12" fillId="0" borderId="27" xfId="18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3" fontId="12" fillId="0" borderId="76" xfId="18" applyNumberFormat="1" applyFont="1" applyBorder="1" applyAlignment="1">
      <alignment horizontal="left" vertical="center" wrapText="1"/>
      <protection/>
    </xf>
    <xf numFmtId="0" fontId="0" fillId="0" borderId="8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2" fillId="0" borderId="18" xfId="18" applyFont="1" applyBorder="1" applyAlignment="1">
      <alignment horizontal="left" vertical="center"/>
      <protection/>
    </xf>
    <xf numFmtId="0" fontId="12" fillId="0" borderId="25" xfId="18" applyFont="1" applyBorder="1" applyAlignment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4" fillId="2" borderId="4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9" fillId="2" borderId="4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2" borderId="104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0" borderId="105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9" xfId="0" applyBorder="1" applyAlignment="1">
      <alignment/>
    </xf>
    <xf numFmtId="0" fontId="7" fillId="0" borderId="5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10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2" borderId="103" xfId="0" applyFont="1" applyFill="1" applyBorder="1" applyAlignment="1">
      <alignment horizontal="center"/>
    </xf>
    <xf numFmtId="0" fontId="4" fillId="2" borderId="105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113" xfId="0" applyFont="1" applyFill="1" applyBorder="1" applyAlignment="1">
      <alignment horizontal="center" vertical="center" wrapText="1"/>
    </xf>
    <xf numFmtId="0" fontId="4" fillId="2" borderId="99" xfId="0" applyFont="1" applyFill="1" applyBorder="1" applyAlignment="1">
      <alignment horizontal="center" vertical="center" wrapText="1"/>
    </xf>
    <xf numFmtId="0" fontId="4" fillId="2" borderId="113" xfId="0" applyFont="1" applyFill="1" applyBorder="1" applyAlignment="1">
      <alignment horizontal="center" vertical="center"/>
    </xf>
    <xf numFmtId="0" fontId="4" fillId="2" borderId="99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0"/>
  <sheetViews>
    <sheetView zoomScaleSheetLayoutView="100" workbookViewId="0" topLeftCell="A247">
      <selection activeCell="H267" sqref="H267"/>
    </sheetView>
  </sheetViews>
  <sheetFormatPr defaultColWidth="9.00390625" defaultRowHeight="12.75"/>
  <cols>
    <col min="1" max="1" width="4.00390625" style="236" bestFit="1" customWidth="1"/>
    <col min="2" max="2" width="6.125" style="218" bestFit="1" customWidth="1"/>
    <col min="3" max="3" width="6.00390625" style="297" bestFit="1" customWidth="1"/>
    <col min="4" max="4" width="47.125" style="218" customWidth="1"/>
    <col min="5" max="5" width="9.75390625" style="218" hidden="1" customWidth="1"/>
    <col min="6" max="6" width="9.75390625" style="218" customWidth="1"/>
    <col min="7" max="7" width="9.875" style="752" customWidth="1"/>
    <col min="8" max="8" width="11.00390625" style="752" customWidth="1"/>
    <col min="9" max="9" width="12.00390625" style="218" customWidth="1"/>
    <col min="10" max="16384" width="9.125" style="218" customWidth="1"/>
  </cols>
  <sheetData>
    <row r="1" spans="1:7" ht="12.75">
      <c r="A1" s="90"/>
      <c r="B1" s="216"/>
      <c r="C1" s="217"/>
      <c r="D1" s="216"/>
      <c r="E1" s="90"/>
      <c r="F1" s="90" t="s">
        <v>67</v>
      </c>
      <c r="G1" s="247"/>
    </row>
    <row r="2" spans="1:7" ht="12.75">
      <c r="A2" s="90"/>
      <c r="B2" s="216"/>
      <c r="C2" s="217"/>
      <c r="D2" s="216"/>
      <c r="E2" s="90"/>
      <c r="F2" s="90" t="s">
        <v>254</v>
      </c>
      <c r="G2" s="247"/>
    </row>
    <row r="3" spans="1:7" ht="12.75">
      <c r="A3" s="90"/>
      <c r="B3" s="216"/>
      <c r="C3" s="217"/>
      <c r="D3" s="216"/>
      <c r="E3" s="90"/>
      <c r="F3" s="90" t="s">
        <v>216</v>
      </c>
      <c r="G3" s="247"/>
    </row>
    <row r="4" spans="1:7" ht="12.75">
      <c r="A4" s="90"/>
      <c r="B4" s="216"/>
      <c r="C4" s="217"/>
      <c r="D4" s="216"/>
      <c r="E4" s="90"/>
      <c r="F4" s="90" t="s">
        <v>689</v>
      </c>
      <c r="G4" s="247"/>
    </row>
    <row r="5" spans="1:4" ht="18" customHeight="1">
      <c r="A5" s="90"/>
      <c r="B5" s="216"/>
      <c r="C5" s="217"/>
      <c r="D5" s="216"/>
    </row>
    <row r="6" spans="1:8" ht="17.25" customHeight="1">
      <c r="A6" s="897" t="s">
        <v>359</v>
      </c>
      <c r="B6" s="897"/>
      <c r="C6" s="897"/>
      <c r="D6" s="897"/>
      <c r="E6" s="897"/>
      <c r="F6" s="897"/>
      <c r="G6" s="897"/>
      <c r="H6" s="897"/>
    </row>
    <row r="7" spans="1:8" ht="13.5" thickBot="1">
      <c r="A7" s="898" t="s">
        <v>255</v>
      </c>
      <c r="B7" s="898"/>
      <c r="C7" s="898"/>
      <c r="D7" s="898"/>
      <c r="E7" s="898"/>
      <c r="F7" s="898"/>
      <c r="G7" s="898"/>
      <c r="H7" s="898"/>
    </row>
    <row r="8" spans="1:8" ht="14.25" customHeight="1">
      <c r="A8" s="889" t="s">
        <v>70</v>
      </c>
      <c r="B8" s="892" t="s">
        <v>623</v>
      </c>
      <c r="C8" s="892" t="s">
        <v>588</v>
      </c>
      <c r="D8" s="892" t="s">
        <v>71</v>
      </c>
      <c r="E8" s="885" t="s">
        <v>256</v>
      </c>
      <c r="F8" s="905" t="s">
        <v>640</v>
      </c>
      <c r="G8" s="908" t="s">
        <v>693</v>
      </c>
      <c r="H8" s="899" t="s">
        <v>694</v>
      </c>
    </row>
    <row r="9" spans="1:8" s="219" customFormat="1" ht="12.75" customHeight="1">
      <c r="A9" s="890"/>
      <c r="B9" s="893"/>
      <c r="C9" s="893"/>
      <c r="D9" s="893"/>
      <c r="E9" s="886"/>
      <c r="F9" s="906"/>
      <c r="G9" s="894"/>
      <c r="H9" s="900"/>
    </row>
    <row r="10" spans="1:8" s="219" customFormat="1" ht="12.75" customHeight="1" thickBot="1">
      <c r="A10" s="891"/>
      <c r="B10" s="888"/>
      <c r="C10" s="888"/>
      <c r="D10" s="888"/>
      <c r="E10" s="887"/>
      <c r="F10" s="907"/>
      <c r="G10" s="895"/>
      <c r="H10" s="901"/>
    </row>
    <row r="11" spans="1:8" ht="9" customHeight="1" thickBot="1">
      <c r="A11" s="220">
        <v>1</v>
      </c>
      <c r="B11" s="221">
        <v>2</v>
      </c>
      <c r="C11" s="221">
        <v>3</v>
      </c>
      <c r="D11" s="221">
        <v>4</v>
      </c>
      <c r="E11" s="222">
        <v>5</v>
      </c>
      <c r="F11" s="222">
        <v>6</v>
      </c>
      <c r="G11" s="771">
        <v>7</v>
      </c>
      <c r="H11" s="753">
        <v>8</v>
      </c>
    </row>
    <row r="12" spans="1:9" s="229" customFormat="1" ht="24" customHeight="1" thickBot="1">
      <c r="A12" s="223" t="s">
        <v>53</v>
      </c>
      <c r="B12" s="224"/>
      <c r="C12" s="224"/>
      <c r="D12" s="225" t="s">
        <v>54</v>
      </c>
      <c r="E12" s="226">
        <f>E13+E17</f>
        <v>60646</v>
      </c>
      <c r="F12" s="227">
        <f>F13+F17</f>
        <v>74387</v>
      </c>
      <c r="G12" s="227">
        <f>G13+G17</f>
        <v>0</v>
      </c>
      <c r="H12" s="227">
        <f>H13+H17</f>
        <v>74387</v>
      </c>
      <c r="I12" s="228"/>
    </row>
    <row r="13" spans="1:9" ht="13.5" thickBot="1">
      <c r="A13" s="230"/>
      <c r="B13" s="231" t="s">
        <v>56</v>
      </c>
      <c r="C13" s="232"/>
      <c r="D13" s="233" t="s">
        <v>55</v>
      </c>
      <c r="E13" s="234">
        <f>E14</f>
        <v>44000</v>
      </c>
      <c r="F13" s="235">
        <f>F14</f>
        <v>25000</v>
      </c>
      <c r="G13" s="235"/>
      <c r="H13" s="235">
        <f>H14</f>
        <v>25000</v>
      </c>
      <c r="I13" s="236"/>
    </row>
    <row r="14" spans="1:9" ht="13.5" customHeight="1">
      <c r="A14" s="230"/>
      <c r="B14" s="237"/>
      <c r="C14" s="238" t="s">
        <v>257</v>
      </c>
      <c r="D14" s="119" t="s">
        <v>258</v>
      </c>
      <c r="E14" s="239">
        <v>44000</v>
      </c>
      <c r="F14" s="240">
        <v>25000</v>
      </c>
      <c r="G14" s="247"/>
      <c r="H14" s="240">
        <f>F14+G14</f>
        <v>25000</v>
      </c>
      <c r="I14" s="236"/>
    </row>
    <row r="15" spans="1:9" ht="13.5" customHeight="1">
      <c r="A15" s="230"/>
      <c r="B15" s="237"/>
      <c r="C15" s="238"/>
      <c r="D15" s="241" t="s">
        <v>259</v>
      </c>
      <c r="E15" s="239"/>
      <c r="F15" s="240"/>
      <c r="G15" s="247"/>
      <c r="H15" s="240"/>
      <c r="I15" s="236"/>
    </row>
    <row r="16" spans="1:9" ht="12" customHeight="1">
      <c r="A16" s="230"/>
      <c r="B16" s="237"/>
      <c r="C16" s="238"/>
      <c r="D16" s="242"/>
      <c r="E16" s="239"/>
      <c r="F16" s="240"/>
      <c r="G16" s="247"/>
      <c r="H16" s="240"/>
      <c r="I16" s="236"/>
    </row>
    <row r="17" spans="1:9" ht="13.5" customHeight="1" thickBot="1">
      <c r="A17" s="230"/>
      <c r="B17" s="243" t="s">
        <v>57</v>
      </c>
      <c r="C17" s="244"/>
      <c r="D17" s="245" t="s">
        <v>58</v>
      </c>
      <c r="E17" s="246">
        <f>E18</f>
        <v>16646</v>
      </c>
      <c r="F17" s="240">
        <f>F18</f>
        <v>49387</v>
      </c>
      <c r="G17" s="264">
        <f>G18</f>
        <v>0</v>
      </c>
      <c r="H17" s="264">
        <f>H18</f>
        <v>49387</v>
      </c>
      <c r="I17" s="236"/>
    </row>
    <row r="18" spans="1:9" ht="13.5" customHeight="1">
      <c r="A18" s="230"/>
      <c r="B18" s="237"/>
      <c r="C18" s="238" t="s">
        <v>260</v>
      </c>
      <c r="D18" s="119" t="s">
        <v>261</v>
      </c>
      <c r="E18" s="247">
        <v>16646</v>
      </c>
      <c r="F18" s="248">
        <v>49387</v>
      </c>
      <c r="G18" s="247"/>
      <c r="H18" s="240">
        <f>F18+G18</f>
        <v>49387</v>
      </c>
      <c r="I18" s="236"/>
    </row>
    <row r="19" spans="1:9" ht="13.5" customHeight="1">
      <c r="A19" s="230"/>
      <c r="B19" s="237"/>
      <c r="C19" s="238"/>
      <c r="D19" s="119" t="s">
        <v>262</v>
      </c>
      <c r="E19" s="247"/>
      <c r="F19" s="240"/>
      <c r="G19" s="247"/>
      <c r="H19" s="240"/>
      <c r="I19" s="236"/>
    </row>
    <row r="20" spans="1:9" ht="12" customHeight="1">
      <c r="A20" s="230"/>
      <c r="B20" s="249"/>
      <c r="C20" s="249"/>
      <c r="D20" s="237"/>
      <c r="E20" s="239"/>
      <c r="F20" s="240"/>
      <c r="G20" s="247"/>
      <c r="H20" s="240"/>
      <c r="I20" s="236"/>
    </row>
    <row r="21" spans="1:9" s="229" customFormat="1" ht="13.5" thickBot="1">
      <c r="A21" s="223" t="s">
        <v>59</v>
      </c>
      <c r="B21" s="224"/>
      <c r="C21" s="224"/>
      <c r="D21" s="118" t="s">
        <v>60</v>
      </c>
      <c r="E21" s="226">
        <f>E22</f>
        <v>188635</v>
      </c>
      <c r="F21" s="250">
        <f>F22</f>
        <v>188635</v>
      </c>
      <c r="G21" s="250">
        <f>G22</f>
        <v>5891</v>
      </c>
      <c r="H21" s="250">
        <f>H22</f>
        <v>194526</v>
      </c>
      <c r="I21" s="228"/>
    </row>
    <row r="22" spans="1:9" ht="13.5" thickBot="1">
      <c r="A22" s="251"/>
      <c r="B22" s="231" t="s">
        <v>61</v>
      </c>
      <c r="C22" s="252"/>
      <c r="D22" s="253" t="s">
        <v>263</v>
      </c>
      <c r="E22" s="234">
        <f>SUM(E23)</f>
        <v>188635</v>
      </c>
      <c r="F22" s="240">
        <f>SUM(F23)</f>
        <v>188635</v>
      </c>
      <c r="G22" s="235">
        <f>SUM(G23)</f>
        <v>5891</v>
      </c>
      <c r="H22" s="235">
        <f>SUM(H23)</f>
        <v>194526</v>
      </c>
      <c r="I22" s="236"/>
    </row>
    <row r="23" spans="1:9" ht="12.75" customHeight="1">
      <c r="A23" s="251"/>
      <c r="B23" s="254"/>
      <c r="C23" s="237">
        <v>2460</v>
      </c>
      <c r="D23" s="255" t="s">
        <v>264</v>
      </c>
      <c r="E23" s="239">
        <v>188635</v>
      </c>
      <c r="F23" s="248">
        <v>188635</v>
      </c>
      <c r="G23" s="247">
        <v>5891</v>
      </c>
      <c r="H23" s="240">
        <f>F23+G23</f>
        <v>194526</v>
      </c>
      <c r="I23" s="236"/>
    </row>
    <row r="24" spans="1:9" ht="12.75" customHeight="1">
      <c r="A24" s="251"/>
      <c r="B24" s="256"/>
      <c r="C24" s="237"/>
      <c r="D24" s="242"/>
      <c r="E24" s="239"/>
      <c r="F24" s="240"/>
      <c r="G24" s="247"/>
      <c r="H24" s="240"/>
      <c r="I24" s="236"/>
    </row>
    <row r="25" spans="1:9" s="229" customFormat="1" ht="13.5" thickBot="1">
      <c r="A25" s="257">
        <v>600</v>
      </c>
      <c r="B25" s="224"/>
      <c r="C25" s="258"/>
      <c r="D25" s="118" t="s">
        <v>64</v>
      </c>
      <c r="E25" s="226" t="e">
        <f>SUM(E26,#REF!,#REF!)</f>
        <v>#REF!</v>
      </c>
      <c r="F25" s="250">
        <f>SUM(F26)</f>
        <v>185841</v>
      </c>
      <c r="G25" s="250">
        <f>SUM(G26)</f>
        <v>364312</v>
      </c>
      <c r="H25" s="250">
        <f>SUM(H26)</f>
        <v>550153</v>
      </c>
      <c r="I25" s="228"/>
    </row>
    <row r="26" spans="1:9" ht="13.5" thickBot="1">
      <c r="A26" s="259"/>
      <c r="B26" s="260">
        <v>60014</v>
      </c>
      <c r="C26" s="261"/>
      <c r="D26" s="253" t="s">
        <v>66</v>
      </c>
      <c r="E26" s="234">
        <f>SUM(E27:E30)</f>
        <v>366127</v>
      </c>
      <c r="F26" s="235">
        <f>SUM(F27:F30)</f>
        <v>185841</v>
      </c>
      <c r="G26" s="235">
        <f>SUM(G27:G30)</f>
        <v>364312</v>
      </c>
      <c r="H26" s="235">
        <f>SUM(H27:H30)</f>
        <v>550153</v>
      </c>
      <c r="I26" s="236"/>
    </row>
    <row r="27" spans="1:9" ht="12.75">
      <c r="A27" s="259"/>
      <c r="B27" s="237"/>
      <c r="C27" s="238" t="s">
        <v>265</v>
      </c>
      <c r="D27" s="119" t="s">
        <v>266</v>
      </c>
      <c r="E27" s="239">
        <v>160000</v>
      </c>
      <c r="F27" s="240">
        <v>150961</v>
      </c>
      <c r="G27" s="247">
        <v>35638</v>
      </c>
      <c r="H27" s="240">
        <f>F27+G27</f>
        <v>186599</v>
      </c>
      <c r="I27" s="236"/>
    </row>
    <row r="28" spans="1:9" ht="12.75" customHeight="1">
      <c r="A28" s="259"/>
      <c r="B28" s="249"/>
      <c r="C28" s="238" t="s">
        <v>260</v>
      </c>
      <c r="D28" s="119" t="s">
        <v>261</v>
      </c>
      <c r="E28" s="239">
        <v>36000</v>
      </c>
      <c r="F28" s="240">
        <v>32880</v>
      </c>
      <c r="G28" s="247">
        <v>1500</v>
      </c>
      <c r="H28" s="240">
        <f>F28+G28</f>
        <v>34380</v>
      </c>
      <c r="I28" s="236"/>
    </row>
    <row r="29" spans="1:9" ht="12.75" customHeight="1">
      <c r="A29" s="259"/>
      <c r="B29" s="249"/>
      <c r="C29" s="238"/>
      <c r="D29" s="119" t="s">
        <v>262</v>
      </c>
      <c r="E29" s="239"/>
      <c r="F29" s="240"/>
      <c r="G29" s="247"/>
      <c r="H29" s="240"/>
      <c r="I29" s="236"/>
    </row>
    <row r="30" spans="1:9" ht="12.75" customHeight="1">
      <c r="A30" s="259"/>
      <c r="B30" s="249"/>
      <c r="C30" s="238" t="s">
        <v>267</v>
      </c>
      <c r="D30" s="90" t="s">
        <v>268</v>
      </c>
      <c r="E30" s="239">
        <v>170127</v>
      </c>
      <c r="F30" s="240">
        <v>2000</v>
      </c>
      <c r="G30" s="247">
        <f>21597+305577</f>
        <v>327174</v>
      </c>
      <c r="H30" s="240">
        <f>F30+G30</f>
        <v>329174</v>
      </c>
      <c r="I30" s="236"/>
    </row>
    <row r="31" spans="1:9" ht="12.75">
      <c r="A31" s="259"/>
      <c r="B31" s="249"/>
      <c r="C31" s="238"/>
      <c r="D31" s="119"/>
      <c r="E31" s="239"/>
      <c r="F31" s="240"/>
      <c r="G31" s="247"/>
      <c r="H31" s="240"/>
      <c r="I31" s="236"/>
    </row>
    <row r="32" spans="1:9" s="229" customFormat="1" ht="13.5" thickBot="1">
      <c r="A32" s="257">
        <v>700</v>
      </c>
      <c r="B32" s="224"/>
      <c r="C32" s="224"/>
      <c r="D32" s="118" t="s">
        <v>109</v>
      </c>
      <c r="E32" s="226">
        <f>E33</f>
        <v>1603613</v>
      </c>
      <c r="F32" s="250">
        <f>F33</f>
        <v>1723989</v>
      </c>
      <c r="G32" s="250">
        <f>G33</f>
        <v>-223457</v>
      </c>
      <c r="H32" s="250">
        <f>H33</f>
        <v>1500532</v>
      </c>
      <c r="I32" s="228"/>
    </row>
    <row r="33" spans="1:9" ht="13.5" thickBot="1">
      <c r="A33" s="259"/>
      <c r="B33" s="260">
        <v>70005</v>
      </c>
      <c r="C33" s="232"/>
      <c r="D33" s="253" t="s">
        <v>110</v>
      </c>
      <c r="E33" s="234">
        <f>SUM(E34:E49)</f>
        <v>1603613</v>
      </c>
      <c r="F33" s="235">
        <f>SUM(F34:F49)</f>
        <v>1723989</v>
      </c>
      <c r="G33" s="235">
        <f>SUM(G34:G49)</f>
        <v>-223457</v>
      </c>
      <c r="H33" s="235">
        <f>SUM(H34:H49)</f>
        <v>1500532</v>
      </c>
      <c r="I33" s="236"/>
    </row>
    <row r="34" spans="1:9" ht="12.75">
      <c r="A34" s="259"/>
      <c r="B34" s="237"/>
      <c r="C34" s="238" t="s">
        <v>272</v>
      </c>
      <c r="D34" s="119" t="s">
        <v>273</v>
      </c>
      <c r="E34" s="239">
        <v>3000</v>
      </c>
      <c r="F34" s="240">
        <v>3000</v>
      </c>
      <c r="G34" s="247"/>
      <c r="H34" s="240">
        <f>F34+G34</f>
        <v>3000</v>
      </c>
      <c r="I34" s="236"/>
    </row>
    <row r="35" spans="1:9" ht="12.75">
      <c r="A35" s="259"/>
      <c r="B35" s="237"/>
      <c r="C35" s="238"/>
      <c r="D35" s="119" t="s">
        <v>274</v>
      </c>
      <c r="E35" s="265"/>
      <c r="F35" s="240"/>
      <c r="G35" s="247"/>
      <c r="H35" s="240"/>
      <c r="I35" s="236"/>
    </row>
    <row r="36" spans="1:9" ht="12.75">
      <c r="A36" s="259"/>
      <c r="B36" s="237"/>
      <c r="C36" s="238" t="s">
        <v>265</v>
      </c>
      <c r="D36" s="119" t="s">
        <v>266</v>
      </c>
      <c r="E36" s="239">
        <v>488</v>
      </c>
      <c r="F36" s="240">
        <v>1500</v>
      </c>
      <c r="G36" s="247"/>
      <c r="H36" s="240">
        <f>F36+G36</f>
        <v>1500</v>
      </c>
      <c r="I36" s="236"/>
    </row>
    <row r="37" spans="1:9" ht="12.75">
      <c r="A37" s="259"/>
      <c r="B37" s="237"/>
      <c r="C37" s="238" t="s">
        <v>260</v>
      </c>
      <c r="D37" s="119" t="s">
        <v>261</v>
      </c>
      <c r="E37" s="239">
        <v>105825</v>
      </c>
      <c r="F37" s="240">
        <v>116686</v>
      </c>
      <c r="G37" s="247">
        <f>450+3000+2860+5000</f>
        <v>11310</v>
      </c>
      <c r="H37" s="240">
        <f>F37+G37</f>
        <v>127996</v>
      </c>
      <c r="I37" s="236"/>
    </row>
    <row r="38" spans="1:9" ht="12.75">
      <c r="A38" s="259"/>
      <c r="B38" s="237"/>
      <c r="C38" s="237"/>
      <c r="D38" s="119" t="s">
        <v>262</v>
      </c>
      <c r="E38" s="239"/>
      <c r="F38" s="240"/>
      <c r="G38" s="247"/>
      <c r="H38" s="240"/>
      <c r="I38" s="236"/>
    </row>
    <row r="39" spans="1:9" ht="12.75">
      <c r="A39" s="259"/>
      <c r="B39" s="237"/>
      <c r="C39" s="238" t="s">
        <v>275</v>
      </c>
      <c r="D39" s="119" t="s">
        <v>276</v>
      </c>
      <c r="E39" s="239">
        <v>1388300</v>
      </c>
      <c r="F39" s="240">
        <v>1408300</v>
      </c>
      <c r="G39" s="247">
        <v>-240300</v>
      </c>
      <c r="H39" s="240">
        <f>F39+G39</f>
        <v>1168000</v>
      </c>
      <c r="I39" s="236"/>
    </row>
    <row r="40" spans="1:9" ht="12.75">
      <c r="A40" s="259"/>
      <c r="B40" s="237"/>
      <c r="C40" s="238" t="s">
        <v>277</v>
      </c>
      <c r="D40" s="119" t="s">
        <v>278</v>
      </c>
      <c r="E40" s="239">
        <v>5000</v>
      </c>
      <c r="F40" s="240">
        <v>5000</v>
      </c>
      <c r="G40" s="247"/>
      <c r="H40" s="240">
        <f>F40+G40</f>
        <v>5000</v>
      </c>
      <c r="I40" s="236"/>
    </row>
    <row r="41" spans="1:9" ht="12.75">
      <c r="A41" s="259"/>
      <c r="B41" s="237"/>
      <c r="C41" s="238" t="s">
        <v>257</v>
      </c>
      <c r="D41" s="119" t="s">
        <v>258</v>
      </c>
      <c r="E41" s="239">
        <v>41000</v>
      </c>
      <c r="F41" s="240">
        <v>72050</v>
      </c>
      <c r="G41" s="247"/>
      <c r="H41" s="240">
        <f>F41+G41</f>
        <v>72050</v>
      </c>
      <c r="I41" s="236"/>
    </row>
    <row r="42" spans="1:9" ht="12.75">
      <c r="A42" s="259"/>
      <c r="B42" s="237"/>
      <c r="C42" s="238"/>
      <c r="D42" s="241" t="s">
        <v>279</v>
      </c>
      <c r="E42" s="239"/>
      <c r="F42" s="240"/>
      <c r="G42" s="247"/>
      <c r="H42" s="240"/>
      <c r="I42" s="236"/>
    </row>
    <row r="43" spans="1:9" ht="12.75">
      <c r="A43" s="259"/>
      <c r="B43" s="237"/>
      <c r="C43" s="238" t="s">
        <v>280</v>
      </c>
      <c r="D43" s="119" t="s">
        <v>281</v>
      </c>
      <c r="E43" s="239">
        <v>59000</v>
      </c>
      <c r="F43" s="240">
        <v>115650</v>
      </c>
      <c r="G43" s="247">
        <v>5533</v>
      </c>
      <c r="H43" s="240">
        <f>F43+G43</f>
        <v>121183</v>
      </c>
      <c r="I43" s="236"/>
    </row>
    <row r="44" spans="1:9" ht="12.75">
      <c r="A44" s="259"/>
      <c r="B44" s="237"/>
      <c r="C44" s="238"/>
      <c r="D44" s="119" t="s">
        <v>282</v>
      </c>
      <c r="E44" s="265"/>
      <c r="F44" s="240"/>
      <c r="G44" s="247"/>
      <c r="H44" s="240"/>
      <c r="I44" s="236"/>
    </row>
    <row r="45" spans="1:9" ht="12.75">
      <c r="A45" s="259"/>
      <c r="B45" s="237"/>
      <c r="C45" s="238" t="s">
        <v>734</v>
      </c>
      <c r="D45" s="119" t="s">
        <v>714</v>
      </c>
      <c r="E45" s="265"/>
      <c r="F45" s="240">
        <v>1418</v>
      </c>
      <c r="G45" s="247"/>
      <c r="H45" s="240">
        <f>F45+G45</f>
        <v>1418</v>
      </c>
      <c r="I45" s="236"/>
    </row>
    <row r="46" spans="1:9" ht="12.75">
      <c r="A46" s="259"/>
      <c r="B46" s="237"/>
      <c r="C46" s="238"/>
      <c r="D46" s="119" t="s">
        <v>715</v>
      </c>
      <c r="E46" s="265"/>
      <c r="F46" s="240"/>
      <c r="G46" s="247"/>
      <c r="H46" s="240"/>
      <c r="I46" s="236"/>
    </row>
    <row r="47" spans="1:9" ht="12.75">
      <c r="A47" s="259"/>
      <c r="B47" s="237"/>
      <c r="C47" s="238" t="s">
        <v>735</v>
      </c>
      <c r="D47" s="119" t="s">
        <v>714</v>
      </c>
      <c r="E47" s="265"/>
      <c r="F47" s="240">
        <v>385</v>
      </c>
      <c r="G47" s="247"/>
      <c r="H47" s="240">
        <f>F47+G47</f>
        <v>385</v>
      </c>
      <c r="I47" s="236"/>
    </row>
    <row r="48" spans="1:9" ht="12.75">
      <c r="A48" s="259"/>
      <c r="B48" s="237"/>
      <c r="C48" s="238"/>
      <c r="D48" s="119" t="s">
        <v>715</v>
      </c>
      <c r="E48" s="265"/>
      <c r="F48" s="240"/>
      <c r="G48" s="247"/>
      <c r="H48" s="240"/>
      <c r="I48" s="236"/>
    </row>
    <row r="49" spans="1:9" ht="12.75">
      <c r="A49" s="259"/>
      <c r="B49" s="237"/>
      <c r="C49" s="238" t="s">
        <v>283</v>
      </c>
      <c r="D49" s="119" t="s">
        <v>284</v>
      </c>
      <c r="E49" s="239">
        <v>1000</v>
      </c>
      <c r="F49" s="240">
        <v>0</v>
      </c>
      <c r="G49" s="247"/>
      <c r="H49" s="240">
        <f>F49+G49</f>
        <v>0</v>
      </c>
      <c r="I49" s="236"/>
    </row>
    <row r="50" spans="1:9" ht="12.75">
      <c r="A50" s="259"/>
      <c r="B50" s="237"/>
      <c r="C50" s="238"/>
      <c r="D50" s="119"/>
      <c r="E50" s="239"/>
      <c r="F50" s="240"/>
      <c r="G50" s="247"/>
      <c r="H50" s="240"/>
      <c r="I50" s="236"/>
    </row>
    <row r="51" spans="1:9" s="229" customFormat="1" ht="13.5" thickBot="1">
      <c r="A51" s="257">
        <v>710</v>
      </c>
      <c r="B51" s="224"/>
      <c r="C51" s="258"/>
      <c r="D51" s="118" t="s">
        <v>114</v>
      </c>
      <c r="E51" s="226">
        <f>E52+E56+E60</f>
        <v>269553</v>
      </c>
      <c r="F51" s="227">
        <f>F52+F56+F60</f>
        <v>291317</v>
      </c>
      <c r="G51" s="227">
        <f>G52+G56+G60</f>
        <v>0</v>
      </c>
      <c r="H51" s="227">
        <f>H52+H56+H60</f>
        <v>291317</v>
      </c>
      <c r="I51" s="228"/>
    </row>
    <row r="52" spans="1:9" ht="13.5" thickBot="1">
      <c r="A52" s="259"/>
      <c r="B52" s="260">
        <v>71013</v>
      </c>
      <c r="C52" s="261"/>
      <c r="D52" s="253" t="s">
        <v>285</v>
      </c>
      <c r="E52" s="234">
        <f>E53</f>
        <v>40000</v>
      </c>
      <c r="F52" s="235">
        <f>F53</f>
        <v>40000</v>
      </c>
      <c r="G52" s="235">
        <f>G53</f>
        <v>0</v>
      </c>
      <c r="H52" s="235">
        <f>H53</f>
        <v>40000</v>
      </c>
      <c r="I52" s="236"/>
    </row>
    <row r="53" spans="1:9" ht="12.75">
      <c r="A53" s="259"/>
      <c r="B53" s="237"/>
      <c r="C53" s="238" t="s">
        <v>257</v>
      </c>
      <c r="D53" s="119" t="s">
        <v>258</v>
      </c>
      <c r="E53" s="239">
        <v>40000</v>
      </c>
      <c r="F53" s="240">
        <v>40000</v>
      </c>
      <c r="G53" s="247"/>
      <c r="H53" s="240">
        <f>F53+G53</f>
        <v>40000</v>
      </c>
      <c r="I53" s="236"/>
    </row>
    <row r="54" spans="1:9" ht="12.75">
      <c r="A54" s="259"/>
      <c r="B54" s="237"/>
      <c r="C54" s="238"/>
      <c r="D54" s="119" t="s">
        <v>286</v>
      </c>
      <c r="E54" s="239"/>
      <c r="F54" s="240"/>
      <c r="G54" s="247"/>
      <c r="H54" s="240"/>
      <c r="I54" s="236"/>
    </row>
    <row r="55" spans="1:9" ht="12.75">
      <c r="A55" s="259"/>
      <c r="B55" s="237"/>
      <c r="C55" s="238"/>
      <c r="D55" s="119"/>
      <c r="E55" s="239"/>
      <c r="F55" s="240"/>
      <c r="G55" s="247"/>
      <c r="H55" s="240"/>
      <c r="I55" s="236"/>
    </row>
    <row r="56" spans="1:9" ht="15" customHeight="1" thickBot="1">
      <c r="A56" s="259"/>
      <c r="B56" s="262">
        <v>71014</v>
      </c>
      <c r="C56" s="244"/>
      <c r="D56" s="245" t="s">
        <v>116</v>
      </c>
      <c r="E56" s="263">
        <f>E57</f>
        <v>22000</v>
      </c>
      <c r="F56" s="240">
        <f>F57</f>
        <v>15000</v>
      </c>
      <c r="G56" s="264">
        <f>G57</f>
        <v>0</v>
      </c>
      <c r="H56" s="264">
        <f>H57</f>
        <v>15000</v>
      </c>
      <c r="I56" s="236"/>
    </row>
    <row r="57" spans="1:9" ht="15" customHeight="1">
      <c r="A57" s="259"/>
      <c r="B57" s="237"/>
      <c r="C57" s="238" t="s">
        <v>257</v>
      </c>
      <c r="D57" s="119" t="s">
        <v>258</v>
      </c>
      <c r="E57" s="239">
        <v>22000</v>
      </c>
      <c r="F57" s="248">
        <v>15000</v>
      </c>
      <c r="G57" s="247"/>
      <c r="H57" s="240">
        <f>F57+G57</f>
        <v>15000</v>
      </c>
      <c r="I57" s="236"/>
    </row>
    <row r="58" spans="1:9" ht="15" customHeight="1">
      <c r="A58" s="259"/>
      <c r="B58" s="237"/>
      <c r="C58" s="238"/>
      <c r="D58" s="119" t="s">
        <v>286</v>
      </c>
      <c r="E58" s="239"/>
      <c r="F58" s="240"/>
      <c r="G58" s="247"/>
      <c r="H58" s="240"/>
      <c r="I58" s="236"/>
    </row>
    <row r="59" spans="1:9" ht="15" customHeight="1">
      <c r="A59" s="259"/>
      <c r="B59" s="237"/>
      <c r="C59" s="238"/>
      <c r="D59" s="119"/>
      <c r="E59" s="239"/>
      <c r="F59" s="240"/>
      <c r="G59" s="247"/>
      <c r="H59" s="240"/>
      <c r="I59" s="236"/>
    </row>
    <row r="60" spans="1:9" ht="15" customHeight="1" thickBot="1">
      <c r="A60" s="259"/>
      <c r="B60" s="262">
        <v>71015</v>
      </c>
      <c r="C60" s="266"/>
      <c r="D60" s="245" t="s">
        <v>117</v>
      </c>
      <c r="E60" s="263">
        <f>SUM(E61:E62)</f>
        <v>207553</v>
      </c>
      <c r="F60" s="264">
        <f>SUM(F61:F62)</f>
        <v>236317</v>
      </c>
      <c r="G60" s="264">
        <f>SUM(G61:G62)</f>
        <v>0</v>
      </c>
      <c r="H60" s="264">
        <f>SUM(H61:H62)</f>
        <v>236317</v>
      </c>
      <c r="I60" s="236"/>
    </row>
    <row r="61" spans="1:9" ht="15" customHeight="1">
      <c r="A61" s="259"/>
      <c r="B61" s="237"/>
      <c r="C61" s="237">
        <v>2110</v>
      </c>
      <c r="D61" s="255" t="s">
        <v>258</v>
      </c>
      <c r="E61" s="239">
        <v>207553</v>
      </c>
      <c r="F61" s="240">
        <v>236317</v>
      </c>
      <c r="G61" s="247"/>
      <c r="H61" s="240">
        <f>F61+G61</f>
        <v>236317</v>
      </c>
      <c r="I61" s="236"/>
    </row>
    <row r="62" spans="1:9" ht="15" customHeight="1">
      <c r="A62" s="259"/>
      <c r="B62" s="237"/>
      <c r="C62" s="237"/>
      <c r="D62" s="241" t="s">
        <v>287</v>
      </c>
      <c r="E62" s="239"/>
      <c r="F62" s="240"/>
      <c r="G62" s="247"/>
      <c r="H62" s="240"/>
      <c r="I62" s="236"/>
    </row>
    <row r="63" spans="1:9" ht="15" customHeight="1">
      <c r="A63" s="259"/>
      <c r="B63" s="237"/>
      <c r="C63" s="238"/>
      <c r="D63" s="119"/>
      <c r="E63" s="239"/>
      <c r="F63" s="240"/>
      <c r="G63" s="247"/>
      <c r="H63" s="240"/>
      <c r="I63" s="236"/>
    </row>
    <row r="64" spans="1:9" s="229" customFormat="1" ht="15" customHeight="1" thickBot="1">
      <c r="A64" s="257">
        <v>750</v>
      </c>
      <c r="B64" s="224"/>
      <c r="C64" s="224"/>
      <c r="D64" s="118" t="s">
        <v>120</v>
      </c>
      <c r="E64" s="226" t="e">
        <f>E65+E69+E80+#REF!</f>
        <v>#REF!</v>
      </c>
      <c r="F64" s="250">
        <f>F65+F69+F80+F84</f>
        <v>1275064</v>
      </c>
      <c r="G64" s="250">
        <f>G65+G69+G80+G84</f>
        <v>74980</v>
      </c>
      <c r="H64" s="250">
        <f>H65+H69+H80+H84</f>
        <v>1350044</v>
      </c>
      <c r="I64" s="228"/>
    </row>
    <row r="65" spans="1:9" ht="15" customHeight="1" thickBot="1">
      <c r="A65" s="259"/>
      <c r="B65" s="260">
        <v>75011</v>
      </c>
      <c r="C65" s="232"/>
      <c r="D65" s="253" t="s">
        <v>121</v>
      </c>
      <c r="E65" s="234">
        <f>E66</f>
        <v>154421</v>
      </c>
      <c r="F65" s="235">
        <f>F66</f>
        <v>154421</v>
      </c>
      <c r="G65" s="235">
        <f>G66</f>
        <v>0</v>
      </c>
      <c r="H65" s="235">
        <f>H66</f>
        <v>154421</v>
      </c>
      <c r="I65" s="236"/>
    </row>
    <row r="66" spans="1:9" ht="15" customHeight="1">
      <c r="A66" s="259"/>
      <c r="B66" s="237"/>
      <c r="C66" s="237">
        <v>2110</v>
      </c>
      <c r="D66" s="119" t="s">
        <v>258</v>
      </c>
      <c r="E66" s="239">
        <v>154421</v>
      </c>
      <c r="F66" s="240">
        <v>154421</v>
      </c>
      <c r="G66" s="247"/>
      <c r="H66" s="240">
        <f>F66+G66</f>
        <v>154421</v>
      </c>
      <c r="I66" s="236"/>
    </row>
    <row r="67" spans="1:9" ht="15" customHeight="1">
      <c r="A67" s="259"/>
      <c r="B67" s="237"/>
      <c r="C67" s="237"/>
      <c r="D67" s="119" t="s">
        <v>286</v>
      </c>
      <c r="E67" s="239"/>
      <c r="F67" s="240"/>
      <c r="G67" s="247"/>
      <c r="H67" s="240"/>
      <c r="I67" s="236"/>
    </row>
    <row r="68" spans="1:9" ht="15" customHeight="1">
      <c r="A68" s="259"/>
      <c r="B68" s="237"/>
      <c r="C68" s="237"/>
      <c r="D68" s="119"/>
      <c r="E68" s="239"/>
      <c r="F68" s="240"/>
      <c r="G68" s="247"/>
      <c r="H68" s="240"/>
      <c r="I68" s="236"/>
    </row>
    <row r="69" spans="1:9" ht="15" customHeight="1" thickBot="1">
      <c r="A69" s="259"/>
      <c r="B69" s="262">
        <v>75020</v>
      </c>
      <c r="C69" s="266"/>
      <c r="D69" s="245" t="s">
        <v>127</v>
      </c>
      <c r="E69" s="263">
        <f>SUM(E70:E78)</f>
        <v>1421381</v>
      </c>
      <c r="F69" s="240">
        <f>SUM(F70:F78)</f>
        <v>1083665</v>
      </c>
      <c r="G69" s="264">
        <f>SUM(G70:G78)</f>
        <v>90588</v>
      </c>
      <c r="H69" s="264">
        <f>SUM(H70:H78)</f>
        <v>1174253</v>
      </c>
      <c r="I69" s="236"/>
    </row>
    <row r="70" spans="1:9" ht="15" customHeight="1">
      <c r="A70" s="259"/>
      <c r="B70" s="237"/>
      <c r="C70" s="238" t="s">
        <v>288</v>
      </c>
      <c r="D70" s="119" t="s">
        <v>289</v>
      </c>
      <c r="E70" s="239">
        <v>1250000</v>
      </c>
      <c r="F70" s="248">
        <v>1000000</v>
      </c>
      <c r="G70" s="247">
        <v>100000</v>
      </c>
      <c r="H70" s="240">
        <f aca="true" t="shared" si="0" ref="H70:H78">F70+G70</f>
        <v>1100000</v>
      </c>
      <c r="I70" s="236"/>
    </row>
    <row r="71" spans="1:9" ht="15" customHeight="1">
      <c r="A71" s="259"/>
      <c r="B71" s="237"/>
      <c r="C71" s="238" t="s">
        <v>265</v>
      </c>
      <c r="D71" s="119" t="s">
        <v>266</v>
      </c>
      <c r="E71" s="239">
        <v>2215</v>
      </c>
      <c r="F71" s="240">
        <v>2215</v>
      </c>
      <c r="G71" s="247">
        <v>-315</v>
      </c>
      <c r="H71" s="240">
        <f t="shared" si="0"/>
        <v>1900</v>
      </c>
      <c r="I71" s="236"/>
    </row>
    <row r="72" spans="1:9" ht="15" customHeight="1">
      <c r="A72" s="259"/>
      <c r="B72" s="237"/>
      <c r="C72" s="238" t="s">
        <v>260</v>
      </c>
      <c r="D72" s="119" t="s">
        <v>261</v>
      </c>
      <c r="E72" s="239"/>
      <c r="F72" s="240">
        <v>6000</v>
      </c>
      <c r="G72" s="247"/>
      <c r="H72" s="240">
        <f t="shared" si="0"/>
        <v>6000</v>
      </c>
      <c r="I72" s="236"/>
    </row>
    <row r="73" spans="1:9" ht="15" customHeight="1">
      <c r="A73" s="259"/>
      <c r="B73" s="237"/>
      <c r="C73" s="238"/>
      <c r="D73" s="119" t="s">
        <v>262</v>
      </c>
      <c r="E73" s="239"/>
      <c r="F73" s="240"/>
      <c r="G73" s="247"/>
      <c r="H73" s="240"/>
      <c r="I73" s="236"/>
    </row>
    <row r="74" spans="1:9" ht="15" customHeight="1">
      <c r="A74" s="259"/>
      <c r="B74" s="237"/>
      <c r="C74" s="238" t="s">
        <v>250</v>
      </c>
      <c r="D74" s="119" t="s">
        <v>245</v>
      </c>
      <c r="E74" s="239">
        <v>15000</v>
      </c>
      <c r="F74" s="240">
        <v>9500</v>
      </c>
      <c r="G74" s="247">
        <v>-3000</v>
      </c>
      <c r="H74" s="240">
        <f t="shared" si="0"/>
        <v>6500</v>
      </c>
      <c r="I74" s="236"/>
    </row>
    <row r="75" spans="1:9" ht="15" customHeight="1">
      <c r="A75" s="259"/>
      <c r="B75" s="237"/>
      <c r="C75" s="238" t="s">
        <v>290</v>
      </c>
      <c r="D75" s="119" t="s">
        <v>291</v>
      </c>
      <c r="E75" s="239">
        <v>4000</v>
      </c>
      <c r="F75" s="240">
        <v>2500</v>
      </c>
      <c r="G75" s="247">
        <v>1703</v>
      </c>
      <c r="H75" s="240">
        <f t="shared" si="0"/>
        <v>4203</v>
      </c>
      <c r="I75" s="236"/>
    </row>
    <row r="76" spans="1:9" ht="15" customHeight="1">
      <c r="A76" s="259"/>
      <c r="B76" s="237"/>
      <c r="C76" s="238" t="s">
        <v>277</v>
      </c>
      <c r="D76" s="119" t="s">
        <v>292</v>
      </c>
      <c r="E76" s="239">
        <v>166</v>
      </c>
      <c r="F76" s="240">
        <v>500</v>
      </c>
      <c r="G76" s="247"/>
      <c r="H76" s="240">
        <f t="shared" si="0"/>
        <v>500</v>
      </c>
      <c r="I76" s="236"/>
    </row>
    <row r="77" spans="1:9" ht="15" customHeight="1">
      <c r="A77" s="259"/>
      <c r="B77" s="237"/>
      <c r="C77" s="238" t="s">
        <v>293</v>
      </c>
      <c r="D77" s="119" t="s">
        <v>738</v>
      </c>
      <c r="E77" s="239"/>
      <c r="F77" s="240">
        <v>950</v>
      </c>
      <c r="G77" s="247"/>
      <c r="H77" s="240">
        <f t="shared" si="0"/>
        <v>950</v>
      </c>
      <c r="I77" s="236"/>
    </row>
    <row r="78" spans="1:9" ht="15" customHeight="1">
      <c r="A78" s="259"/>
      <c r="B78" s="237"/>
      <c r="C78" s="238" t="s">
        <v>267</v>
      </c>
      <c r="D78" s="119" t="s">
        <v>268</v>
      </c>
      <c r="E78" s="239">
        <v>150000</v>
      </c>
      <c r="F78" s="240">
        <v>62000</v>
      </c>
      <c r="G78" s="247">
        <v>-7800</v>
      </c>
      <c r="H78" s="240">
        <f t="shared" si="0"/>
        <v>54200</v>
      </c>
      <c r="I78" s="236"/>
    </row>
    <row r="79" spans="1:9" ht="15" customHeight="1">
      <c r="A79" s="259"/>
      <c r="B79" s="237"/>
      <c r="C79" s="237"/>
      <c r="D79" s="237"/>
      <c r="E79" s="239"/>
      <c r="F79" s="240"/>
      <c r="G79" s="247"/>
      <c r="H79" s="240"/>
      <c r="I79" s="236"/>
    </row>
    <row r="80" spans="1:9" ht="15" customHeight="1" thickBot="1">
      <c r="A80" s="259"/>
      <c r="B80" s="262">
        <v>75045</v>
      </c>
      <c r="C80" s="266"/>
      <c r="D80" s="245" t="s">
        <v>131</v>
      </c>
      <c r="E80" s="263">
        <f>E81</f>
        <v>15999</v>
      </c>
      <c r="F80" s="264">
        <f>F81</f>
        <v>16978</v>
      </c>
      <c r="G80" s="264">
        <f>G81</f>
        <v>0</v>
      </c>
      <c r="H80" s="264">
        <f>H81</f>
        <v>16978</v>
      </c>
      <c r="I80" s="236"/>
    </row>
    <row r="81" spans="1:9" ht="15" customHeight="1">
      <c r="A81" s="259"/>
      <c r="B81" s="237"/>
      <c r="C81" s="237">
        <v>2110</v>
      </c>
      <c r="D81" s="119" t="s">
        <v>258</v>
      </c>
      <c r="E81" s="239">
        <v>15999</v>
      </c>
      <c r="F81" s="240">
        <v>16978</v>
      </c>
      <c r="G81" s="247"/>
      <c r="H81" s="240">
        <f>F81+G81</f>
        <v>16978</v>
      </c>
      <c r="I81" s="236"/>
    </row>
    <row r="82" spans="1:9" ht="15" customHeight="1">
      <c r="A82" s="259"/>
      <c r="B82" s="237"/>
      <c r="C82" s="237"/>
      <c r="D82" s="119" t="s">
        <v>294</v>
      </c>
      <c r="E82" s="239"/>
      <c r="F82" s="240"/>
      <c r="G82" s="247"/>
      <c r="H82" s="240"/>
      <c r="I82" s="236"/>
    </row>
    <row r="83" spans="1:9" ht="15" customHeight="1">
      <c r="A83" s="259"/>
      <c r="B83" s="237"/>
      <c r="C83" s="237"/>
      <c r="D83" s="119"/>
      <c r="E83" s="247"/>
      <c r="F83" s="240"/>
      <c r="G83" s="247"/>
      <c r="H83" s="240"/>
      <c r="I83" s="236"/>
    </row>
    <row r="84" spans="1:9" ht="15" customHeight="1" thickBot="1">
      <c r="A84" s="259"/>
      <c r="B84" s="262">
        <v>75095</v>
      </c>
      <c r="C84" s="266"/>
      <c r="D84" s="245" t="s">
        <v>58</v>
      </c>
      <c r="E84" s="246"/>
      <c r="F84" s="264">
        <f>F85</f>
        <v>20000</v>
      </c>
      <c r="G84" s="264">
        <f>G85</f>
        <v>-15608</v>
      </c>
      <c r="H84" s="264">
        <f>H85</f>
        <v>4392</v>
      </c>
      <c r="I84" s="236"/>
    </row>
    <row r="85" spans="1:9" ht="15" customHeight="1">
      <c r="A85" s="259"/>
      <c r="B85" s="237"/>
      <c r="C85" s="238" t="s">
        <v>267</v>
      </c>
      <c r="D85" s="119" t="s">
        <v>268</v>
      </c>
      <c r="E85" s="247"/>
      <c r="F85" s="240">
        <v>20000</v>
      </c>
      <c r="G85" s="247">
        <v>-15608</v>
      </c>
      <c r="H85" s="240">
        <f>F85+G85</f>
        <v>4392</v>
      </c>
      <c r="I85" s="236"/>
    </row>
    <row r="86" spans="1:9" ht="15" customHeight="1">
      <c r="A86" s="259"/>
      <c r="B86" s="237"/>
      <c r="C86" s="238"/>
      <c r="D86" s="242"/>
      <c r="E86" s="247"/>
      <c r="F86" s="240"/>
      <c r="G86" s="247"/>
      <c r="H86" s="240"/>
      <c r="I86" s="236"/>
    </row>
    <row r="87" spans="1:9" ht="15" customHeight="1" thickBot="1">
      <c r="A87" s="257">
        <v>752</v>
      </c>
      <c r="B87" s="224"/>
      <c r="C87" s="258"/>
      <c r="D87" s="118" t="s">
        <v>726</v>
      </c>
      <c r="E87" s="267"/>
      <c r="F87" s="250">
        <f aca="true" t="shared" si="1" ref="F87:H88">F88</f>
        <v>1000</v>
      </c>
      <c r="G87" s="250">
        <f t="shared" si="1"/>
        <v>0</v>
      </c>
      <c r="H87" s="250">
        <f t="shared" si="1"/>
        <v>1000</v>
      </c>
      <c r="I87" s="236"/>
    </row>
    <row r="88" spans="1:9" ht="15" customHeight="1">
      <c r="A88" s="259"/>
      <c r="B88" s="772">
        <v>75212</v>
      </c>
      <c r="C88" s="807"/>
      <c r="D88" s="779" t="s">
        <v>727</v>
      </c>
      <c r="E88" s="808"/>
      <c r="F88" s="781">
        <f t="shared" si="1"/>
        <v>1000</v>
      </c>
      <c r="G88" s="781">
        <f t="shared" si="1"/>
        <v>0</v>
      </c>
      <c r="H88" s="781">
        <f t="shared" si="1"/>
        <v>1000</v>
      </c>
      <c r="I88" s="236"/>
    </row>
    <row r="89" spans="1:9" ht="15" customHeight="1">
      <c r="A89" s="259"/>
      <c r="B89" s="237"/>
      <c r="C89" s="238" t="s">
        <v>267</v>
      </c>
      <c r="D89" s="119" t="s">
        <v>728</v>
      </c>
      <c r="E89" s="247"/>
      <c r="F89" s="240">
        <v>1000</v>
      </c>
      <c r="G89" s="247"/>
      <c r="H89" s="240">
        <f>F89+G89</f>
        <v>1000</v>
      </c>
      <c r="I89" s="236"/>
    </row>
    <row r="90" spans="1:9" ht="15" customHeight="1">
      <c r="A90" s="259"/>
      <c r="B90" s="237"/>
      <c r="C90" s="238"/>
      <c r="D90" s="242"/>
      <c r="E90" s="247"/>
      <c r="F90" s="240"/>
      <c r="G90" s="247"/>
      <c r="H90" s="240"/>
      <c r="I90" s="236"/>
    </row>
    <row r="91" spans="1:9" s="229" customFormat="1" ht="15" customHeight="1" thickBot="1">
      <c r="A91" s="257">
        <v>754</v>
      </c>
      <c r="B91" s="224"/>
      <c r="C91" s="258"/>
      <c r="D91" s="118" t="s">
        <v>295</v>
      </c>
      <c r="E91" s="267">
        <f aca="true" t="shared" si="2" ref="E91:H92">E92</f>
        <v>0</v>
      </c>
      <c r="F91" s="227">
        <f t="shared" si="2"/>
        <v>1000</v>
      </c>
      <c r="G91" s="227">
        <f t="shared" si="2"/>
        <v>0</v>
      </c>
      <c r="H91" s="227">
        <f t="shared" si="2"/>
        <v>1000</v>
      </c>
      <c r="I91" s="228"/>
    </row>
    <row r="92" spans="1:9" ht="15" customHeight="1" thickBot="1">
      <c r="A92" s="259"/>
      <c r="B92" s="260">
        <v>75414</v>
      </c>
      <c r="C92" s="231"/>
      <c r="D92" s="253" t="s">
        <v>133</v>
      </c>
      <c r="E92" s="268">
        <f t="shared" si="2"/>
        <v>0</v>
      </c>
      <c r="F92" s="235">
        <f t="shared" si="2"/>
        <v>1000</v>
      </c>
      <c r="G92" s="235">
        <f t="shared" si="2"/>
        <v>0</v>
      </c>
      <c r="H92" s="235">
        <f t="shared" si="2"/>
        <v>1000</v>
      </c>
      <c r="I92" s="236"/>
    </row>
    <row r="93" spans="1:9" ht="15" customHeight="1">
      <c r="A93" s="259"/>
      <c r="B93" s="237"/>
      <c r="C93" s="278" t="s">
        <v>257</v>
      </c>
      <c r="D93" s="119" t="s">
        <v>258</v>
      </c>
      <c r="E93" s="247">
        <v>0</v>
      </c>
      <c r="F93" s="240">
        <v>1000</v>
      </c>
      <c r="G93" s="247"/>
      <c r="H93" s="240">
        <f>F93+G93</f>
        <v>1000</v>
      </c>
      <c r="I93" s="236"/>
    </row>
    <row r="94" spans="1:9" ht="15" customHeight="1">
      <c r="A94" s="259"/>
      <c r="B94" s="237"/>
      <c r="C94" s="278"/>
      <c r="D94" s="119" t="s">
        <v>294</v>
      </c>
      <c r="E94" s="247"/>
      <c r="F94" s="240"/>
      <c r="G94" s="247"/>
      <c r="H94" s="240"/>
      <c r="I94" s="236"/>
    </row>
    <row r="95" spans="1:9" ht="15" customHeight="1">
      <c r="A95" s="259"/>
      <c r="B95" s="237"/>
      <c r="C95" s="278"/>
      <c r="D95" s="119"/>
      <c r="E95" s="239"/>
      <c r="F95" s="240"/>
      <c r="G95" s="247"/>
      <c r="H95" s="240"/>
      <c r="I95" s="236"/>
    </row>
    <row r="96" spans="1:9" ht="15" customHeight="1">
      <c r="A96" s="230">
        <v>756</v>
      </c>
      <c r="B96" s="237"/>
      <c r="C96" s="238"/>
      <c r="D96" s="117" t="s">
        <v>296</v>
      </c>
      <c r="E96" s="239"/>
      <c r="F96" s="240"/>
      <c r="G96" s="247"/>
      <c r="H96" s="240"/>
      <c r="I96" s="236"/>
    </row>
    <row r="97" spans="1:9" s="229" customFormat="1" ht="15" customHeight="1" thickBot="1">
      <c r="A97" s="257"/>
      <c r="B97" s="224"/>
      <c r="C97" s="224"/>
      <c r="D97" s="118" t="s">
        <v>297</v>
      </c>
      <c r="E97" s="226" t="e">
        <f>E98</f>
        <v>#REF!</v>
      </c>
      <c r="F97" s="227">
        <f>F98</f>
        <v>3561796</v>
      </c>
      <c r="G97" s="250">
        <f>G98</f>
        <v>10000</v>
      </c>
      <c r="H97" s="250">
        <f>H98</f>
        <v>3571796</v>
      </c>
      <c r="I97" s="228"/>
    </row>
    <row r="98" spans="1:9" ht="15" customHeight="1">
      <c r="A98" s="259"/>
      <c r="B98" s="237">
        <v>75622</v>
      </c>
      <c r="C98" s="237"/>
      <c r="D98" s="119" t="s">
        <v>298</v>
      </c>
      <c r="E98" s="269" t="e">
        <f>E100+#REF!</f>
        <v>#REF!</v>
      </c>
      <c r="F98" s="248">
        <f>SUM(F100:F101)</f>
        <v>3561796</v>
      </c>
      <c r="G98" s="248">
        <f>SUM(G100:G101)</f>
        <v>10000</v>
      </c>
      <c r="H98" s="248">
        <f>SUM(H100:H101)</f>
        <v>3571796</v>
      </c>
      <c r="I98" s="236"/>
    </row>
    <row r="99" spans="1:9" ht="15" customHeight="1" thickBot="1">
      <c r="A99" s="259"/>
      <c r="B99" s="266"/>
      <c r="C99" s="266"/>
      <c r="D99" s="245" t="s">
        <v>299</v>
      </c>
      <c r="E99" s="270"/>
      <c r="F99" s="271"/>
      <c r="G99" s="246"/>
      <c r="H99" s="264"/>
      <c r="I99" s="236"/>
    </row>
    <row r="100" spans="1:9" ht="15" customHeight="1">
      <c r="A100" s="259"/>
      <c r="B100" s="237"/>
      <c r="C100" s="238" t="s">
        <v>300</v>
      </c>
      <c r="D100" s="119" t="s">
        <v>301</v>
      </c>
      <c r="E100" s="239">
        <v>2855856</v>
      </c>
      <c r="F100" s="240">
        <v>3461796</v>
      </c>
      <c r="G100" s="247"/>
      <c r="H100" s="240">
        <f>F100+G100</f>
        <v>3461796</v>
      </c>
      <c r="I100" s="236"/>
    </row>
    <row r="101" spans="1:9" ht="15" customHeight="1">
      <c r="A101" s="259"/>
      <c r="B101" s="237"/>
      <c r="C101" s="238" t="s">
        <v>739</v>
      </c>
      <c r="D101" s="119" t="s">
        <v>740</v>
      </c>
      <c r="E101" s="239"/>
      <c r="F101" s="240">
        <v>100000</v>
      </c>
      <c r="G101" s="247">
        <v>10000</v>
      </c>
      <c r="H101" s="240">
        <f>F101+G101</f>
        <v>110000</v>
      </c>
      <c r="I101" s="236"/>
    </row>
    <row r="102" spans="1:9" ht="15" customHeight="1">
      <c r="A102" s="259"/>
      <c r="B102" s="237"/>
      <c r="C102" s="238"/>
      <c r="D102" s="119"/>
      <c r="E102" s="239"/>
      <c r="F102" s="240"/>
      <c r="G102" s="247"/>
      <c r="H102" s="240"/>
      <c r="I102" s="236"/>
    </row>
    <row r="103" spans="1:9" s="229" customFormat="1" ht="15" customHeight="1" thickBot="1">
      <c r="A103" s="257">
        <v>758</v>
      </c>
      <c r="B103" s="224"/>
      <c r="C103" s="224"/>
      <c r="D103" s="118" t="s">
        <v>137</v>
      </c>
      <c r="E103" s="226" t="e">
        <f>E104+E111+E114+E117+#REF!</f>
        <v>#REF!</v>
      </c>
      <c r="F103" s="227">
        <f>F104+F111+F114+F117+F107</f>
        <v>19986298</v>
      </c>
      <c r="G103" s="227">
        <f>G104+G111+G114+G117+G107</f>
        <v>836</v>
      </c>
      <c r="H103" s="227">
        <f>H104+H111+H114+H117+H107</f>
        <v>19987134</v>
      </c>
      <c r="I103" s="228"/>
    </row>
    <row r="104" spans="1:9" ht="15" customHeight="1" thickBot="1">
      <c r="A104" s="259"/>
      <c r="B104" s="260">
        <v>75801</v>
      </c>
      <c r="C104" s="232"/>
      <c r="D104" s="253" t="s">
        <v>302</v>
      </c>
      <c r="E104" s="234">
        <f>E105</f>
        <v>10509635</v>
      </c>
      <c r="F104" s="235">
        <f>F105</f>
        <v>11233369</v>
      </c>
      <c r="G104" s="235">
        <f>G105</f>
        <v>0</v>
      </c>
      <c r="H104" s="235">
        <f>H105</f>
        <v>11233369</v>
      </c>
      <c r="I104" s="236"/>
    </row>
    <row r="105" spans="1:9" ht="15" customHeight="1">
      <c r="A105" s="259"/>
      <c r="B105" s="237"/>
      <c r="C105" s="237">
        <v>2920</v>
      </c>
      <c r="D105" s="119" t="s">
        <v>303</v>
      </c>
      <c r="E105" s="239">
        <v>10509635</v>
      </c>
      <c r="F105" s="240">
        <v>11233369</v>
      </c>
      <c r="G105" s="247"/>
      <c r="H105" s="240">
        <f>F105+G105</f>
        <v>11233369</v>
      </c>
      <c r="I105" s="236"/>
    </row>
    <row r="106" spans="1:9" ht="15" customHeight="1">
      <c r="A106" s="259"/>
      <c r="B106" s="237"/>
      <c r="C106" s="237"/>
      <c r="D106" s="119"/>
      <c r="E106" s="239"/>
      <c r="F106" s="240"/>
      <c r="G106" s="247"/>
      <c r="H106" s="240"/>
      <c r="I106" s="236"/>
    </row>
    <row r="107" spans="1:9" ht="15" customHeight="1" thickBot="1">
      <c r="A107" s="259"/>
      <c r="B107" s="262">
        <v>75802</v>
      </c>
      <c r="C107" s="266"/>
      <c r="D107" s="245" t="s">
        <v>773</v>
      </c>
      <c r="E107" s="263"/>
      <c r="F107" s="264">
        <f>F108</f>
        <v>981731</v>
      </c>
      <c r="G107" s="246">
        <f>G108</f>
        <v>0</v>
      </c>
      <c r="H107" s="264">
        <f>H108</f>
        <v>981731</v>
      </c>
      <c r="I107" s="236"/>
    </row>
    <row r="108" spans="1:9" ht="15" customHeight="1">
      <c r="A108" s="259"/>
      <c r="B108" s="237"/>
      <c r="C108" s="237">
        <v>2760</v>
      </c>
      <c r="D108" s="119" t="s">
        <v>774</v>
      </c>
      <c r="E108" s="239"/>
      <c r="F108" s="240">
        <v>981731</v>
      </c>
      <c r="G108" s="247"/>
      <c r="H108" s="240">
        <f>F108+G108</f>
        <v>981731</v>
      </c>
      <c r="I108" s="236"/>
    </row>
    <row r="109" spans="1:9" ht="15" customHeight="1">
      <c r="A109" s="259"/>
      <c r="B109" s="237"/>
      <c r="C109" s="237"/>
      <c r="D109" s="242"/>
      <c r="E109" s="239"/>
      <c r="F109" s="240"/>
      <c r="G109" s="247"/>
      <c r="H109" s="240"/>
      <c r="I109" s="236"/>
    </row>
    <row r="110" spans="1:9" ht="15" customHeight="1">
      <c r="A110" s="259"/>
      <c r="B110" s="237"/>
      <c r="C110" s="237"/>
      <c r="D110" s="242"/>
      <c r="E110" s="239"/>
      <c r="F110" s="240"/>
      <c r="G110" s="247"/>
      <c r="H110" s="240"/>
      <c r="I110" s="236"/>
    </row>
    <row r="111" spans="1:9" ht="15" customHeight="1" thickBot="1">
      <c r="A111" s="259"/>
      <c r="B111" s="262">
        <v>75803</v>
      </c>
      <c r="C111" s="266"/>
      <c r="D111" s="245" t="s">
        <v>304</v>
      </c>
      <c r="E111" s="263">
        <f>E112</f>
        <v>3563513</v>
      </c>
      <c r="F111" s="264">
        <f>F112</f>
        <v>4612480</v>
      </c>
      <c r="G111" s="264">
        <f>G112</f>
        <v>0</v>
      </c>
      <c r="H111" s="264">
        <f>H112</f>
        <v>4612480</v>
      </c>
      <c r="I111" s="236"/>
    </row>
    <row r="112" spans="1:9" ht="15" customHeight="1">
      <c r="A112" s="259"/>
      <c r="B112" s="237"/>
      <c r="C112" s="237">
        <v>2920</v>
      </c>
      <c r="D112" s="119" t="s">
        <v>303</v>
      </c>
      <c r="E112" s="239">
        <v>3563513</v>
      </c>
      <c r="F112" s="240">
        <v>4612480</v>
      </c>
      <c r="G112" s="247"/>
      <c r="H112" s="240">
        <f>F112+G112</f>
        <v>4612480</v>
      </c>
      <c r="I112" s="236"/>
    </row>
    <row r="113" spans="1:9" ht="15" customHeight="1">
      <c r="A113" s="259"/>
      <c r="B113" s="237"/>
      <c r="C113" s="237"/>
      <c r="D113" s="242"/>
      <c r="E113" s="239"/>
      <c r="F113" s="240"/>
      <c r="G113" s="247"/>
      <c r="H113" s="240"/>
      <c r="I113" s="236"/>
    </row>
    <row r="114" spans="1:9" ht="15" customHeight="1" thickBot="1">
      <c r="A114" s="259"/>
      <c r="B114" s="262">
        <v>75814</v>
      </c>
      <c r="C114" s="244"/>
      <c r="D114" s="245" t="s">
        <v>76</v>
      </c>
      <c r="E114" s="263">
        <f>E115</f>
        <v>42324</v>
      </c>
      <c r="F114" s="240">
        <f>F115</f>
        <v>92704</v>
      </c>
      <c r="G114" s="264">
        <f>G115</f>
        <v>836</v>
      </c>
      <c r="H114" s="264">
        <f>H115</f>
        <v>93540</v>
      </c>
      <c r="I114" s="236"/>
    </row>
    <row r="115" spans="1:9" ht="15" customHeight="1">
      <c r="A115" s="259"/>
      <c r="B115" s="237"/>
      <c r="C115" s="238" t="s">
        <v>251</v>
      </c>
      <c r="D115" s="119" t="s">
        <v>100</v>
      </c>
      <c r="E115" s="239">
        <v>42324</v>
      </c>
      <c r="F115" s="248">
        <v>92704</v>
      </c>
      <c r="G115" s="247">
        <f>88+177-50+4-100+637+28+7+45</f>
        <v>836</v>
      </c>
      <c r="H115" s="240">
        <f>F115+G115</f>
        <v>93540</v>
      </c>
      <c r="I115" s="236"/>
    </row>
    <row r="116" spans="1:9" ht="15" customHeight="1">
      <c r="A116" s="259"/>
      <c r="B116" s="237"/>
      <c r="C116" s="238"/>
      <c r="D116" s="242"/>
      <c r="E116" s="239"/>
      <c r="F116" s="240"/>
      <c r="G116" s="247"/>
      <c r="H116" s="240"/>
      <c r="I116" s="236"/>
    </row>
    <row r="117" spans="1:9" ht="15" customHeight="1" thickBot="1">
      <c r="A117" s="259"/>
      <c r="B117" s="262">
        <v>75832</v>
      </c>
      <c r="C117" s="244"/>
      <c r="D117" s="245" t="s">
        <v>305</v>
      </c>
      <c r="E117" s="263">
        <f>E118</f>
        <v>1849238</v>
      </c>
      <c r="F117" s="264">
        <f>F118</f>
        <v>3066014</v>
      </c>
      <c r="G117" s="264">
        <f>G118</f>
        <v>0</v>
      </c>
      <c r="H117" s="264">
        <f>H118</f>
        <v>3066014</v>
      </c>
      <c r="I117" s="236"/>
    </row>
    <row r="118" spans="1:9" ht="15" customHeight="1">
      <c r="A118" s="259"/>
      <c r="B118" s="237"/>
      <c r="C118" s="238" t="s">
        <v>306</v>
      </c>
      <c r="D118" s="255" t="s">
        <v>303</v>
      </c>
      <c r="E118" s="239">
        <v>1849238</v>
      </c>
      <c r="F118" s="240">
        <v>3066014</v>
      </c>
      <c r="G118" s="247"/>
      <c r="H118" s="240">
        <f>F118+G118</f>
        <v>3066014</v>
      </c>
      <c r="I118" s="236"/>
    </row>
    <row r="119" spans="1:9" ht="15" customHeight="1">
      <c r="A119" s="259"/>
      <c r="B119" s="237"/>
      <c r="C119" s="238"/>
      <c r="D119" s="242"/>
      <c r="E119" s="239"/>
      <c r="F119" s="240"/>
      <c r="G119" s="247"/>
      <c r="H119" s="240"/>
      <c r="I119" s="236"/>
    </row>
    <row r="120" spans="1:9" s="229" customFormat="1" ht="15" customHeight="1" thickBot="1">
      <c r="A120" s="257">
        <v>801</v>
      </c>
      <c r="B120" s="273"/>
      <c r="C120" s="273"/>
      <c r="D120" s="274" t="s">
        <v>140</v>
      </c>
      <c r="E120" s="275" t="e">
        <f>E121+#REF!+E146+#REF!+#REF!</f>
        <v>#REF!</v>
      </c>
      <c r="F120" s="276">
        <f>F121+F146+F138+F125+F142</f>
        <v>170457</v>
      </c>
      <c r="G120" s="276">
        <f>G121+G146+G138+G125+G142</f>
        <v>22031</v>
      </c>
      <c r="H120" s="276">
        <f>H121+H146+H138+H125+H142</f>
        <v>192488</v>
      </c>
      <c r="I120" s="228"/>
    </row>
    <row r="121" spans="1:9" ht="15" customHeight="1" thickBot="1">
      <c r="A121" s="230"/>
      <c r="B121" s="262">
        <v>80120</v>
      </c>
      <c r="C121" s="262"/>
      <c r="D121" s="271" t="s">
        <v>145</v>
      </c>
      <c r="E121" s="263">
        <f>SUM(E122:E122)</f>
        <v>1600</v>
      </c>
      <c r="F121" s="264">
        <f>SUM(F122:F123)</f>
        <v>15657</v>
      </c>
      <c r="G121" s="264">
        <f>SUM(G122:G123)</f>
        <v>1007</v>
      </c>
      <c r="H121" s="264">
        <f>SUM(H122:H123)</f>
        <v>16664</v>
      </c>
      <c r="I121" s="236"/>
    </row>
    <row r="122" spans="1:9" ht="15" customHeight="1">
      <c r="A122" s="230"/>
      <c r="B122" s="277"/>
      <c r="C122" s="278" t="s">
        <v>250</v>
      </c>
      <c r="D122" s="241" t="s">
        <v>245</v>
      </c>
      <c r="E122" s="239">
        <v>1600</v>
      </c>
      <c r="F122" s="240">
        <v>1000</v>
      </c>
      <c r="G122" s="247">
        <v>-50</v>
      </c>
      <c r="H122" s="240">
        <f>F122+G122</f>
        <v>950</v>
      </c>
      <c r="I122" s="236"/>
    </row>
    <row r="123" spans="1:9" ht="15" customHeight="1">
      <c r="A123" s="230"/>
      <c r="B123" s="277"/>
      <c r="C123" s="278" t="s">
        <v>267</v>
      </c>
      <c r="D123" s="119" t="s">
        <v>268</v>
      </c>
      <c r="E123" s="239"/>
      <c r="F123" s="240">
        <v>14657</v>
      </c>
      <c r="G123" s="247">
        <v>1057</v>
      </c>
      <c r="H123" s="240">
        <f>F123+G123</f>
        <v>15714</v>
      </c>
      <c r="I123" s="236"/>
    </row>
    <row r="124" spans="1:9" ht="15" customHeight="1">
      <c r="A124" s="230"/>
      <c r="B124" s="277"/>
      <c r="C124" s="256"/>
      <c r="D124" s="279"/>
      <c r="E124" s="239"/>
      <c r="F124" s="240"/>
      <c r="G124" s="247"/>
      <c r="H124" s="240"/>
      <c r="I124" s="236"/>
    </row>
    <row r="125" spans="1:9" ht="15" customHeight="1">
      <c r="A125" s="230"/>
      <c r="B125" s="818">
        <v>80130</v>
      </c>
      <c r="C125" s="819"/>
      <c r="D125" s="820" t="s">
        <v>147</v>
      </c>
      <c r="E125" s="647"/>
      <c r="F125" s="650">
        <f>SUM(F126:F135)</f>
        <v>109553</v>
      </c>
      <c r="G125" s="650">
        <f>SUM(G126:G135)</f>
        <v>619</v>
      </c>
      <c r="H125" s="650">
        <f>SUM(H126:H135)</f>
        <v>110172</v>
      </c>
      <c r="I125" s="236"/>
    </row>
    <row r="126" spans="1:9" ht="15" customHeight="1">
      <c r="A126" s="230"/>
      <c r="B126" s="277"/>
      <c r="C126" s="238" t="s">
        <v>265</v>
      </c>
      <c r="D126" s="119" t="s">
        <v>266</v>
      </c>
      <c r="E126" s="239"/>
      <c r="F126" s="240">
        <v>0</v>
      </c>
      <c r="G126" s="247">
        <v>229</v>
      </c>
      <c r="H126" s="240">
        <f>F126+G126</f>
        <v>229</v>
      </c>
      <c r="I126" s="236"/>
    </row>
    <row r="127" spans="1:9" ht="15" customHeight="1">
      <c r="A127" s="230"/>
      <c r="B127" s="277"/>
      <c r="C127" s="238" t="s">
        <v>260</v>
      </c>
      <c r="D127" s="119" t="s">
        <v>261</v>
      </c>
      <c r="E127" s="239"/>
      <c r="F127" s="240">
        <v>57297</v>
      </c>
      <c r="G127" s="247"/>
      <c r="H127" s="286">
        <f>F127+G127</f>
        <v>57297</v>
      </c>
      <c r="I127" s="236"/>
    </row>
    <row r="128" spans="1:9" ht="15" customHeight="1">
      <c r="A128" s="230"/>
      <c r="B128" s="277"/>
      <c r="C128" s="238"/>
      <c r="D128" s="119" t="s">
        <v>262</v>
      </c>
      <c r="E128" s="239"/>
      <c r="F128" s="240"/>
      <c r="G128" s="247"/>
      <c r="H128" s="286"/>
      <c r="I128" s="236"/>
    </row>
    <row r="129" spans="1:9" ht="15" customHeight="1">
      <c r="A129" s="230"/>
      <c r="B129" s="277"/>
      <c r="C129" s="238" t="s">
        <v>250</v>
      </c>
      <c r="D129" s="798" t="s">
        <v>245</v>
      </c>
      <c r="E129" s="815"/>
      <c r="F129" s="286">
        <v>7644</v>
      </c>
      <c r="G129" s="287"/>
      <c r="H129" s="286">
        <f>F129+G129</f>
        <v>7644</v>
      </c>
      <c r="I129" s="236"/>
    </row>
    <row r="130" spans="1:9" ht="15" customHeight="1">
      <c r="A130" s="230"/>
      <c r="B130" s="277"/>
      <c r="C130" s="238" t="s">
        <v>290</v>
      </c>
      <c r="D130" s="119" t="s">
        <v>291</v>
      </c>
      <c r="E130" s="815"/>
      <c r="F130" s="286">
        <v>482</v>
      </c>
      <c r="G130" s="287"/>
      <c r="H130" s="286">
        <f>F130+G130</f>
        <v>482</v>
      </c>
      <c r="I130" s="236"/>
    </row>
    <row r="131" spans="1:9" ht="15" customHeight="1">
      <c r="A131" s="230"/>
      <c r="B131" s="277"/>
      <c r="C131" s="238" t="s">
        <v>293</v>
      </c>
      <c r="D131" s="119" t="s">
        <v>307</v>
      </c>
      <c r="E131" s="815"/>
      <c r="F131" s="286">
        <v>5000</v>
      </c>
      <c r="G131" s="287"/>
      <c r="H131" s="286">
        <f>F131+G131</f>
        <v>5000</v>
      </c>
      <c r="I131" s="236"/>
    </row>
    <row r="132" spans="1:9" ht="15" customHeight="1">
      <c r="A132" s="230"/>
      <c r="B132" s="277"/>
      <c r="C132" s="238" t="s">
        <v>267</v>
      </c>
      <c r="D132" s="119" t="s">
        <v>268</v>
      </c>
      <c r="E132" s="815"/>
      <c r="F132" s="286">
        <v>5203</v>
      </c>
      <c r="G132" s="287"/>
      <c r="H132" s="286">
        <f>F132+G132</f>
        <v>5203</v>
      </c>
      <c r="I132" s="236"/>
    </row>
    <row r="133" spans="1:9" ht="15" customHeight="1">
      <c r="A133" s="230"/>
      <c r="B133" s="277"/>
      <c r="C133" s="238" t="s">
        <v>736</v>
      </c>
      <c r="D133" s="119" t="s">
        <v>714</v>
      </c>
      <c r="E133" s="815"/>
      <c r="F133" s="286">
        <v>23927</v>
      </c>
      <c r="G133" s="287">
        <v>390</v>
      </c>
      <c r="H133" s="286">
        <f>F133+G133</f>
        <v>24317</v>
      </c>
      <c r="I133" s="236"/>
    </row>
    <row r="134" spans="1:9" ht="15" customHeight="1">
      <c r="A134" s="230"/>
      <c r="B134" s="277"/>
      <c r="C134" s="238"/>
      <c r="D134" s="119" t="s">
        <v>715</v>
      </c>
      <c r="E134" s="815"/>
      <c r="F134" s="286"/>
      <c r="G134" s="287"/>
      <c r="H134" s="286"/>
      <c r="I134" s="236"/>
    </row>
    <row r="135" spans="1:9" ht="15" customHeight="1">
      <c r="A135" s="230"/>
      <c r="B135" s="277"/>
      <c r="C135" s="238" t="s">
        <v>777</v>
      </c>
      <c r="D135" s="119" t="s">
        <v>778</v>
      </c>
      <c r="E135" s="815"/>
      <c r="F135" s="286">
        <v>10000</v>
      </c>
      <c r="G135" s="287"/>
      <c r="H135" s="286">
        <f>F135+G135</f>
        <v>10000</v>
      </c>
      <c r="I135" s="236"/>
    </row>
    <row r="136" spans="1:9" ht="15" customHeight="1">
      <c r="A136" s="230"/>
      <c r="B136" s="277"/>
      <c r="C136" s="238"/>
      <c r="D136" s="119" t="s">
        <v>779</v>
      </c>
      <c r="E136" s="815"/>
      <c r="F136" s="286"/>
      <c r="G136" s="287"/>
      <c r="H136" s="286"/>
      <c r="I136" s="236"/>
    </row>
    <row r="137" spans="1:9" ht="15" customHeight="1">
      <c r="A137" s="230"/>
      <c r="B137" s="277"/>
      <c r="C137" s="238"/>
      <c r="D137" s="119"/>
      <c r="E137" s="815"/>
      <c r="F137" s="816"/>
      <c r="G137" s="817"/>
      <c r="H137" s="816"/>
      <c r="I137" s="236"/>
    </row>
    <row r="138" spans="1:9" ht="15" customHeight="1" thickBot="1">
      <c r="A138" s="230"/>
      <c r="B138" s="262">
        <v>80146</v>
      </c>
      <c r="C138" s="224"/>
      <c r="D138" s="245" t="s">
        <v>713</v>
      </c>
      <c r="E138" s="263"/>
      <c r="F138" s="264">
        <f>F139</f>
        <v>2695</v>
      </c>
      <c r="G138" s="264">
        <f>G139</f>
        <v>0</v>
      </c>
      <c r="H138" s="264">
        <f>H139</f>
        <v>2695</v>
      </c>
      <c r="I138" s="236"/>
    </row>
    <row r="139" spans="1:9" ht="15" customHeight="1">
      <c r="A139" s="230"/>
      <c r="B139" s="237"/>
      <c r="C139" s="237">
        <v>2708</v>
      </c>
      <c r="D139" s="119" t="s">
        <v>714</v>
      </c>
      <c r="E139" s="239"/>
      <c r="F139" s="240">
        <v>2695</v>
      </c>
      <c r="G139" s="247"/>
      <c r="H139" s="240">
        <f>F139+G139</f>
        <v>2695</v>
      </c>
      <c r="I139" s="236"/>
    </row>
    <row r="140" spans="1:9" ht="15" customHeight="1">
      <c r="A140" s="230"/>
      <c r="B140" s="237"/>
      <c r="C140" s="237"/>
      <c r="D140" s="119" t="s">
        <v>715</v>
      </c>
      <c r="E140" s="239"/>
      <c r="F140" s="240"/>
      <c r="G140" s="247"/>
      <c r="H140" s="240"/>
      <c r="I140" s="236"/>
    </row>
    <row r="141" spans="1:9" ht="15" customHeight="1">
      <c r="A141" s="230"/>
      <c r="B141" s="237"/>
      <c r="C141" s="249"/>
      <c r="D141" s="117"/>
      <c r="E141" s="239"/>
      <c r="F141" s="240"/>
      <c r="G141" s="247"/>
      <c r="H141" s="240"/>
      <c r="I141" s="236"/>
    </row>
    <row r="142" spans="1:9" ht="15" customHeight="1">
      <c r="A142" s="230"/>
      <c r="B142" s="818">
        <v>80195</v>
      </c>
      <c r="C142" s="848"/>
      <c r="D142" s="820" t="s">
        <v>58</v>
      </c>
      <c r="E142" s="647"/>
      <c r="F142" s="655">
        <f>F143</f>
        <v>23552</v>
      </c>
      <c r="G142" s="655">
        <f>G143</f>
        <v>0</v>
      </c>
      <c r="H142" s="655">
        <f>H143</f>
        <v>23552</v>
      </c>
      <c r="I142" s="236"/>
    </row>
    <row r="143" spans="1:9" ht="15" customHeight="1">
      <c r="A143" s="230"/>
      <c r="B143" s="237"/>
      <c r="C143" s="237">
        <v>2130</v>
      </c>
      <c r="D143" s="119" t="s">
        <v>309</v>
      </c>
      <c r="E143" s="239"/>
      <c r="F143" s="286">
        <v>23552</v>
      </c>
      <c r="G143" s="287"/>
      <c r="H143" s="286">
        <f>F143+G143</f>
        <v>23552</v>
      </c>
      <c r="I143" s="236"/>
    </row>
    <row r="144" spans="1:9" ht="15" customHeight="1">
      <c r="A144" s="230"/>
      <c r="B144" s="237"/>
      <c r="C144" s="237"/>
      <c r="D144" s="119" t="s">
        <v>310</v>
      </c>
      <c r="E144" s="239"/>
      <c r="F144" s="286"/>
      <c r="G144" s="287"/>
      <c r="H144" s="286"/>
      <c r="I144" s="236"/>
    </row>
    <row r="145" spans="1:9" ht="15" customHeight="1">
      <c r="A145" s="230"/>
      <c r="B145" s="237"/>
      <c r="C145" s="237"/>
      <c r="D145" s="119"/>
      <c r="E145" s="239"/>
      <c r="F145" s="286"/>
      <c r="G145" s="287"/>
      <c r="H145" s="286"/>
      <c r="I145" s="236"/>
    </row>
    <row r="146" spans="1:9" ht="15" customHeight="1" thickBot="1">
      <c r="A146" s="259"/>
      <c r="B146" s="244" t="s">
        <v>234</v>
      </c>
      <c r="C146" s="280"/>
      <c r="D146" s="245" t="s">
        <v>598</v>
      </c>
      <c r="E146" s="263">
        <f>E147</f>
        <v>21314</v>
      </c>
      <c r="F146" s="264">
        <f>F147</f>
        <v>19000</v>
      </c>
      <c r="G146" s="264">
        <f>G147</f>
        <v>20405</v>
      </c>
      <c r="H146" s="264">
        <f>H147</f>
        <v>39405</v>
      </c>
      <c r="I146" s="236"/>
    </row>
    <row r="147" spans="1:9" ht="15" customHeight="1">
      <c r="A147" s="259"/>
      <c r="B147" s="238"/>
      <c r="C147" s="238" t="s">
        <v>311</v>
      </c>
      <c r="D147" s="119" t="s">
        <v>312</v>
      </c>
      <c r="E147" s="239">
        <v>21314</v>
      </c>
      <c r="F147" s="240">
        <v>19000</v>
      </c>
      <c r="G147" s="247">
        <v>20405</v>
      </c>
      <c r="H147" s="240">
        <f>F147+G147</f>
        <v>39405</v>
      </c>
      <c r="I147" s="236"/>
    </row>
    <row r="148" spans="1:9" ht="15" customHeight="1">
      <c r="A148" s="259"/>
      <c r="B148" s="238"/>
      <c r="C148" s="238"/>
      <c r="D148" s="119"/>
      <c r="E148" s="239"/>
      <c r="F148" s="240"/>
      <c r="G148" s="247"/>
      <c r="H148" s="240"/>
      <c r="I148" s="236"/>
    </row>
    <row r="149" spans="1:9" s="229" customFormat="1" ht="15" customHeight="1" thickBot="1">
      <c r="A149" s="257">
        <v>803</v>
      </c>
      <c r="B149" s="258"/>
      <c r="C149" s="258"/>
      <c r="D149" s="118" t="s">
        <v>151</v>
      </c>
      <c r="E149" s="226">
        <f>E150</f>
        <v>0</v>
      </c>
      <c r="F149" s="250">
        <f>F150</f>
        <v>571098</v>
      </c>
      <c r="G149" s="250">
        <f>G150</f>
        <v>-65079</v>
      </c>
      <c r="H149" s="250">
        <f>H150</f>
        <v>506019</v>
      </c>
      <c r="I149" s="228"/>
    </row>
    <row r="150" spans="1:9" ht="15" customHeight="1" thickBot="1">
      <c r="A150" s="259"/>
      <c r="B150" s="231" t="s">
        <v>235</v>
      </c>
      <c r="C150" s="261"/>
      <c r="D150" s="253" t="s">
        <v>152</v>
      </c>
      <c r="E150" s="234">
        <f>SUM(E151:E153)</f>
        <v>0</v>
      </c>
      <c r="F150" s="235">
        <f>SUM(F151:F153)</f>
        <v>571098</v>
      </c>
      <c r="G150" s="235">
        <f>SUM(G151:G153)</f>
        <v>-65079</v>
      </c>
      <c r="H150" s="235">
        <f>SUM(H151:H153)</f>
        <v>506019</v>
      </c>
      <c r="I150" s="236"/>
    </row>
    <row r="151" spans="1:9" ht="15" customHeight="1">
      <c r="A151" s="259"/>
      <c r="B151" s="238"/>
      <c r="C151" s="238" t="s">
        <v>460</v>
      </c>
      <c r="D151" s="119" t="s">
        <v>462</v>
      </c>
      <c r="E151" s="239">
        <v>0</v>
      </c>
      <c r="F151" s="240">
        <v>428324</v>
      </c>
      <c r="G151" s="247">
        <v>-48810</v>
      </c>
      <c r="H151" s="240">
        <f>F151+G151</f>
        <v>379514</v>
      </c>
      <c r="I151" s="236"/>
    </row>
    <row r="152" spans="1:9" ht="15" customHeight="1">
      <c r="A152" s="259"/>
      <c r="B152" s="238"/>
      <c r="C152" s="238"/>
      <c r="D152" s="119" t="s">
        <v>463</v>
      </c>
      <c r="E152" s="239"/>
      <c r="F152" s="240"/>
      <c r="G152" s="247"/>
      <c r="H152" s="240"/>
      <c r="I152" s="236"/>
    </row>
    <row r="153" spans="1:9" ht="15" customHeight="1">
      <c r="A153" s="259"/>
      <c r="B153" s="238"/>
      <c r="C153" s="238" t="s">
        <v>461</v>
      </c>
      <c r="D153" s="119" t="s">
        <v>462</v>
      </c>
      <c r="E153" s="239">
        <v>0</v>
      </c>
      <c r="F153" s="240">
        <v>142774</v>
      </c>
      <c r="G153" s="247">
        <v>-16269</v>
      </c>
      <c r="H153" s="240">
        <f>F153+G153</f>
        <v>126505</v>
      </c>
      <c r="I153" s="236"/>
    </row>
    <row r="154" spans="1:9" ht="15" customHeight="1">
      <c r="A154" s="259"/>
      <c r="B154" s="238"/>
      <c r="C154" s="238"/>
      <c r="D154" s="119" t="s">
        <v>463</v>
      </c>
      <c r="E154" s="239"/>
      <c r="F154" s="240"/>
      <c r="G154" s="247"/>
      <c r="H154" s="240"/>
      <c r="I154" s="236"/>
    </row>
    <row r="155" spans="1:9" ht="15" customHeight="1">
      <c r="A155" s="259"/>
      <c r="B155" s="238"/>
      <c r="C155" s="238"/>
      <c r="D155" s="119"/>
      <c r="E155" s="239"/>
      <c r="F155" s="240"/>
      <c r="G155" s="247"/>
      <c r="H155" s="240"/>
      <c r="I155" s="236"/>
    </row>
    <row r="156" spans="1:9" s="229" customFormat="1" ht="15" customHeight="1" thickBot="1">
      <c r="A156" s="257">
        <v>851</v>
      </c>
      <c r="B156" s="224"/>
      <c r="C156" s="224"/>
      <c r="D156" s="118" t="s">
        <v>154</v>
      </c>
      <c r="E156" s="226" t="e">
        <f>E166+E162+#REF!</f>
        <v>#REF!</v>
      </c>
      <c r="F156" s="250">
        <f>F166+F162+F157</f>
        <v>83342</v>
      </c>
      <c r="G156" s="250">
        <f>G166+G162+G157</f>
        <v>0</v>
      </c>
      <c r="H156" s="250">
        <f>H166+H162+H157</f>
        <v>83342</v>
      </c>
      <c r="I156" s="228"/>
    </row>
    <row r="157" spans="1:9" s="229" customFormat="1" ht="15" customHeight="1">
      <c r="A157" s="230"/>
      <c r="B157" s="772">
        <v>85111</v>
      </c>
      <c r="C157" s="778"/>
      <c r="D157" s="779" t="s">
        <v>701</v>
      </c>
      <c r="E157" s="780"/>
      <c r="F157" s="781">
        <f>F158</f>
        <v>13000</v>
      </c>
      <c r="G157" s="781">
        <f>G158</f>
        <v>0</v>
      </c>
      <c r="H157" s="781">
        <f>H158</f>
        <v>13000</v>
      </c>
      <c r="I157" s="228"/>
    </row>
    <row r="158" spans="1:9" s="229" customFormat="1" ht="15" customHeight="1">
      <c r="A158" s="230"/>
      <c r="B158" s="277"/>
      <c r="C158" s="237">
        <v>6610</v>
      </c>
      <c r="D158" s="90" t="s">
        <v>706</v>
      </c>
      <c r="E158" s="239"/>
      <c r="F158" s="240">
        <v>13000</v>
      </c>
      <c r="G158" s="240"/>
      <c r="H158" s="240">
        <f>F158+G158</f>
        <v>13000</v>
      </c>
      <c r="I158" s="228"/>
    </row>
    <row r="159" spans="1:9" s="229" customFormat="1" ht="15" customHeight="1">
      <c r="A159" s="230"/>
      <c r="B159" s="277"/>
      <c r="C159" s="237"/>
      <c r="D159" s="241" t="s">
        <v>707</v>
      </c>
      <c r="E159" s="239"/>
      <c r="F159" s="240"/>
      <c r="G159" s="240"/>
      <c r="H159" s="240"/>
      <c r="I159" s="228"/>
    </row>
    <row r="160" spans="1:9" s="229" customFormat="1" ht="15" customHeight="1">
      <c r="A160" s="230"/>
      <c r="B160" s="277"/>
      <c r="C160" s="237"/>
      <c r="D160" s="119" t="s">
        <v>708</v>
      </c>
      <c r="E160" s="239"/>
      <c r="F160" s="240"/>
      <c r="G160" s="240"/>
      <c r="H160" s="240"/>
      <c r="I160" s="228"/>
    </row>
    <row r="161" spans="1:9" s="229" customFormat="1" ht="15" customHeight="1">
      <c r="A161" s="230"/>
      <c r="B161" s="277"/>
      <c r="C161" s="237"/>
      <c r="D161" s="119"/>
      <c r="E161" s="239"/>
      <c r="F161" s="240"/>
      <c r="G161" s="240"/>
      <c r="H161" s="240"/>
      <c r="I161" s="228"/>
    </row>
    <row r="162" spans="1:9" ht="15" customHeight="1" thickBot="1">
      <c r="A162" s="230"/>
      <c r="B162" s="262">
        <v>85154</v>
      </c>
      <c r="C162" s="224"/>
      <c r="D162" s="245" t="s">
        <v>314</v>
      </c>
      <c r="E162" s="263">
        <f>E163</f>
        <v>15425</v>
      </c>
      <c r="F162" s="264">
        <f>F163</f>
        <v>13925</v>
      </c>
      <c r="G162" s="264">
        <f>G163</f>
        <v>0</v>
      </c>
      <c r="H162" s="264">
        <f>H163</f>
        <v>13925</v>
      </c>
      <c r="I162" s="236"/>
    </row>
    <row r="163" spans="1:9" ht="15" customHeight="1">
      <c r="A163" s="230"/>
      <c r="B163" s="249"/>
      <c r="C163" s="237">
        <v>2330</v>
      </c>
      <c r="D163" s="119" t="s">
        <v>315</v>
      </c>
      <c r="E163" s="239">
        <v>15425</v>
      </c>
      <c r="F163" s="240">
        <v>13925</v>
      </c>
      <c r="G163" s="247"/>
      <c r="H163" s="240">
        <f>F163+G163</f>
        <v>13925</v>
      </c>
      <c r="I163" s="236"/>
    </row>
    <row r="164" spans="1:9" ht="15" customHeight="1">
      <c r="A164" s="230"/>
      <c r="B164" s="256"/>
      <c r="C164" s="237"/>
      <c r="D164" s="119" t="s">
        <v>316</v>
      </c>
      <c r="E164" s="281"/>
      <c r="F164" s="227"/>
      <c r="G164" s="247"/>
      <c r="H164" s="240"/>
      <c r="I164" s="236"/>
    </row>
    <row r="165" spans="1:9" ht="15" customHeight="1">
      <c r="A165" s="230"/>
      <c r="B165" s="249"/>
      <c r="C165" s="237"/>
      <c r="D165" s="242"/>
      <c r="E165" s="281"/>
      <c r="F165" s="227"/>
      <c r="G165" s="247"/>
      <c r="H165" s="240"/>
      <c r="I165" s="236"/>
    </row>
    <row r="166" spans="1:9" ht="15" customHeight="1">
      <c r="A166" s="230"/>
      <c r="B166" s="237">
        <v>85156</v>
      </c>
      <c r="C166" s="282"/>
      <c r="D166" s="241" t="s">
        <v>317</v>
      </c>
      <c r="E166" s="239">
        <f>E168</f>
        <v>2529000</v>
      </c>
      <c r="F166" s="240">
        <f>F168</f>
        <v>56417</v>
      </c>
      <c r="G166" s="240">
        <f>G168</f>
        <v>0</v>
      </c>
      <c r="H166" s="240">
        <f>H168</f>
        <v>56417</v>
      </c>
      <c r="I166" s="236"/>
    </row>
    <row r="167" spans="1:9" ht="15" customHeight="1" thickBot="1">
      <c r="A167" s="230"/>
      <c r="B167" s="262"/>
      <c r="C167" s="283"/>
      <c r="D167" s="245" t="s">
        <v>318</v>
      </c>
      <c r="E167" s="263"/>
      <c r="F167" s="240"/>
      <c r="G167" s="246"/>
      <c r="H167" s="264"/>
      <c r="I167" s="236"/>
    </row>
    <row r="168" spans="1:9" ht="15" customHeight="1">
      <c r="A168" s="230"/>
      <c r="B168" s="249"/>
      <c r="C168" s="237">
        <v>2110</v>
      </c>
      <c r="D168" s="119" t="s">
        <v>258</v>
      </c>
      <c r="E168" s="239">
        <v>2529000</v>
      </c>
      <c r="F168" s="248">
        <v>56417</v>
      </c>
      <c r="G168" s="247"/>
      <c r="H168" s="240">
        <f>F168+G168</f>
        <v>56417</v>
      </c>
      <c r="I168" s="236"/>
    </row>
    <row r="169" spans="1:9" ht="15" customHeight="1">
      <c r="A169" s="230"/>
      <c r="B169" s="249"/>
      <c r="C169" s="237"/>
      <c r="D169" s="241" t="s">
        <v>286</v>
      </c>
      <c r="E169" s="281"/>
      <c r="F169" s="227"/>
      <c r="G169" s="247"/>
      <c r="H169" s="240"/>
      <c r="I169" s="236"/>
    </row>
    <row r="170" spans="1:9" ht="15" customHeight="1">
      <c r="A170" s="230"/>
      <c r="B170" s="249"/>
      <c r="C170" s="237"/>
      <c r="D170" s="119"/>
      <c r="E170" s="239"/>
      <c r="F170" s="240"/>
      <c r="G170" s="247"/>
      <c r="H170" s="240"/>
      <c r="I170" s="236"/>
    </row>
    <row r="171" spans="1:9" s="229" customFormat="1" ht="15" customHeight="1" thickBot="1">
      <c r="A171" s="257">
        <v>852</v>
      </c>
      <c r="B171" s="224"/>
      <c r="C171" s="224"/>
      <c r="D171" s="274" t="s">
        <v>160</v>
      </c>
      <c r="E171" s="226" t="e">
        <f>E172+E180+E194+E198+E205+E188+#REF!</f>
        <v>#REF!</v>
      </c>
      <c r="F171" s="250">
        <f>F172+F180+F194+F198+F205+F188+F208</f>
        <v>6329155</v>
      </c>
      <c r="G171" s="250">
        <f>G172+G180+G194+G198+G205+G188+G208</f>
        <v>80418</v>
      </c>
      <c r="H171" s="250">
        <f>H172+H180+H194+H198+H205+H188+H208</f>
        <v>6409573</v>
      </c>
      <c r="I171" s="228"/>
    </row>
    <row r="172" spans="1:9" ht="15" customHeight="1" thickBot="1">
      <c r="A172" s="259"/>
      <c r="B172" s="260">
        <v>85201</v>
      </c>
      <c r="C172" s="260"/>
      <c r="D172" s="245" t="s">
        <v>161</v>
      </c>
      <c r="E172" s="234">
        <f>SUM(E173:E178)</f>
        <v>461458</v>
      </c>
      <c r="F172" s="284">
        <f>SUM(F173:F178)</f>
        <v>470731</v>
      </c>
      <c r="G172" s="284">
        <f>SUM(G173:G178)</f>
        <v>41582</v>
      </c>
      <c r="H172" s="284">
        <f>SUM(H173:H178)</f>
        <v>512313</v>
      </c>
      <c r="I172" s="236"/>
    </row>
    <row r="173" spans="1:9" ht="15" customHeight="1">
      <c r="A173" s="259"/>
      <c r="B173" s="237"/>
      <c r="C173" s="238" t="s">
        <v>293</v>
      </c>
      <c r="D173" s="119" t="s">
        <v>307</v>
      </c>
      <c r="E173" s="239">
        <v>20615</v>
      </c>
      <c r="F173" s="240">
        <v>13000</v>
      </c>
      <c r="G173" s="247"/>
      <c r="H173" s="240">
        <f>F173+G173</f>
        <v>13000</v>
      </c>
      <c r="I173" s="236"/>
    </row>
    <row r="174" spans="1:9" ht="15" customHeight="1">
      <c r="A174" s="259"/>
      <c r="B174" s="237"/>
      <c r="C174" s="238" t="s">
        <v>267</v>
      </c>
      <c r="D174" s="119" t="s">
        <v>268</v>
      </c>
      <c r="E174" s="239">
        <v>1883</v>
      </c>
      <c r="F174" s="240">
        <v>0</v>
      </c>
      <c r="G174" s="247">
        <v>4300</v>
      </c>
      <c r="H174" s="240">
        <f>F174+G174</f>
        <v>4300</v>
      </c>
      <c r="I174" s="236"/>
    </row>
    <row r="175" spans="1:9" ht="15" customHeight="1">
      <c r="A175" s="259"/>
      <c r="B175" s="237"/>
      <c r="C175" s="238" t="s">
        <v>308</v>
      </c>
      <c r="D175" s="119" t="s">
        <v>309</v>
      </c>
      <c r="E175" s="239">
        <v>3000</v>
      </c>
      <c r="F175" s="240">
        <v>146427</v>
      </c>
      <c r="G175" s="247"/>
      <c r="H175" s="240">
        <f>F175+G175</f>
        <v>146427</v>
      </c>
      <c r="I175" s="236"/>
    </row>
    <row r="176" spans="1:9" ht="15" customHeight="1">
      <c r="A176" s="259"/>
      <c r="B176" s="237"/>
      <c r="C176" s="238"/>
      <c r="D176" s="119" t="s">
        <v>310</v>
      </c>
      <c r="E176" s="239"/>
      <c r="F176" s="240"/>
      <c r="G176" s="247"/>
      <c r="H176" s="240">
        <f>F176+G176</f>
        <v>0</v>
      </c>
      <c r="I176" s="236"/>
    </row>
    <row r="177" spans="1:9" ht="15" customHeight="1">
      <c r="A177" s="259"/>
      <c r="B177" s="237"/>
      <c r="C177" s="238" t="s">
        <v>269</v>
      </c>
      <c r="D177" s="90" t="s">
        <v>270</v>
      </c>
      <c r="E177" s="239">
        <v>435960</v>
      </c>
      <c r="F177" s="240">
        <v>311304</v>
      </c>
      <c r="G177" s="247">
        <v>37282</v>
      </c>
      <c r="H177" s="240">
        <f>F177+G177</f>
        <v>348586</v>
      </c>
      <c r="I177" s="236"/>
    </row>
    <row r="178" spans="1:9" ht="15" customHeight="1">
      <c r="A178" s="259"/>
      <c r="B178" s="237"/>
      <c r="C178" s="238"/>
      <c r="D178" s="241" t="s">
        <v>271</v>
      </c>
      <c r="E178" s="239"/>
      <c r="F178" s="240"/>
      <c r="G178" s="247"/>
      <c r="H178" s="240"/>
      <c r="I178" s="236"/>
    </row>
    <row r="179" spans="1:9" ht="15" customHeight="1">
      <c r="A179" s="259"/>
      <c r="B179" s="237"/>
      <c r="C179" s="237"/>
      <c r="D179" s="242"/>
      <c r="E179" s="239"/>
      <c r="F179" s="240"/>
      <c r="G179" s="247"/>
      <c r="H179" s="240"/>
      <c r="I179" s="236"/>
    </row>
    <row r="180" spans="1:9" ht="15" customHeight="1" thickBot="1">
      <c r="A180" s="259"/>
      <c r="B180" s="262">
        <v>85202</v>
      </c>
      <c r="C180" s="266"/>
      <c r="D180" s="245" t="s">
        <v>164</v>
      </c>
      <c r="E180" s="263">
        <f>SUM(E181:E185)</f>
        <v>4271052</v>
      </c>
      <c r="F180" s="264">
        <f>SUM(F181:F185)</f>
        <v>5045556</v>
      </c>
      <c r="G180" s="264">
        <f>SUM(G181:G185)</f>
        <v>18678</v>
      </c>
      <c r="H180" s="264">
        <f>SUM(H181:H185)</f>
        <v>5064234</v>
      </c>
      <c r="I180" s="236"/>
    </row>
    <row r="181" spans="1:9" ht="15" customHeight="1">
      <c r="A181" s="259"/>
      <c r="B181" s="237"/>
      <c r="C181" s="238" t="s">
        <v>250</v>
      </c>
      <c r="D181" s="119" t="s">
        <v>245</v>
      </c>
      <c r="E181" s="239">
        <v>1680708</v>
      </c>
      <c r="F181" s="240">
        <v>2126302</v>
      </c>
      <c r="G181" s="247">
        <f>-85706-7000+25678</f>
        <v>-67028</v>
      </c>
      <c r="H181" s="240">
        <f>F181+G181</f>
        <v>2059274</v>
      </c>
      <c r="I181" s="236"/>
    </row>
    <row r="182" spans="1:9" ht="15" customHeight="1">
      <c r="A182" s="259"/>
      <c r="B182" s="237"/>
      <c r="C182" s="238" t="s">
        <v>290</v>
      </c>
      <c r="D182" s="119" t="s">
        <v>291</v>
      </c>
      <c r="E182" s="239"/>
      <c r="F182" s="240">
        <v>35</v>
      </c>
      <c r="G182" s="247"/>
      <c r="H182" s="240">
        <f>F182+G182</f>
        <v>35</v>
      </c>
      <c r="I182" s="236"/>
    </row>
    <row r="183" spans="1:9" ht="15" customHeight="1">
      <c r="A183" s="259"/>
      <c r="B183" s="237"/>
      <c r="C183" s="238" t="s">
        <v>293</v>
      </c>
      <c r="D183" s="119" t="s">
        <v>307</v>
      </c>
      <c r="E183" s="239"/>
      <c r="F183" s="240">
        <v>1500</v>
      </c>
      <c r="G183" s="247"/>
      <c r="H183" s="240">
        <f>F183+G183</f>
        <v>1500</v>
      </c>
      <c r="I183" s="236"/>
    </row>
    <row r="184" spans="1:9" ht="15" customHeight="1">
      <c r="A184" s="259"/>
      <c r="B184" s="237"/>
      <c r="C184" s="238" t="s">
        <v>267</v>
      </c>
      <c r="D184" s="119" t="s">
        <v>268</v>
      </c>
      <c r="E184" s="239">
        <v>23420</v>
      </c>
      <c r="F184" s="240">
        <v>107892</v>
      </c>
      <c r="G184" s="247">
        <v>85706</v>
      </c>
      <c r="H184" s="240">
        <f>F184+G184</f>
        <v>193598</v>
      </c>
      <c r="I184" s="236"/>
    </row>
    <row r="185" spans="1:9" ht="15" customHeight="1">
      <c r="A185" s="259"/>
      <c r="B185" s="237"/>
      <c r="C185" s="237">
        <v>2130</v>
      </c>
      <c r="D185" s="119" t="s">
        <v>309</v>
      </c>
      <c r="E185" s="239">
        <v>2566924</v>
      </c>
      <c r="F185" s="240">
        <v>2809827</v>
      </c>
      <c r="G185" s="247"/>
      <c r="H185" s="240">
        <f>F185+G185</f>
        <v>2809827</v>
      </c>
      <c r="I185" s="236"/>
    </row>
    <row r="186" spans="1:9" ht="15" customHeight="1">
      <c r="A186" s="259"/>
      <c r="B186" s="237"/>
      <c r="C186" s="237"/>
      <c r="D186" s="119" t="s">
        <v>310</v>
      </c>
      <c r="E186" s="265"/>
      <c r="F186" s="241"/>
      <c r="G186" s="247"/>
      <c r="H186" s="240"/>
      <c r="I186" s="236"/>
    </row>
    <row r="187" spans="1:9" ht="12.75">
      <c r="A187" s="259"/>
      <c r="B187" s="237"/>
      <c r="C187" s="237"/>
      <c r="D187" s="242"/>
      <c r="E187" s="265"/>
      <c r="F187" s="241"/>
      <c r="G187" s="247"/>
      <c r="H187" s="240"/>
      <c r="I187" s="236"/>
    </row>
    <row r="188" spans="1:9" ht="13.5" thickBot="1">
      <c r="A188" s="259"/>
      <c r="B188" s="262">
        <v>85203</v>
      </c>
      <c r="C188" s="266"/>
      <c r="D188" s="245" t="s">
        <v>167</v>
      </c>
      <c r="E188" s="285">
        <f>SUM(E189:E191)</f>
        <v>253094</v>
      </c>
      <c r="F188" s="286">
        <f>SUM(F189:F191)</f>
        <v>322930</v>
      </c>
      <c r="G188" s="292">
        <f>SUM(G189:G191)</f>
        <v>0</v>
      </c>
      <c r="H188" s="292">
        <f>SUM(H189:H191)</f>
        <v>322930</v>
      </c>
      <c r="I188" s="236"/>
    </row>
    <row r="189" spans="1:9" ht="12.75">
      <c r="A189" s="259"/>
      <c r="B189" s="237"/>
      <c r="C189" s="238" t="s">
        <v>250</v>
      </c>
      <c r="D189" s="119" t="s">
        <v>245</v>
      </c>
      <c r="E189" s="287">
        <v>8704</v>
      </c>
      <c r="F189" s="288">
        <v>6899</v>
      </c>
      <c r="G189" s="247"/>
      <c r="H189" s="240">
        <f>F189+G189</f>
        <v>6899</v>
      </c>
      <c r="I189" s="236"/>
    </row>
    <row r="190" spans="1:9" ht="12.75">
      <c r="A190" s="259"/>
      <c r="B190" s="237"/>
      <c r="C190" s="238" t="s">
        <v>267</v>
      </c>
      <c r="D190" s="119" t="s">
        <v>268</v>
      </c>
      <c r="E190" s="287">
        <v>2890</v>
      </c>
      <c r="F190" s="286">
        <v>131</v>
      </c>
      <c r="G190" s="247"/>
      <c r="H190" s="240">
        <f>F190+G190</f>
        <v>131</v>
      </c>
      <c r="I190" s="236"/>
    </row>
    <row r="191" spans="1:9" ht="12.75">
      <c r="A191" s="259"/>
      <c r="B191" s="237"/>
      <c r="C191" s="237">
        <v>2110</v>
      </c>
      <c r="D191" s="241" t="s">
        <v>258</v>
      </c>
      <c r="E191" s="239">
        <v>241500</v>
      </c>
      <c r="F191" s="240">
        <v>315900</v>
      </c>
      <c r="G191" s="247"/>
      <c r="H191" s="240">
        <f>F191+G191</f>
        <v>315900</v>
      </c>
      <c r="I191" s="236"/>
    </row>
    <row r="192" spans="1:9" ht="12.75" customHeight="1">
      <c r="A192" s="259"/>
      <c r="B192" s="237"/>
      <c r="C192" s="237"/>
      <c r="D192" s="241" t="s">
        <v>287</v>
      </c>
      <c r="E192" s="239"/>
      <c r="F192" s="240"/>
      <c r="G192" s="247"/>
      <c r="H192" s="240"/>
      <c r="I192" s="236"/>
    </row>
    <row r="193" spans="1:9" ht="12.75" customHeight="1">
      <c r="A193" s="259"/>
      <c r="B193" s="237"/>
      <c r="C193" s="237"/>
      <c r="D193" s="119"/>
      <c r="E193" s="239"/>
      <c r="F193" s="240"/>
      <c r="G193" s="247"/>
      <c r="H193" s="240"/>
      <c r="I193" s="236"/>
    </row>
    <row r="194" spans="1:9" ht="13.5" thickBot="1">
      <c r="A194" s="259"/>
      <c r="B194" s="262">
        <v>85204</v>
      </c>
      <c r="C194" s="266"/>
      <c r="D194" s="245" t="s">
        <v>169</v>
      </c>
      <c r="E194" s="263">
        <f>SUM(E195:E195)</f>
        <v>56600</v>
      </c>
      <c r="F194" s="264">
        <f>SUM(F195:F195)</f>
        <v>56600</v>
      </c>
      <c r="G194" s="264">
        <f>SUM(G195:G195)</f>
        <v>18619</v>
      </c>
      <c r="H194" s="264">
        <f>SUM(H195:H195)</f>
        <v>75219</v>
      </c>
      <c r="I194" s="236"/>
    </row>
    <row r="195" spans="1:9" ht="12.75">
      <c r="A195" s="259"/>
      <c r="B195" s="237"/>
      <c r="C195" s="238" t="s">
        <v>269</v>
      </c>
      <c r="D195" s="90" t="s">
        <v>270</v>
      </c>
      <c r="E195" s="239">
        <v>56600</v>
      </c>
      <c r="F195" s="240">
        <v>56600</v>
      </c>
      <c r="G195" s="247">
        <v>18619</v>
      </c>
      <c r="H195" s="240">
        <f>F195+G195</f>
        <v>75219</v>
      </c>
      <c r="I195" s="236"/>
    </row>
    <row r="196" spans="1:9" ht="12.75">
      <c r="A196" s="259"/>
      <c r="B196" s="237"/>
      <c r="C196" s="238"/>
      <c r="D196" s="241" t="s">
        <v>271</v>
      </c>
      <c r="E196" s="239"/>
      <c r="F196" s="240"/>
      <c r="G196" s="247"/>
      <c r="H196" s="240"/>
      <c r="I196" s="236"/>
    </row>
    <row r="197" spans="1:9" ht="12.75" customHeight="1">
      <c r="A197" s="259"/>
      <c r="B197" s="237"/>
      <c r="C197" s="238"/>
      <c r="D197" s="119"/>
      <c r="E197" s="239"/>
      <c r="F197" s="240"/>
      <c r="G197" s="247"/>
      <c r="H197" s="240"/>
      <c r="I197" s="236"/>
    </row>
    <row r="198" spans="1:9" ht="13.5" thickBot="1">
      <c r="A198" s="259"/>
      <c r="B198" s="262">
        <v>85218</v>
      </c>
      <c r="C198" s="266"/>
      <c r="D198" s="245" t="s">
        <v>170</v>
      </c>
      <c r="E198" s="263">
        <f>SUM(E199:E199)</f>
        <v>10700</v>
      </c>
      <c r="F198" s="240">
        <f>SUM(F199:F202)</f>
        <v>52700</v>
      </c>
      <c r="G198" s="264">
        <f>SUM(G199:G202)</f>
        <v>1539</v>
      </c>
      <c r="H198" s="264">
        <f>SUM(H199:H202)</f>
        <v>54239</v>
      </c>
      <c r="I198" s="236"/>
    </row>
    <row r="199" spans="1:9" ht="12.75">
      <c r="A199" s="259"/>
      <c r="B199" s="237"/>
      <c r="C199" s="238" t="s">
        <v>267</v>
      </c>
      <c r="D199" s="119" t="s">
        <v>268</v>
      </c>
      <c r="E199" s="239">
        <v>10700</v>
      </c>
      <c r="F199" s="248">
        <v>5000</v>
      </c>
      <c r="G199" s="247">
        <v>1539</v>
      </c>
      <c r="H199" s="240">
        <f>F199+G199</f>
        <v>6539</v>
      </c>
      <c r="I199" s="236"/>
    </row>
    <row r="200" spans="1:9" ht="12.75">
      <c r="A200" s="259"/>
      <c r="B200" s="237"/>
      <c r="C200" s="237">
        <v>2110</v>
      </c>
      <c r="D200" s="241" t="s">
        <v>258</v>
      </c>
      <c r="E200" s="239"/>
      <c r="F200" s="240">
        <v>9000</v>
      </c>
      <c r="G200" s="247"/>
      <c r="H200" s="240">
        <f>F200+G200</f>
        <v>9000</v>
      </c>
      <c r="I200" s="236"/>
    </row>
    <row r="201" spans="1:9" ht="12.75">
      <c r="A201" s="259"/>
      <c r="B201" s="237"/>
      <c r="C201" s="237"/>
      <c r="D201" s="241" t="s">
        <v>287</v>
      </c>
      <c r="E201" s="239"/>
      <c r="F201" s="240"/>
      <c r="G201" s="247"/>
      <c r="H201" s="240"/>
      <c r="I201" s="236"/>
    </row>
    <row r="202" spans="1:9" ht="12.75">
      <c r="A202" s="259"/>
      <c r="B202" s="237"/>
      <c r="C202" s="237">
        <v>2130</v>
      </c>
      <c r="D202" s="119" t="s">
        <v>309</v>
      </c>
      <c r="E202" s="239"/>
      <c r="F202" s="240">
        <v>38700</v>
      </c>
      <c r="G202" s="247"/>
      <c r="H202" s="240">
        <f>F202+G202</f>
        <v>38700</v>
      </c>
      <c r="I202" s="236"/>
    </row>
    <row r="203" spans="1:9" ht="12.75">
      <c r="A203" s="259"/>
      <c r="B203" s="237"/>
      <c r="C203" s="237"/>
      <c r="D203" s="119" t="s">
        <v>310</v>
      </c>
      <c r="E203" s="239"/>
      <c r="F203" s="240"/>
      <c r="G203" s="247"/>
      <c r="H203" s="240"/>
      <c r="I203" s="236"/>
    </row>
    <row r="204" spans="1:9" ht="14.25" customHeight="1">
      <c r="A204" s="259"/>
      <c r="B204" s="237"/>
      <c r="C204" s="237"/>
      <c r="D204" s="242"/>
      <c r="E204" s="239"/>
      <c r="F204" s="240"/>
      <c r="G204" s="247"/>
      <c r="H204" s="240"/>
      <c r="I204" s="236"/>
    </row>
    <row r="205" spans="1:9" ht="14.25" customHeight="1" thickBot="1">
      <c r="A205" s="259"/>
      <c r="B205" s="262">
        <v>85220</v>
      </c>
      <c r="C205" s="266"/>
      <c r="D205" s="245" t="s">
        <v>323</v>
      </c>
      <c r="E205" s="263" t="e">
        <f>E206+#REF!</f>
        <v>#REF!</v>
      </c>
      <c r="F205" s="264">
        <f>F206</f>
        <v>21112</v>
      </c>
      <c r="G205" s="264">
        <f>G206</f>
        <v>0</v>
      </c>
      <c r="H205" s="264">
        <f>H206</f>
        <v>21112</v>
      </c>
      <c r="I205" s="236"/>
    </row>
    <row r="206" spans="1:9" ht="14.25" customHeight="1">
      <c r="A206" s="259"/>
      <c r="B206" s="237"/>
      <c r="C206" s="238" t="s">
        <v>250</v>
      </c>
      <c r="D206" s="119" t="s">
        <v>245</v>
      </c>
      <c r="E206" s="239">
        <v>34216</v>
      </c>
      <c r="F206" s="240">
        <v>21112</v>
      </c>
      <c r="G206" s="247"/>
      <c r="H206" s="240">
        <f>F206+G206</f>
        <v>21112</v>
      </c>
      <c r="I206" s="236"/>
    </row>
    <row r="207" spans="1:9" ht="14.25" customHeight="1">
      <c r="A207" s="259"/>
      <c r="B207" s="237"/>
      <c r="C207" s="238"/>
      <c r="D207" s="119"/>
      <c r="E207" s="239"/>
      <c r="F207" s="240"/>
      <c r="G207" s="247"/>
      <c r="H207" s="240"/>
      <c r="I207" s="236"/>
    </row>
    <row r="208" spans="1:9" ht="14.25" customHeight="1" thickBot="1">
      <c r="A208" s="259"/>
      <c r="B208" s="262">
        <v>85295</v>
      </c>
      <c r="C208" s="244"/>
      <c r="D208" s="245" t="s">
        <v>58</v>
      </c>
      <c r="E208" s="263"/>
      <c r="F208" s="264">
        <f>SUM(F209:F211)</f>
        <v>359526</v>
      </c>
      <c r="G208" s="264">
        <f>SUM(G209:G211)</f>
        <v>0</v>
      </c>
      <c r="H208" s="264">
        <f>SUM(H209:H211)</f>
        <v>359526</v>
      </c>
      <c r="I208" s="236"/>
    </row>
    <row r="209" spans="1:9" ht="14.25" customHeight="1">
      <c r="A209" s="259"/>
      <c r="B209" s="237"/>
      <c r="C209" s="238" t="s">
        <v>757</v>
      </c>
      <c r="D209" s="90" t="s">
        <v>545</v>
      </c>
      <c r="E209" s="239"/>
      <c r="F209" s="240">
        <v>219526</v>
      </c>
      <c r="G209" s="247"/>
      <c r="H209" s="240">
        <f>F209+G209</f>
        <v>219526</v>
      </c>
      <c r="I209" s="236"/>
    </row>
    <row r="210" spans="1:9" ht="14.25" customHeight="1">
      <c r="A210" s="259"/>
      <c r="B210" s="237"/>
      <c r="C210" s="238"/>
      <c r="D210" s="90" t="s">
        <v>758</v>
      </c>
      <c r="E210" s="239"/>
      <c r="F210" s="240"/>
      <c r="G210" s="247"/>
      <c r="H210" s="240"/>
      <c r="I210" s="236"/>
    </row>
    <row r="211" spans="1:9" ht="14.25" customHeight="1">
      <c r="A211" s="259"/>
      <c r="B211" s="237"/>
      <c r="C211" s="238" t="s">
        <v>269</v>
      </c>
      <c r="D211" s="90" t="s">
        <v>270</v>
      </c>
      <c r="E211" s="239"/>
      <c r="F211" s="240">
        <v>140000</v>
      </c>
      <c r="G211" s="247"/>
      <c r="H211" s="240">
        <f>F211+G211</f>
        <v>140000</v>
      </c>
      <c r="I211" s="236"/>
    </row>
    <row r="212" spans="1:9" ht="14.25" customHeight="1">
      <c r="A212" s="259"/>
      <c r="B212" s="237"/>
      <c r="C212" s="238"/>
      <c r="D212" s="241" t="s">
        <v>271</v>
      </c>
      <c r="E212" s="239"/>
      <c r="F212" s="240"/>
      <c r="G212" s="247"/>
      <c r="H212" s="240"/>
      <c r="I212" s="236"/>
    </row>
    <row r="213" spans="1:9" ht="14.25" customHeight="1">
      <c r="A213" s="259"/>
      <c r="B213" s="237"/>
      <c r="C213" s="237"/>
      <c r="D213" s="119"/>
      <c r="E213" s="239"/>
      <c r="F213" s="240"/>
      <c r="G213" s="247"/>
      <c r="H213" s="240"/>
      <c r="I213" s="236"/>
    </row>
    <row r="214" spans="1:9" s="229" customFormat="1" ht="13.5" thickBot="1">
      <c r="A214" s="257">
        <v>853</v>
      </c>
      <c r="B214" s="224"/>
      <c r="C214" s="224"/>
      <c r="D214" s="118" t="s">
        <v>174</v>
      </c>
      <c r="E214" s="276" t="e">
        <f>E215+E219+#REF!+E222+#REF!</f>
        <v>#REF!</v>
      </c>
      <c r="F214" s="276">
        <f>F215+F219+F222</f>
        <v>754421</v>
      </c>
      <c r="G214" s="276">
        <f>G215+G219+G222</f>
        <v>7350</v>
      </c>
      <c r="H214" s="276">
        <f>H215+H219+H222</f>
        <v>761771</v>
      </c>
      <c r="I214" s="228"/>
    </row>
    <row r="215" spans="1:9" ht="13.5" thickBot="1">
      <c r="A215" s="259"/>
      <c r="B215" s="266">
        <v>85321</v>
      </c>
      <c r="C215" s="266"/>
      <c r="D215" s="245" t="s">
        <v>324</v>
      </c>
      <c r="E215" s="263">
        <f>E216</f>
        <v>274325</v>
      </c>
      <c r="F215" s="235">
        <f>F216</f>
        <v>342039</v>
      </c>
      <c r="G215" s="235">
        <f>G216</f>
        <v>0</v>
      </c>
      <c r="H215" s="235">
        <f>H216</f>
        <v>342039</v>
      </c>
      <c r="I215" s="236"/>
    </row>
    <row r="216" spans="1:9" ht="12.75">
      <c r="A216" s="259"/>
      <c r="B216" s="237"/>
      <c r="C216" s="237">
        <v>2110</v>
      </c>
      <c r="D216" s="119" t="s">
        <v>258</v>
      </c>
      <c r="E216" s="239">
        <v>274325</v>
      </c>
      <c r="F216" s="240">
        <v>342039</v>
      </c>
      <c r="G216" s="247"/>
      <c r="H216" s="240">
        <f>F216+G216</f>
        <v>342039</v>
      </c>
      <c r="I216" s="236"/>
    </row>
    <row r="217" spans="1:9" ht="12.75">
      <c r="A217" s="259"/>
      <c r="B217" s="237"/>
      <c r="C217" s="237"/>
      <c r="D217" s="241" t="s">
        <v>286</v>
      </c>
      <c r="E217" s="239"/>
      <c r="F217" s="240"/>
      <c r="G217" s="247"/>
      <c r="H217" s="240"/>
      <c r="I217" s="236"/>
    </row>
    <row r="218" spans="1:9" ht="12.75">
      <c r="A218" s="259"/>
      <c r="B218" s="237"/>
      <c r="C218" s="237"/>
      <c r="D218" s="242"/>
      <c r="E218" s="239"/>
      <c r="F218" s="240"/>
      <c r="G218" s="247"/>
      <c r="H218" s="240"/>
      <c r="I218" s="236"/>
    </row>
    <row r="219" spans="1:9" ht="13.5" thickBot="1">
      <c r="A219" s="259"/>
      <c r="B219" s="266">
        <v>85324</v>
      </c>
      <c r="C219" s="266"/>
      <c r="D219" s="245" t="s">
        <v>325</v>
      </c>
      <c r="E219" s="263">
        <f>SUM(E220:E220)</f>
        <v>51225</v>
      </c>
      <c r="F219" s="240">
        <f>SUM(F220:F220)</f>
        <v>53622</v>
      </c>
      <c r="G219" s="264">
        <f>SUM(G220:G220)</f>
        <v>7350</v>
      </c>
      <c r="H219" s="264">
        <f>SUM(H220:H220)</f>
        <v>60972</v>
      </c>
      <c r="I219" s="236"/>
    </row>
    <row r="220" spans="1:9" ht="12.75">
      <c r="A220" s="259"/>
      <c r="B220" s="237"/>
      <c r="C220" s="238" t="s">
        <v>267</v>
      </c>
      <c r="D220" s="119" t="s">
        <v>268</v>
      </c>
      <c r="E220" s="239">
        <v>51225</v>
      </c>
      <c r="F220" s="248">
        <v>53622</v>
      </c>
      <c r="G220" s="247">
        <v>7350</v>
      </c>
      <c r="H220" s="240">
        <f>F220+G220</f>
        <v>60972</v>
      </c>
      <c r="I220" s="236"/>
    </row>
    <row r="221" spans="1:9" ht="12.75">
      <c r="A221" s="259"/>
      <c r="B221" s="237"/>
      <c r="C221" s="238"/>
      <c r="D221" s="242"/>
      <c r="E221" s="239"/>
      <c r="F221" s="240"/>
      <c r="G221" s="247"/>
      <c r="H221" s="240"/>
      <c r="I221" s="236"/>
    </row>
    <row r="222" spans="1:9" ht="13.5" thickBot="1">
      <c r="A222" s="259"/>
      <c r="B222" s="262">
        <v>85395</v>
      </c>
      <c r="C222" s="244"/>
      <c r="D222" s="271" t="s">
        <v>58</v>
      </c>
      <c r="E222" s="263">
        <f>SUM(E223:E226)</f>
        <v>1244852</v>
      </c>
      <c r="F222" s="264">
        <f>SUM(F223:F226)</f>
        <v>358760</v>
      </c>
      <c r="G222" s="264">
        <f>SUM(G223:G226)</f>
        <v>0</v>
      </c>
      <c r="H222" s="264">
        <f>SUM(H223:H226)</f>
        <v>358760</v>
      </c>
      <c r="I222" s="236"/>
    </row>
    <row r="223" spans="1:9" ht="12.75">
      <c r="A223" s="259"/>
      <c r="B223" s="237"/>
      <c r="C223" s="238" t="s">
        <v>326</v>
      </c>
      <c r="D223" s="119" t="s">
        <v>321</v>
      </c>
      <c r="E223" s="239">
        <v>973417</v>
      </c>
      <c r="F223" s="240">
        <v>308849</v>
      </c>
      <c r="G223" s="247"/>
      <c r="H223" s="240">
        <f>F223+G223</f>
        <v>308849</v>
      </c>
      <c r="I223" s="236"/>
    </row>
    <row r="224" spans="1:9" ht="12.75">
      <c r="A224" s="259"/>
      <c r="B224" s="237"/>
      <c r="C224" s="238"/>
      <c r="D224" s="119" t="s">
        <v>322</v>
      </c>
      <c r="E224" s="239"/>
      <c r="F224" s="240"/>
      <c r="G224" s="247"/>
      <c r="H224" s="240"/>
      <c r="I224" s="236"/>
    </row>
    <row r="225" spans="1:9" ht="12.75">
      <c r="A225" s="259"/>
      <c r="B225" s="237"/>
      <c r="C225" s="238" t="s">
        <v>327</v>
      </c>
      <c r="D225" s="119" t="s">
        <v>321</v>
      </c>
      <c r="E225" s="239">
        <v>271435</v>
      </c>
      <c r="F225" s="240">
        <v>49911</v>
      </c>
      <c r="G225" s="247"/>
      <c r="H225" s="240">
        <f>F225+G225</f>
        <v>49911</v>
      </c>
      <c r="I225" s="236"/>
    </row>
    <row r="226" spans="1:9" ht="12.75">
      <c r="A226" s="259"/>
      <c r="B226" s="237"/>
      <c r="C226" s="238"/>
      <c r="D226" s="119" t="s">
        <v>322</v>
      </c>
      <c r="E226" s="239"/>
      <c r="F226" s="240"/>
      <c r="G226" s="247"/>
      <c r="H226" s="240"/>
      <c r="I226" s="236"/>
    </row>
    <row r="227" spans="1:9" ht="12.75">
      <c r="A227" s="259"/>
      <c r="B227" s="237"/>
      <c r="C227" s="238"/>
      <c r="D227" s="241"/>
      <c r="E227" s="239"/>
      <c r="F227" s="240"/>
      <c r="G227" s="247"/>
      <c r="H227" s="240"/>
      <c r="I227" s="236"/>
    </row>
    <row r="228" spans="1:9" s="229" customFormat="1" ht="14.25" customHeight="1" thickBot="1">
      <c r="A228" s="290">
        <v>854</v>
      </c>
      <c r="B228" s="273"/>
      <c r="C228" s="273"/>
      <c r="D228" s="274" t="s">
        <v>178</v>
      </c>
      <c r="E228" s="289" t="e">
        <f>E234+E237+E246+#REF!</f>
        <v>#REF!</v>
      </c>
      <c r="F228" s="276">
        <f>F234+F237+F246+F229</f>
        <v>1191459</v>
      </c>
      <c r="G228" s="276">
        <f>G234+G237+G246+G229</f>
        <v>-34830</v>
      </c>
      <c r="H228" s="276">
        <f>H234+H237+H246+H229</f>
        <v>1156629</v>
      </c>
      <c r="I228" s="228"/>
    </row>
    <row r="229" spans="1:9" s="229" customFormat="1" ht="14.25" customHeight="1">
      <c r="A229" s="291"/>
      <c r="B229" s="772">
        <v>85406</v>
      </c>
      <c r="C229" s="772"/>
      <c r="D229" s="773" t="s">
        <v>697</v>
      </c>
      <c r="E229" s="774"/>
      <c r="F229" s="775">
        <f>SUM(F230:F231)</f>
        <v>6765</v>
      </c>
      <c r="G229" s="775">
        <f>SUM(G230:G231)</f>
        <v>0</v>
      </c>
      <c r="H229" s="775">
        <f>SUM(H230:H231)</f>
        <v>6765</v>
      </c>
      <c r="I229" s="228"/>
    </row>
    <row r="230" spans="1:9" s="229" customFormat="1" ht="14.25" customHeight="1">
      <c r="A230" s="291"/>
      <c r="B230" s="277"/>
      <c r="C230" s="278" t="s">
        <v>267</v>
      </c>
      <c r="D230" s="241" t="s">
        <v>268</v>
      </c>
      <c r="E230" s="287"/>
      <c r="F230" s="286">
        <v>1250</v>
      </c>
      <c r="G230" s="286"/>
      <c r="H230" s="286">
        <f>F230+G230</f>
        <v>1250</v>
      </c>
      <c r="I230" s="228"/>
    </row>
    <row r="231" spans="1:9" s="229" customFormat="1" ht="14.25" customHeight="1">
      <c r="A231" s="291"/>
      <c r="B231" s="277"/>
      <c r="C231" s="237">
        <v>2130</v>
      </c>
      <c r="D231" s="119" t="s">
        <v>744</v>
      </c>
      <c r="E231" s="287"/>
      <c r="F231" s="286">
        <v>5515</v>
      </c>
      <c r="G231" s="286"/>
      <c r="H231" s="286">
        <f>F231+G231</f>
        <v>5515</v>
      </c>
      <c r="I231" s="228"/>
    </row>
    <row r="232" spans="1:9" s="229" customFormat="1" ht="14.25" customHeight="1">
      <c r="A232" s="291"/>
      <c r="B232" s="277"/>
      <c r="C232" s="237"/>
      <c r="D232" s="119" t="s">
        <v>745</v>
      </c>
      <c r="E232" s="287"/>
      <c r="F232" s="286"/>
      <c r="G232" s="286"/>
      <c r="H232" s="286"/>
      <c r="I232" s="228"/>
    </row>
    <row r="233" spans="1:9" s="229" customFormat="1" ht="14.25" customHeight="1">
      <c r="A233" s="291"/>
      <c r="B233" s="277"/>
      <c r="C233" s="277"/>
      <c r="D233" s="241"/>
      <c r="E233" s="287"/>
      <c r="F233" s="286"/>
      <c r="G233" s="286"/>
      <c r="H233" s="286"/>
      <c r="I233" s="228"/>
    </row>
    <row r="234" spans="1:9" ht="14.25" customHeight="1" thickBot="1">
      <c r="A234" s="291"/>
      <c r="B234" s="262">
        <v>85410</v>
      </c>
      <c r="C234" s="262"/>
      <c r="D234" s="271" t="s">
        <v>181</v>
      </c>
      <c r="E234" s="263">
        <f>E235</f>
        <v>139793</v>
      </c>
      <c r="F234" s="264">
        <f>F235</f>
        <v>111580</v>
      </c>
      <c r="G234" s="264">
        <f>G235</f>
        <v>-25795</v>
      </c>
      <c r="H234" s="264">
        <f>H235</f>
        <v>85785</v>
      </c>
      <c r="I234" s="236"/>
    </row>
    <row r="235" spans="1:9" ht="14.25" customHeight="1">
      <c r="A235" s="291"/>
      <c r="B235" s="256"/>
      <c r="C235" s="278" t="s">
        <v>250</v>
      </c>
      <c r="D235" s="241" t="s">
        <v>245</v>
      </c>
      <c r="E235" s="239">
        <v>139793</v>
      </c>
      <c r="F235" s="240">
        <v>111580</v>
      </c>
      <c r="G235" s="247">
        <v>-25795</v>
      </c>
      <c r="H235" s="240">
        <f>F235+G235</f>
        <v>85785</v>
      </c>
      <c r="I235" s="236"/>
    </row>
    <row r="236" spans="1:9" ht="14.25" customHeight="1">
      <c r="A236" s="291"/>
      <c r="B236" s="256"/>
      <c r="C236" s="277"/>
      <c r="D236" s="241"/>
      <c r="E236" s="239"/>
      <c r="F236" s="240"/>
      <c r="G236" s="247"/>
      <c r="H236" s="240"/>
      <c r="I236" s="236"/>
    </row>
    <row r="237" spans="1:9" ht="14.25" customHeight="1" thickBot="1">
      <c r="A237" s="291"/>
      <c r="B237" s="262">
        <v>85415</v>
      </c>
      <c r="C237" s="266"/>
      <c r="D237" s="245" t="s">
        <v>183</v>
      </c>
      <c r="E237" s="263">
        <f>SUM(E241:E244)</f>
        <v>0</v>
      </c>
      <c r="F237" s="264">
        <f>SUM(F238:F244)</f>
        <v>247800</v>
      </c>
      <c r="G237" s="264">
        <f>SUM(G238:G244)</f>
        <v>0</v>
      </c>
      <c r="H237" s="264">
        <f>SUM(H238:H243)</f>
        <v>247800</v>
      </c>
      <c r="I237" s="236"/>
    </row>
    <row r="238" spans="1:9" ht="14.25" customHeight="1">
      <c r="A238" s="291"/>
      <c r="B238" s="277"/>
      <c r="C238" s="278" t="s">
        <v>267</v>
      </c>
      <c r="D238" s="241" t="s">
        <v>268</v>
      </c>
      <c r="E238" s="239"/>
      <c r="F238" s="240">
        <v>1920</v>
      </c>
      <c r="G238" s="247"/>
      <c r="H238" s="240">
        <f>F238+G238</f>
        <v>1920</v>
      </c>
      <c r="I238" s="236"/>
    </row>
    <row r="239" spans="1:9" ht="14.25" customHeight="1">
      <c r="A239" s="291"/>
      <c r="B239" s="277"/>
      <c r="C239" s="237">
        <v>2130</v>
      </c>
      <c r="D239" s="119" t="s">
        <v>744</v>
      </c>
      <c r="E239" s="239"/>
      <c r="F239" s="240">
        <v>92000</v>
      </c>
      <c r="G239" s="247"/>
      <c r="H239" s="240">
        <f>F239+G239</f>
        <v>92000</v>
      </c>
      <c r="I239" s="236"/>
    </row>
    <row r="240" spans="1:9" ht="14.25" customHeight="1">
      <c r="A240" s="291"/>
      <c r="B240" s="277"/>
      <c r="C240" s="237"/>
      <c r="D240" s="119" t="s">
        <v>745</v>
      </c>
      <c r="E240" s="239"/>
      <c r="F240" s="240"/>
      <c r="G240" s="247"/>
      <c r="H240" s="240"/>
      <c r="I240" s="236"/>
    </row>
    <row r="241" spans="1:9" ht="14.25" customHeight="1">
      <c r="A241" s="291"/>
      <c r="B241" s="277"/>
      <c r="C241" s="238" t="s">
        <v>460</v>
      </c>
      <c r="D241" s="119" t="s">
        <v>462</v>
      </c>
      <c r="E241" s="239">
        <v>0</v>
      </c>
      <c r="F241" s="240">
        <v>104638</v>
      </c>
      <c r="G241" s="247"/>
      <c r="H241" s="240">
        <f>F241+G241</f>
        <v>104638</v>
      </c>
      <c r="I241" s="236"/>
    </row>
    <row r="242" spans="1:9" ht="14.25" customHeight="1">
      <c r="A242" s="291"/>
      <c r="B242" s="277"/>
      <c r="C242" s="238"/>
      <c r="D242" s="119" t="s">
        <v>463</v>
      </c>
      <c r="E242" s="239"/>
      <c r="F242" s="240"/>
      <c r="G242" s="247"/>
      <c r="H242" s="240"/>
      <c r="I242" s="236"/>
    </row>
    <row r="243" spans="1:9" ht="14.25" customHeight="1">
      <c r="A243" s="291"/>
      <c r="B243" s="277"/>
      <c r="C243" s="238" t="s">
        <v>461</v>
      </c>
      <c r="D243" s="119" t="s">
        <v>462</v>
      </c>
      <c r="E243" s="239">
        <v>0</v>
      </c>
      <c r="F243" s="240">
        <v>49242</v>
      </c>
      <c r="G243" s="247"/>
      <c r="H243" s="240">
        <f>F243+G243</f>
        <v>49242</v>
      </c>
      <c r="I243" s="236"/>
    </row>
    <row r="244" spans="1:9" ht="14.25" customHeight="1">
      <c r="A244" s="291"/>
      <c r="B244" s="277"/>
      <c r="C244" s="238"/>
      <c r="D244" s="119" t="s">
        <v>463</v>
      </c>
      <c r="E244" s="239"/>
      <c r="F244" s="240"/>
      <c r="G244" s="247"/>
      <c r="H244" s="240"/>
      <c r="I244" s="236"/>
    </row>
    <row r="245" spans="1:9" ht="14.25" customHeight="1">
      <c r="A245" s="291"/>
      <c r="B245" s="256"/>
      <c r="C245" s="237"/>
      <c r="D245" s="242"/>
      <c r="E245" s="239"/>
      <c r="F245" s="240"/>
      <c r="G245" s="247"/>
      <c r="H245" s="240"/>
      <c r="I245" s="236"/>
    </row>
    <row r="246" spans="1:9" ht="14.25" customHeight="1" thickBot="1">
      <c r="A246" s="291"/>
      <c r="B246" s="262">
        <v>85420</v>
      </c>
      <c r="C246" s="266"/>
      <c r="D246" s="245" t="s">
        <v>186</v>
      </c>
      <c r="E246" s="263">
        <f>SUM(E250:E251)</f>
        <v>71633</v>
      </c>
      <c r="F246" s="264">
        <f>SUM(F247:F254)</f>
        <v>825314</v>
      </c>
      <c r="G246" s="264">
        <f>SUM(G247:G254)</f>
        <v>-9035</v>
      </c>
      <c r="H246" s="264">
        <f>SUM(H247:H254)</f>
        <v>816279</v>
      </c>
      <c r="I246" s="236"/>
    </row>
    <row r="247" spans="1:9" ht="14.25" customHeight="1">
      <c r="A247" s="291"/>
      <c r="B247" s="277"/>
      <c r="C247" s="238" t="s">
        <v>265</v>
      </c>
      <c r="D247" s="119" t="s">
        <v>266</v>
      </c>
      <c r="E247" s="239"/>
      <c r="F247" s="240">
        <v>30</v>
      </c>
      <c r="G247" s="247">
        <v>6</v>
      </c>
      <c r="H247" s="240">
        <f>F247+G247</f>
        <v>36</v>
      </c>
      <c r="I247" s="236"/>
    </row>
    <row r="248" spans="1:9" ht="14.25" customHeight="1">
      <c r="A248" s="291"/>
      <c r="B248" s="277"/>
      <c r="C248" s="238" t="s">
        <v>260</v>
      </c>
      <c r="D248" s="798" t="s">
        <v>717</v>
      </c>
      <c r="E248" s="239"/>
      <c r="F248" s="240">
        <v>16000</v>
      </c>
      <c r="G248" s="247">
        <v>3238</v>
      </c>
      <c r="H248" s="240">
        <f>F248+G248</f>
        <v>19238</v>
      </c>
      <c r="I248" s="236"/>
    </row>
    <row r="249" spans="1:9" ht="14.25" customHeight="1">
      <c r="A249" s="291"/>
      <c r="B249" s="277"/>
      <c r="C249" s="238"/>
      <c r="D249" s="798" t="s">
        <v>718</v>
      </c>
      <c r="E249" s="239"/>
      <c r="F249" s="240"/>
      <c r="G249" s="247"/>
      <c r="H249" s="240"/>
      <c r="I249" s="236"/>
    </row>
    <row r="250" spans="1:9" ht="14.25" customHeight="1">
      <c r="A250" s="291"/>
      <c r="B250" s="256"/>
      <c r="C250" s="238" t="s">
        <v>250</v>
      </c>
      <c r="D250" s="119" t="s">
        <v>245</v>
      </c>
      <c r="E250" s="239">
        <v>62000</v>
      </c>
      <c r="F250" s="240">
        <v>45246</v>
      </c>
      <c r="G250" s="247">
        <v>-12279</v>
      </c>
      <c r="H250" s="240">
        <f>F250+G250</f>
        <v>32967</v>
      </c>
      <c r="I250" s="236"/>
    </row>
    <row r="251" spans="1:9" ht="14.25" customHeight="1">
      <c r="A251" s="291"/>
      <c r="B251" s="256"/>
      <c r="C251" s="238" t="s">
        <v>319</v>
      </c>
      <c r="D251" s="119" t="s">
        <v>320</v>
      </c>
      <c r="E251" s="239">
        <v>9633</v>
      </c>
      <c r="F251" s="240">
        <v>9226</v>
      </c>
      <c r="G251" s="247"/>
      <c r="H251" s="240">
        <f>F251+G251</f>
        <v>9226</v>
      </c>
      <c r="I251" s="236"/>
    </row>
    <row r="252" spans="1:9" ht="14.25" customHeight="1">
      <c r="A252" s="291"/>
      <c r="B252" s="256"/>
      <c r="C252" s="238" t="s">
        <v>293</v>
      </c>
      <c r="D252" s="119" t="s">
        <v>307</v>
      </c>
      <c r="E252" s="239"/>
      <c r="F252" s="240">
        <v>13000</v>
      </c>
      <c r="G252" s="247"/>
      <c r="H252" s="240">
        <f>F252+G252</f>
        <v>13000</v>
      </c>
      <c r="I252" s="236"/>
    </row>
    <row r="253" spans="1:9" ht="14.25" customHeight="1">
      <c r="A253" s="291"/>
      <c r="B253" s="256"/>
      <c r="C253" s="238" t="s">
        <v>267</v>
      </c>
      <c r="D253" s="119" t="s">
        <v>268</v>
      </c>
      <c r="E253" s="239"/>
      <c r="F253" s="240">
        <v>18812</v>
      </c>
      <c r="G253" s="247"/>
      <c r="H253" s="240">
        <f>F253+G253</f>
        <v>18812</v>
      </c>
      <c r="I253" s="236"/>
    </row>
    <row r="254" spans="1:9" ht="14.25" customHeight="1">
      <c r="A254" s="291"/>
      <c r="B254" s="256"/>
      <c r="C254" s="238" t="s">
        <v>757</v>
      </c>
      <c r="D254" s="119" t="s">
        <v>321</v>
      </c>
      <c r="E254" s="239"/>
      <c r="F254" s="240">
        <v>723000</v>
      </c>
      <c r="G254" s="247"/>
      <c r="H254" s="240">
        <f>F254+G254</f>
        <v>723000</v>
      </c>
      <c r="I254" s="236"/>
    </row>
    <row r="255" spans="1:9" ht="14.25" customHeight="1">
      <c r="A255" s="291"/>
      <c r="B255" s="256"/>
      <c r="C255" s="238"/>
      <c r="D255" s="119" t="s">
        <v>322</v>
      </c>
      <c r="E255" s="239"/>
      <c r="F255" s="240"/>
      <c r="G255" s="247"/>
      <c r="H255" s="240"/>
      <c r="I255" s="236"/>
    </row>
    <row r="256" spans="1:9" ht="13.5" customHeight="1" thickBot="1">
      <c r="A256" s="291"/>
      <c r="B256" s="256"/>
      <c r="C256" s="238"/>
      <c r="D256" s="119"/>
      <c r="E256" s="239"/>
      <c r="F256" s="240"/>
      <c r="G256" s="247"/>
      <c r="H256" s="240"/>
      <c r="I256" s="236"/>
    </row>
    <row r="257" spans="1:9" s="229" customFormat="1" ht="13.5" thickBot="1">
      <c r="A257" s="902" t="s">
        <v>328</v>
      </c>
      <c r="B257" s="903"/>
      <c r="C257" s="903"/>
      <c r="D257" s="904"/>
      <c r="E257" s="293" t="e">
        <f>E228+E214+E171+E156+E120+E103+E97+E64+E51+E32+E25+E21+E12+E91+E149+#REF!</f>
        <v>#REF!</v>
      </c>
      <c r="F257" s="294">
        <f>F228+F214+F171+F156+F120+F103+F97+F64+F51+F32+F25+F21+F12+F91+F149+F87</f>
        <v>36389259</v>
      </c>
      <c r="G257" s="294">
        <f>G228+G214+G171+G156+G120+G103+G97+G64+G51+G32+G25+G21+G12+G91+G149+G87</f>
        <v>242452</v>
      </c>
      <c r="H257" s="838">
        <f>H228+H214+H171+H156+H120+H103+H97+H64+H51+H32+H25+H21+H12+H91+H149+H87</f>
        <v>36631711</v>
      </c>
      <c r="I257" s="228"/>
    </row>
    <row r="258" spans="1:9" s="229" customFormat="1" ht="12.75">
      <c r="A258" s="295"/>
      <c r="B258" s="295"/>
      <c r="C258" s="295"/>
      <c r="D258" s="567" t="s">
        <v>329</v>
      </c>
      <c r="E258" s="581" t="e">
        <f>SUM(E259:E261)</f>
        <v>#REF!</v>
      </c>
      <c r="F258" s="581">
        <f>SUM(F259:F261)</f>
        <v>9307369</v>
      </c>
      <c r="G258" s="581">
        <f>SUM(G259:G261)</f>
        <v>245349</v>
      </c>
      <c r="H258" s="839">
        <f>SUM(H259:H261)</f>
        <v>9552718</v>
      </c>
      <c r="I258" s="228"/>
    </row>
    <row r="259" spans="1:9" s="229" customFormat="1" ht="12.75">
      <c r="A259" s="295"/>
      <c r="B259" s="295"/>
      <c r="C259" s="295"/>
      <c r="D259" s="568" t="s">
        <v>330</v>
      </c>
      <c r="E259" s="569" t="e">
        <f>E100+#REF!</f>
        <v>#REF!</v>
      </c>
      <c r="F259" s="569">
        <f>F100+F101</f>
        <v>3561796</v>
      </c>
      <c r="G259" s="569">
        <f>G100+G101</f>
        <v>10000</v>
      </c>
      <c r="H259" s="834">
        <f>H100+H101</f>
        <v>3571796</v>
      </c>
      <c r="I259" s="228"/>
    </row>
    <row r="260" spans="1:9" s="229" customFormat="1" ht="12.75">
      <c r="A260" s="295"/>
      <c r="B260" s="295"/>
      <c r="C260" s="295"/>
      <c r="D260" s="568" t="s">
        <v>331</v>
      </c>
      <c r="E260" s="569" t="e">
        <f>#REF!+#REF!+E39+E37+E34+E28+E18</f>
        <v>#REF!</v>
      </c>
      <c r="F260" s="569">
        <f>F39+F37+F34+F28+F18+F248+F251+F127+F72</f>
        <v>1698776</v>
      </c>
      <c r="G260" s="569">
        <f>G39+G37+G34+G28+G18+G248+G251+G127+G72</f>
        <v>-224252</v>
      </c>
      <c r="H260" s="833">
        <f>H39+H37+H34+H28+H18+H248+H251+H127+H72</f>
        <v>1474524</v>
      </c>
      <c r="I260" s="228"/>
    </row>
    <row r="261" spans="1:9" s="229" customFormat="1" ht="13.5" thickBot="1">
      <c r="A261" s="295"/>
      <c r="B261" s="295"/>
      <c r="C261" s="295"/>
      <c r="D261" s="568" t="s">
        <v>332</v>
      </c>
      <c r="E261" s="569" t="e">
        <f>E257-E259-E260-E262-E267-#REF!-E268</f>
        <v>#REF!</v>
      </c>
      <c r="F261" s="569">
        <f>F257-F259-F260-F262-F267-F268</f>
        <v>4046797</v>
      </c>
      <c r="G261" s="569">
        <f>G257-G259-G260-G262-G267-G268</f>
        <v>459601</v>
      </c>
      <c r="H261" s="833">
        <f>H257-H259-H260-H262-H267-H268</f>
        <v>4506398</v>
      </c>
      <c r="I261" s="228"/>
    </row>
    <row r="262" spans="1:9" ht="12.75">
      <c r="A262" s="90"/>
      <c r="B262" s="90"/>
      <c r="C262" s="747"/>
      <c r="D262" s="570" t="s">
        <v>333</v>
      </c>
      <c r="E262" s="571" t="e">
        <f>SUM(E263:E266)</f>
        <v>#REF!</v>
      </c>
      <c r="F262" s="571">
        <f>SUM(F263:F266)</f>
        <v>6971236</v>
      </c>
      <c r="G262" s="571">
        <f>SUM(G263:G266)</f>
        <v>-9178</v>
      </c>
      <c r="H262" s="835">
        <f>SUM(H263:H266)</f>
        <v>6962058</v>
      </c>
      <c r="I262" s="236"/>
    </row>
    <row r="263" spans="1:9" ht="12.75">
      <c r="A263" s="90"/>
      <c r="B263" s="90"/>
      <c r="C263" s="747"/>
      <c r="D263" s="572" t="s">
        <v>334</v>
      </c>
      <c r="E263" s="573" t="e">
        <f>E185+#REF!+#REF!+#REF!+#REF!+E175</f>
        <v>#REF!</v>
      </c>
      <c r="F263" s="573">
        <f>F185+F175+F239+F202+F143+F231</f>
        <v>3116021</v>
      </c>
      <c r="G263" s="573">
        <f>G185+G175+G239+G202+G143+G231</f>
        <v>0</v>
      </c>
      <c r="H263" s="573">
        <f>H185+H175+H239+H202+H143+H231</f>
        <v>3116021</v>
      </c>
      <c r="I263" s="272"/>
    </row>
    <row r="264" spans="1:9" ht="12.75">
      <c r="A264" s="90"/>
      <c r="B264" s="90"/>
      <c r="C264" s="747"/>
      <c r="D264" s="572" t="s">
        <v>335</v>
      </c>
      <c r="E264" s="574" t="e">
        <f>E191+E168+E81+E66+#REF!+E61+E57+E53+E41+E14+E216+E93+#REF!+#REF!</f>
        <v>#REF!</v>
      </c>
      <c r="F264" s="574">
        <f>F191+F168+F81+F66+F61+F57+F53+F41+F14+F216+F93+F200</f>
        <v>1284122</v>
      </c>
      <c r="G264" s="574">
        <f>G191+G168+G81+G66+G61+G57+G53+G41+G14+G216+G93+G200</f>
        <v>0</v>
      </c>
      <c r="H264" s="836">
        <f>H191+H168+H81+H66+H61+H57+H53+H41+H14+H216+H93+H200</f>
        <v>1284122</v>
      </c>
      <c r="I264" s="236"/>
    </row>
    <row r="265" spans="1:9" ht="12.75">
      <c r="A265" s="90"/>
      <c r="B265" s="90"/>
      <c r="C265" s="747"/>
      <c r="D265" s="572" t="s">
        <v>336</v>
      </c>
      <c r="E265" s="574" t="e">
        <f>E195+E163+E177+#REF!+#REF!+#REF!+#REF!+#REF!+#REF!+#REF!+#REF!+#REF!+E241+E243+E151+E153+#REF!</f>
        <v>#REF!</v>
      </c>
      <c r="F265" s="574">
        <f>F195+F163+F177+F241+F243+F151+F153+F211+F158+F135</f>
        <v>1269807</v>
      </c>
      <c r="G265" s="574">
        <f>G195+G163+G177+G241+G243+G151+G153+G211+G158+G135</f>
        <v>-9178</v>
      </c>
      <c r="H265" s="574">
        <f>H195+H163+H177+H241+H243+H151+H153+H211+H158+H135</f>
        <v>1260629</v>
      </c>
      <c r="I265" s="236"/>
    </row>
    <row r="266" spans="1:9" ht="13.5" thickBot="1">
      <c r="A266" s="90"/>
      <c r="B266" s="90"/>
      <c r="C266" s="747"/>
      <c r="D266" s="575" t="s">
        <v>337</v>
      </c>
      <c r="E266" s="576" t="e">
        <f>#REF!+#REF!+#REF!+E223+E225</f>
        <v>#REF!</v>
      </c>
      <c r="F266" s="576">
        <f>F223+F225+F209+F254</f>
        <v>1301286</v>
      </c>
      <c r="G266" s="576">
        <f>G223+G225+G209+G254</f>
        <v>0</v>
      </c>
      <c r="H266" s="840">
        <f>H223+H225+H209+H254</f>
        <v>1301286</v>
      </c>
      <c r="I266" s="236"/>
    </row>
    <row r="267" spans="1:9" ht="13.5" thickBot="1">
      <c r="A267" s="90"/>
      <c r="B267" s="90"/>
      <c r="C267" s="747"/>
      <c r="D267" s="577" t="s">
        <v>338</v>
      </c>
      <c r="E267" s="578" t="e">
        <f>E105+#REF!+E112+E118</f>
        <v>#REF!</v>
      </c>
      <c r="F267" s="578">
        <f>F105+F112+F118+F107</f>
        <v>19893594</v>
      </c>
      <c r="G267" s="578">
        <f>G105+G112+G118+G107</f>
        <v>0</v>
      </c>
      <c r="H267" s="578">
        <f>H105+H112+H118+H107</f>
        <v>19893594</v>
      </c>
      <c r="I267" s="236"/>
    </row>
    <row r="268" spans="1:8" ht="13.5" thickBot="1">
      <c r="A268" s="108"/>
      <c r="B268" s="108"/>
      <c r="C268" s="129"/>
      <c r="D268" s="579" t="s">
        <v>367</v>
      </c>
      <c r="E268" s="580" t="e">
        <f>#REF!+E23</f>
        <v>#REF!</v>
      </c>
      <c r="F268" s="580">
        <f>F23+F139+F45+F47+F133</f>
        <v>217060</v>
      </c>
      <c r="G268" s="580">
        <f>G23+G139+G45+G47+G133</f>
        <v>6281</v>
      </c>
      <c r="H268" s="841">
        <f>H23+H139+H45+H47+H133</f>
        <v>223341</v>
      </c>
    </row>
    <row r="269" spans="1:5" ht="12.75">
      <c r="A269" s="92"/>
      <c r="B269" s="92"/>
      <c r="C269" s="134"/>
      <c r="D269" s="92"/>
      <c r="E269" s="92"/>
    </row>
    <row r="270" spans="1:5" ht="12.75">
      <c r="A270" s="92"/>
      <c r="B270" s="92"/>
      <c r="C270" s="134"/>
      <c r="D270" s="92"/>
      <c r="E270" s="92"/>
    </row>
    <row r="271" spans="1:5" ht="12.75">
      <c r="A271" s="92"/>
      <c r="B271" s="92"/>
      <c r="C271" s="134"/>
      <c r="D271" s="92"/>
      <c r="E271" s="91"/>
    </row>
    <row r="272" spans="1:5" ht="12.75">
      <c r="A272" s="92"/>
      <c r="B272" s="92"/>
      <c r="C272" s="134"/>
      <c r="D272" s="92"/>
      <c r="E272" s="92"/>
    </row>
    <row r="273" spans="1:5" ht="12.75">
      <c r="A273" s="92"/>
      <c r="B273" s="92"/>
      <c r="C273" s="134"/>
      <c r="D273" s="92"/>
      <c r="E273" s="92">
        <v>31274520</v>
      </c>
    </row>
    <row r="274" spans="1:5" ht="12.75">
      <c r="A274" s="92"/>
      <c r="B274" s="92"/>
      <c r="C274" s="134"/>
      <c r="D274" s="92"/>
      <c r="E274" s="92"/>
    </row>
    <row r="275" spans="1:5" ht="12.75">
      <c r="A275" s="92"/>
      <c r="B275" s="92"/>
      <c r="C275" s="134"/>
      <c r="D275" s="92"/>
      <c r="E275" s="92"/>
    </row>
    <row r="276" spans="1:5" ht="12.75">
      <c r="A276" s="92"/>
      <c r="B276" s="92"/>
      <c r="C276" s="134"/>
      <c r="D276" s="92"/>
      <c r="E276" s="92"/>
    </row>
    <row r="277" spans="1:5" ht="12.75">
      <c r="A277" s="92"/>
      <c r="B277" s="92"/>
      <c r="C277" s="134"/>
      <c r="D277" s="92"/>
      <c r="E277" s="92"/>
    </row>
    <row r="278" spans="1:5" ht="12.75">
      <c r="A278" s="92"/>
      <c r="B278" s="92"/>
      <c r="C278" s="134"/>
      <c r="D278" s="92"/>
      <c r="E278" s="92"/>
    </row>
    <row r="279" spans="1:5" ht="12.75">
      <c r="A279" s="92"/>
      <c r="B279" s="92"/>
      <c r="C279" s="134"/>
      <c r="D279" s="92"/>
      <c r="E279" s="92"/>
    </row>
    <row r="280" spans="1:5" ht="12.75">
      <c r="A280" s="92"/>
      <c r="B280" s="92"/>
      <c r="C280" s="134"/>
      <c r="D280" s="92"/>
      <c r="E280" s="92"/>
    </row>
    <row r="281" spans="1:5" ht="12.75">
      <c r="A281" s="92"/>
      <c r="B281" s="92"/>
      <c r="C281" s="134"/>
      <c r="D281" s="92"/>
      <c r="E281" s="92"/>
    </row>
    <row r="282" spans="1:5" ht="12.75">
      <c r="A282" s="92"/>
      <c r="B282" s="92"/>
      <c r="C282" s="134"/>
      <c r="D282" s="92"/>
      <c r="E282" s="92"/>
    </row>
    <row r="283" spans="1:5" ht="12.75">
      <c r="A283" s="92"/>
      <c r="B283" s="92"/>
      <c r="C283" s="134"/>
      <c r="D283" s="92"/>
      <c r="E283" s="92"/>
    </row>
    <row r="284" spans="1:5" ht="12.75">
      <c r="A284" s="92"/>
      <c r="B284" s="92"/>
      <c r="C284" s="134"/>
      <c r="D284" s="92"/>
      <c r="E284" s="92"/>
    </row>
    <row r="285" spans="1:5" ht="12.75">
      <c r="A285" s="92"/>
      <c r="B285" s="92"/>
      <c r="C285" s="134"/>
      <c r="D285" s="92"/>
      <c r="E285" s="92"/>
    </row>
    <row r="286" spans="1:5" ht="12.75">
      <c r="A286" s="92"/>
      <c r="B286" s="92"/>
      <c r="C286" s="134"/>
      <c r="D286" s="92"/>
      <c r="E286" s="92"/>
    </row>
    <row r="287" spans="1:5" ht="12.75">
      <c r="A287" s="92"/>
      <c r="B287" s="92"/>
      <c r="C287" s="134"/>
      <c r="D287" s="92"/>
      <c r="E287" s="92"/>
    </row>
    <row r="288" spans="1:5" ht="12.75">
      <c r="A288" s="92"/>
      <c r="B288" s="92"/>
      <c r="C288" s="134"/>
      <c r="D288" s="92"/>
      <c r="E288" s="92"/>
    </row>
    <row r="289" spans="1:5" ht="12.75">
      <c r="A289" s="92"/>
      <c r="B289" s="92"/>
      <c r="C289" s="134"/>
      <c r="D289" s="92"/>
      <c r="E289" s="92"/>
    </row>
    <row r="290" spans="1:5" ht="12.75">
      <c r="A290" s="92"/>
      <c r="B290" s="92"/>
      <c r="C290" s="134"/>
      <c r="D290" s="92"/>
      <c r="E290" s="92"/>
    </row>
    <row r="291" spans="1:5" ht="12.75">
      <c r="A291" s="92"/>
      <c r="B291" s="92"/>
      <c r="C291" s="134"/>
      <c r="D291" s="92"/>
      <c r="E291" s="92"/>
    </row>
    <row r="292" spans="1:5" ht="12.75">
      <c r="A292" s="92"/>
      <c r="B292" s="92"/>
      <c r="C292" s="134"/>
      <c r="D292" s="92"/>
      <c r="E292" s="92"/>
    </row>
    <row r="293" spans="1:5" ht="12.75">
      <c r="A293" s="92"/>
      <c r="B293" s="92"/>
      <c r="C293" s="134"/>
      <c r="D293" s="92"/>
      <c r="E293" s="92"/>
    </row>
    <row r="294" spans="1:5" ht="12.75">
      <c r="A294" s="92"/>
      <c r="B294" s="92"/>
      <c r="C294" s="134"/>
      <c r="D294" s="92"/>
      <c r="E294" s="92"/>
    </row>
    <row r="295" spans="1:5" ht="12.75">
      <c r="A295" s="92"/>
      <c r="B295" s="92"/>
      <c r="C295" s="134"/>
      <c r="D295" s="92"/>
      <c r="E295" s="92"/>
    </row>
    <row r="296" spans="1:5" ht="12.75">
      <c r="A296" s="92"/>
      <c r="B296" s="92"/>
      <c r="C296" s="134"/>
      <c r="D296" s="92"/>
      <c r="E296" s="92"/>
    </row>
    <row r="297" spans="1:5" ht="12.75">
      <c r="A297" s="92"/>
      <c r="B297" s="92"/>
      <c r="C297" s="134"/>
      <c r="D297" s="92"/>
      <c r="E297" s="92"/>
    </row>
    <row r="298" spans="1:5" ht="12.75">
      <c r="A298" s="92"/>
      <c r="B298" s="92"/>
      <c r="C298" s="134"/>
      <c r="D298" s="92"/>
      <c r="E298" s="92"/>
    </row>
    <row r="299" spans="1:5" ht="12.75">
      <c r="A299" s="92"/>
      <c r="B299" s="92"/>
      <c r="C299" s="134"/>
      <c r="D299" s="92"/>
      <c r="E299" s="92"/>
    </row>
    <row r="300" spans="1:5" ht="12.75">
      <c r="A300" s="92"/>
      <c r="B300" s="92"/>
      <c r="C300" s="134"/>
      <c r="D300" s="92"/>
      <c r="E300" s="92"/>
    </row>
    <row r="301" spans="1:5" ht="12.75">
      <c r="A301" s="92"/>
      <c r="B301" s="92"/>
      <c r="C301" s="134"/>
      <c r="D301" s="92"/>
      <c r="E301" s="92"/>
    </row>
    <row r="302" spans="1:5" ht="12.75">
      <c r="A302" s="92"/>
      <c r="B302" s="92"/>
      <c r="C302" s="134"/>
      <c r="D302" s="92"/>
      <c r="E302" s="92"/>
    </row>
    <row r="303" spans="1:5" ht="12.75">
      <c r="A303" s="92"/>
      <c r="B303" s="92"/>
      <c r="C303" s="134"/>
      <c r="D303" s="92"/>
      <c r="E303" s="92"/>
    </row>
    <row r="304" spans="1:5" ht="12.75">
      <c r="A304" s="92"/>
      <c r="B304" s="92"/>
      <c r="C304" s="134"/>
      <c r="D304" s="92"/>
      <c r="E304" s="92"/>
    </row>
    <row r="305" spans="1:5" ht="12.75">
      <c r="A305" s="92"/>
      <c r="B305" s="92"/>
      <c r="C305" s="134"/>
      <c r="D305" s="92"/>
      <c r="E305" s="92"/>
    </row>
    <row r="306" spans="1:5" ht="12.75">
      <c r="A306" s="92"/>
      <c r="B306" s="92"/>
      <c r="C306" s="134"/>
      <c r="D306" s="92"/>
      <c r="E306" s="92"/>
    </row>
    <row r="307" spans="1:5" ht="12.75">
      <c r="A307" s="92"/>
      <c r="B307" s="92"/>
      <c r="C307" s="134"/>
      <c r="D307" s="92"/>
      <c r="E307" s="92"/>
    </row>
    <row r="308" spans="1:5" ht="12.75">
      <c r="A308" s="92"/>
      <c r="B308" s="92"/>
      <c r="C308" s="134"/>
      <c r="D308" s="92"/>
      <c r="E308" s="92"/>
    </row>
    <row r="309" spans="1:5" ht="12.75">
      <c r="A309" s="92"/>
      <c r="B309" s="92"/>
      <c r="C309" s="134"/>
      <c r="D309" s="92"/>
      <c r="E309" s="92"/>
    </row>
    <row r="310" spans="1:5" ht="12.75">
      <c r="A310" s="92"/>
      <c r="B310" s="92"/>
      <c r="C310" s="134"/>
      <c r="D310" s="92"/>
      <c r="E310" s="92"/>
    </row>
    <row r="311" spans="1:5" ht="12.75">
      <c r="A311" s="92"/>
      <c r="B311" s="92"/>
      <c r="C311" s="134"/>
      <c r="D311" s="92"/>
      <c r="E311" s="92"/>
    </row>
    <row r="312" spans="1:5" ht="12.75">
      <c r="A312" s="92"/>
      <c r="B312" s="92"/>
      <c r="C312" s="134"/>
      <c r="D312" s="92"/>
      <c r="E312" s="92"/>
    </row>
    <row r="313" spans="1:5" ht="12.75">
      <c r="A313" s="92"/>
      <c r="B313" s="92"/>
      <c r="C313" s="134"/>
      <c r="D313" s="92"/>
      <c r="E313" s="92"/>
    </row>
    <row r="314" spans="1:5" ht="12.75">
      <c r="A314" s="92"/>
      <c r="B314" s="92"/>
      <c r="C314" s="134"/>
      <c r="D314" s="92"/>
      <c r="E314" s="92"/>
    </row>
    <row r="315" spans="1:5" ht="12.75">
      <c r="A315" s="92"/>
      <c r="B315" s="92"/>
      <c r="C315" s="134"/>
      <c r="D315" s="92"/>
      <c r="E315" s="92"/>
    </row>
    <row r="316" spans="1:5" ht="12.75">
      <c r="A316" s="92"/>
      <c r="B316" s="92"/>
      <c r="C316" s="134"/>
      <c r="D316" s="92"/>
      <c r="E316" s="92"/>
    </row>
    <row r="317" spans="1:5" ht="12.75">
      <c r="A317" s="92"/>
      <c r="B317" s="92"/>
      <c r="C317" s="134"/>
      <c r="D317" s="92"/>
      <c r="E317" s="92"/>
    </row>
    <row r="318" spans="1:5" ht="12.75">
      <c r="A318" s="92"/>
      <c r="B318" s="92"/>
      <c r="C318" s="134"/>
      <c r="D318" s="92"/>
      <c r="E318" s="92"/>
    </row>
    <row r="319" spans="1:5" ht="12.75">
      <c r="A319" s="92"/>
      <c r="B319" s="92"/>
      <c r="C319" s="134"/>
      <c r="D319" s="92"/>
      <c r="E319" s="92"/>
    </row>
    <row r="320" spans="1:5" ht="12.75">
      <c r="A320" s="92"/>
      <c r="B320" s="92"/>
      <c r="C320" s="134"/>
      <c r="D320" s="92"/>
      <c r="E320" s="92"/>
    </row>
    <row r="321" spans="1:5" ht="12.75">
      <c r="A321" s="92"/>
      <c r="B321" s="92"/>
      <c r="C321" s="134"/>
      <c r="D321" s="92"/>
      <c r="E321" s="92"/>
    </row>
    <row r="322" spans="1:5" ht="12.75">
      <c r="A322" s="92"/>
      <c r="B322" s="92"/>
      <c r="C322" s="134"/>
      <c r="D322" s="92"/>
      <c r="E322" s="92"/>
    </row>
    <row r="323" spans="1:5" ht="12.75">
      <c r="A323" s="92"/>
      <c r="B323" s="92"/>
      <c r="C323" s="134"/>
      <c r="D323" s="92"/>
      <c r="E323" s="92"/>
    </row>
    <row r="324" spans="1:5" ht="12.75">
      <c r="A324" s="92"/>
      <c r="B324" s="92"/>
      <c r="C324" s="134"/>
      <c r="D324" s="92"/>
      <c r="E324" s="92"/>
    </row>
    <row r="325" spans="1:5" ht="12.75">
      <c r="A325" s="92"/>
      <c r="B325" s="92"/>
      <c r="C325" s="134"/>
      <c r="D325" s="92"/>
      <c r="E325" s="92"/>
    </row>
    <row r="326" spans="1:5" ht="12.75">
      <c r="A326" s="92"/>
      <c r="B326" s="92"/>
      <c r="C326" s="134"/>
      <c r="D326" s="92"/>
      <c r="E326" s="92"/>
    </row>
    <row r="327" spans="1:5" ht="12.75">
      <c r="A327" s="92"/>
      <c r="B327" s="92"/>
      <c r="C327" s="134"/>
      <c r="D327" s="92"/>
      <c r="E327" s="92"/>
    </row>
    <row r="328" spans="1:5" ht="12.75">
      <c r="A328" s="92"/>
      <c r="B328" s="92"/>
      <c r="C328" s="134"/>
      <c r="D328" s="92"/>
      <c r="E328" s="92"/>
    </row>
    <row r="329" spans="1:5" ht="12.75">
      <c r="A329" s="92"/>
      <c r="B329" s="92"/>
      <c r="C329" s="134"/>
      <c r="D329" s="92"/>
      <c r="E329" s="92"/>
    </row>
    <row r="330" spans="1:5" ht="12.75">
      <c r="A330" s="92"/>
      <c r="B330" s="92"/>
      <c r="C330" s="134"/>
      <c r="D330" s="92"/>
      <c r="E330" s="92"/>
    </row>
    <row r="331" spans="1:5" ht="12.75">
      <c r="A331" s="92"/>
      <c r="B331" s="92"/>
      <c r="C331" s="134"/>
      <c r="D331" s="92"/>
      <c r="E331" s="92"/>
    </row>
    <row r="332" spans="1:5" ht="12.75">
      <c r="A332" s="92"/>
      <c r="B332" s="92"/>
      <c r="C332" s="134"/>
      <c r="D332" s="92"/>
      <c r="E332" s="92"/>
    </row>
    <row r="333" spans="1:5" ht="12.75">
      <c r="A333" s="92"/>
      <c r="B333" s="92"/>
      <c r="C333" s="134"/>
      <c r="D333" s="92"/>
      <c r="E333" s="92"/>
    </row>
    <row r="334" spans="1:5" ht="12.75">
      <c r="A334" s="92"/>
      <c r="B334" s="92"/>
      <c r="C334" s="134"/>
      <c r="D334" s="92"/>
      <c r="E334" s="92"/>
    </row>
    <row r="335" spans="1:5" ht="12.75">
      <c r="A335" s="92"/>
      <c r="B335" s="92"/>
      <c r="C335" s="134"/>
      <c r="D335" s="92"/>
      <c r="E335" s="92"/>
    </row>
    <row r="336" spans="1:5" ht="12.75">
      <c r="A336" s="92"/>
      <c r="B336" s="92"/>
      <c r="C336" s="134"/>
      <c r="D336" s="92"/>
      <c r="E336" s="92"/>
    </row>
    <row r="337" spans="1:5" ht="12.75">
      <c r="A337" s="92"/>
      <c r="B337" s="92"/>
      <c r="C337" s="134"/>
      <c r="D337" s="92"/>
      <c r="E337" s="92"/>
    </row>
    <row r="338" spans="1:5" ht="12.75">
      <c r="A338" s="92"/>
      <c r="B338" s="92"/>
      <c r="C338" s="134"/>
      <c r="D338" s="92"/>
      <c r="E338" s="92"/>
    </row>
    <row r="339" spans="1:5" ht="12.75">
      <c r="A339" s="92"/>
      <c r="B339" s="92"/>
      <c r="C339" s="134"/>
      <c r="D339" s="92"/>
      <c r="E339" s="92"/>
    </row>
    <row r="340" spans="1:5" ht="12.75">
      <c r="A340" s="92"/>
      <c r="B340" s="92"/>
      <c r="C340" s="134"/>
      <c r="D340" s="92"/>
      <c r="E340" s="92"/>
    </row>
    <row r="341" spans="1:5" ht="12.75">
      <c r="A341" s="92"/>
      <c r="B341" s="92"/>
      <c r="C341" s="134"/>
      <c r="D341" s="92"/>
      <c r="E341" s="92"/>
    </row>
    <row r="342" spans="1:5" ht="12.75">
      <c r="A342" s="92"/>
      <c r="B342" s="92"/>
      <c r="C342" s="134"/>
      <c r="D342" s="92"/>
      <c r="E342" s="92"/>
    </row>
    <row r="343" spans="1:5" ht="12.75">
      <c r="A343" s="92"/>
      <c r="B343" s="92"/>
      <c r="C343" s="134"/>
      <c r="D343" s="92"/>
      <c r="E343" s="92"/>
    </row>
    <row r="344" spans="1:5" ht="12.75">
      <c r="A344" s="92"/>
      <c r="B344" s="92"/>
      <c r="C344" s="134"/>
      <c r="D344" s="92"/>
      <c r="E344" s="92"/>
    </row>
    <row r="345" spans="1:5" ht="12.75">
      <c r="A345" s="92"/>
      <c r="B345" s="92"/>
      <c r="C345" s="134"/>
      <c r="D345" s="92"/>
      <c r="E345" s="92"/>
    </row>
    <row r="346" spans="1:5" ht="12.75">
      <c r="A346" s="92"/>
      <c r="B346" s="92"/>
      <c r="C346" s="134"/>
      <c r="D346" s="92"/>
      <c r="E346" s="92"/>
    </row>
    <row r="347" spans="1:5" ht="12.75">
      <c r="A347" s="92"/>
      <c r="B347" s="92"/>
      <c r="C347" s="134"/>
      <c r="D347" s="92"/>
      <c r="E347" s="92"/>
    </row>
    <row r="348" spans="1:5" ht="12.75">
      <c r="A348" s="92"/>
      <c r="B348" s="92"/>
      <c r="C348" s="134"/>
      <c r="D348" s="92"/>
      <c r="E348" s="92"/>
    </row>
    <row r="349" spans="1:5" ht="12.75">
      <c r="A349" s="92"/>
      <c r="B349" s="92"/>
      <c r="C349" s="134"/>
      <c r="D349" s="92"/>
      <c r="E349" s="92"/>
    </row>
    <row r="350" spans="1:5" ht="12.75">
      <c r="A350" s="92"/>
      <c r="B350" s="92"/>
      <c r="C350" s="134"/>
      <c r="D350" s="92"/>
      <c r="E350" s="92"/>
    </row>
    <row r="351" spans="1:5" ht="12.75">
      <c r="A351" s="92"/>
      <c r="B351" s="92"/>
      <c r="C351" s="134"/>
      <c r="D351" s="92"/>
      <c r="E351" s="92"/>
    </row>
    <row r="352" spans="1:5" ht="12.75">
      <c r="A352" s="92"/>
      <c r="B352" s="92"/>
      <c r="C352" s="134"/>
      <c r="D352" s="92"/>
      <c r="E352" s="92"/>
    </row>
    <row r="353" spans="1:5" ht="12.75">
      <c r="A353" s="92"/>
      <c r="B353" s="92"/>
      <c r="C353" s="134"/>
      <c r="D353" s="92"/>
      <c r="E353" s="92"/>
    </row>
    <row r="354" spans="1:5" ht="12.75">
      <c r="A354" s="92"/>
      <c r="B354" s="92"/>
      <c r="C354" s="134"/>
      <c r="D354" s="92"/>
      <c r="E354" s="92"/>
    </row>
    <row r="355" spans="1:5" ht="12.75">
      <c r="A355" s="92"/>
      <c r="B355" s="92"/>
      <c r="C355" s="134"/>
      <c r="D355" s="92"/>
      <c r="E355" s="92"/>
    </row>
    <row r="356" spans="1:5" ht="12.75">
      <c r="A356" s="92"/>
      <c r="B356" s="92"/>
      <c r="C356" s="134"/>
      <c r="D356" s="92"/>
      <c r="E356" s="92"/>
    </row>
    <row r="357" spans="1:5" ht="12.75">
      <c r="A357" s="92"/>
      <c r="B357" s="92"/>
      <c r="C357" s="134"/>
      <c r="D357" s="92"/>
      <c r="E357" s="92"/>
    </row>
    <row r="358" spans="1:5" ht="12.75">
      <c r="A358" s="92"/>
      <c r="B358" s="92"/>
      <c r="C358" s="134"/>
      <c r="D358" s="92"/>
      <c r="E358" s="92"/>
    </row>
    <row r="359" spans="1:5" ht="12.75">
      <c r="A359" s="92"/>
      <c r="B359" s="92"/>
      <c r="C359" s="134"/>
      <c r="D359" s="92"/>
      <c r="E359" s="92"/>
    </row>
    <row r="360" spans="1:5" ht="12.75">
      <c r="A360" s="92"/>
      <c r="B360" s="92"/>
      <c r="C360" s="134"/>
      <c r="D360" s="92"/>
      <c r="E360" s="92"/>
    </row>
    <row r="361" spans="1:5" ht="12.75">
      <c r="A361" s="92"/>
      <c r="B361" s="92"/>
      <c r="C361" s="134"/>
      <c r="D361" s="92"/>
      <c r="E361" s="92"/>
    </row>
    <row r="362" spans="1:5" ht="12.75">
      <c r="A362" s="92"/>
      <c r="B362" s="92"/>
      <c r="C362" s="134"/>
      <c r="D362" s="92"/>
      <c r="E362" s="92"/>
    </row>
    <row r="363" spans="1:5" ht="12.75">
      <c r="A363" s="92"/>
      <c r="B363" s="92"/>
      <c r="C363" s="134"/>
      <c r="D363" s="92"/>
      <c r="E363" s="92"/>
    </row>
    <row r="364" spans="1:5" ht="12.75">
      <c r="A364" s="92"/>
      <c r="B364" s="92"/>
      <c r="C364" s="134"/>
      <c r="D364" s="92"/>
      <c r="E364" s="92"/>
    </row>
    <row r="365" spans="1:5" ht="12.75">
      <c r="A365" s="92"/>
      <c r="B365" s="92"/>
      <c r="C365" s="134"/>
      <c r="D365" s="92"/>
      <c r="E365" s="92"/>
    </row>
    <row r="366" spans="1:5" ht="12.75">
      <c r="A366" s="92"/>
      <c r="B366" s="92"/>
      <c r="C366" s="134"/>
      <c r="D366" s="92"/>
      <c r="E366" s="92"/>
    </row>
    <row r="367" spans="1:5" ht="12.75">
      <c r="A367" s="92"/>
      <c r="B367" s="92"/>
      <c r="C367" s="134"/>
      <c r="D367" s="92"/>
      <c r="E367" s="92"/>
    </row>
    <row r="368" spans="1:5" ht="12.75">
      <c r="A368" s="92"/>
      <c r="B368" s="92"/>
      <c r="C368" s="134"/>
      <c r="D368" s="92"/>
      <c r="E368" s="92"/>
    </row>
    <row r="369" spans="1:5" ht="12.75">
      <c r="A369" s="92"/>
      <c r="B369" s="92"/>
      <c r="C369" s="134"/>
      <c r="D369" s="92"/>
      <c r="E369" s="92"/>
    </row>
    <row r="370" spans="1:5" ht="12.75">
      <c r="A370" s="92"/>
      <c r="B370" s="92"/>
      <c r="C370" s="134"/>
      <c r="D370" s="92"/>
      <c r="E370" s="92"/>
    </row>
    <row r="371" spans="1:5" ht="12.75">
      <c r="A371" s="92"/>
      <c r="B371" s="92"/>
      <c r="C371" s="134"/>
      <c r="D371" s="92"/>
      <c r="E371" s="92"/>
    </row>
    <row r="372" spans="1:5" ht="12.75">
      <c r="A372" s="92"/>
      <c r="B372" s="92"/>
      <c r="C372" s="134"/>
      <c r="D372" s="92"/>
      <c r="E372" s="92"/>
    </row>
    <row r="373" spans="1:5" ht="12.75">
      <c r="A373" s="92"/>
      <c r="B373" s="92"/>
      <c r="C373" s="134"/>
      <c r="D373" s="92"/>
      <c r="E373" s="92"/>
    </row>
    <row r="374" spans="1:5" ht="12.75">
      <c r="A374" s="92"/>
      <c r="B374" s="92"/>
      <c r="C374" s="134"/>
      <c r="D374" s="92"/>
      <c r="E374" s="92"/>
    </row>
    <row r="375" spans="1:5" ht="12.75">
      <c r="A375" s="92"/>
      <c r="B375" s="92"/>
      <c r="C375" s="134"/>
      <c r="D375" s="92"/>
      <c r="E375" s="92"/>
    </row>
    <row r="376" spans="1:5" ht="12.75">
      <c r="A376" s="92"/>
      <c r="B376" s="92"/>
      <c r="C376" s="134"/>
      <c r="D376" s="92"/>
      <c r="E376" s="92"/>
    </row>
    <row r="377" spans="1:5" ht="12.75">
      <c r="A377" s="92"/>
      <c r="B377" s="92"/>
      <c r="C377" s="134"/>
      <c r="D377" s="92"/>
      <c r="E377" s="92"/>
    </row>
    <row r="378" spans="1:5" ht="12.75">
      <c r="A378" s="92"/>
      <c r="B378" s="92"/>
      <c r="C378" s="134"/>
      <c r="D378" s="92"/>
      <c r="E378" s="92"/>
    </row>
    <row r="379" spans="1:5" ht="12.75">
      <c r="A379" s="92"/>
      <c r="B379" s="92"/>
      <c r="C379" s="134"/>
      <c r="D379" s="92"/>
      <c r="E379" s="92"/>
    </row>
    <row r="380" spans="1:5" ht="12.75">
      <c r="A380" s="92"/>
      <c r="B380" s="92"/>
      <c r="C380" s="134"/>
      <c r="D380" s="92"/>
      <c r="E380" s="92"/>
    </row>
    <row r="381" spans="1:5" ht="12.75">
      <c r="A381" s="92"/>
      <c r="B381" s="92"/>
      <c r="C381" s="134"/>
      <c r="D381" s="92"/>
      <c r="E381" s="92"/>
    </row>
    <row r="382" spans="1:5" ht="12.75">
      <c r="A382" s="92"/>
      <c r="B382" s="92"/>
      <c r="C382" s="134"/>
      <c r="D382" s="92"/>
      <c r="E382" s="92"/>
    </row>
    <row r="383" spans="1:5" ht="12.75">
      <c r="A383" s="92"/>
      <c r="B383" s="92"/>
      <c r="C383" s="134"/>
      <c r="D383" s="92"/>
      <c r="E383" s="92"/>
    </row>
    <row r="384" spans="1:5" ht="12.75">
      <c r="A384" s="92"/>
      <c r="B384" s="92"/>
      <c r="C384" s="134"/>
      <c r="D384" s="92"/>
      <c r="E384" s="92"/>
    </row>
    <row r="385" spans="1:5" ht="12.75">
      <c r="A385" s="92"/>
      <c r="B385" s="92"/>
      <c r="C385" s="134"/>
      <c r="D385" s="92"/>
      <c r="E385" s="92"/>
    </row>
    <row r="386" spans="1:5" ht="12.75">
      <c r="A386" s="92"/>
      <c r="B386" s="92"/>
      <c r="C386" s="134"/>
      <c r="D386" s="92"/>
      <c r="E386" s="92"/>
    </row>
    <row r="387" spans="1:5" ht="12.75">
      <c r="A387" s="92"/>
      <c r="B387" s="92"/>
      <c r="C387" s="134"/>
      <c r="D387" s="92"/>
      <c r="E387" s="92"/>
    </row>
    <row r="388" spans="1:5" ht="12.75">
      <c r="A388" s="92"/>
      <c r="B388" s="92"/>
      <c r="C388" s="134"/>
      <c r="D388" s="92"/>
      <c r="E388" s="92"/>
    </row>
    <row r="389" spans="1:5" ht="12.75">
      <c r="A389" s="92"/>
      <c r="B389" s="92"/>
      <c r="C389" s="134"/>
      <c r="D389" s="92"/>
      <c r="E389" s="92"/>
    </row>
    <row r="390" spans="1:5" ht="12.75">
      <c r="A390" s="92"/>
      <c r="B390" s="92"/>
      <c r="C390" s="134"/>
      <c r="D390" s="92"/>
      <c r="E390" s="92"/>
    </row>
    <row r="391" spans="1:5" ht="12.75">
      <c r="A391" s="92"/>
      <c r="B391" s="92"/>
      <c r="C391" s="134"/>
      <c r="D391" s="92"/>
      <c r="E391" s="92"/>
    </row>
    <row r="392" spans="1:5" ht="12.75">
      <c r="A392" s="92"/>
      <c r="B392" s="92"/>
      <c r="C392" s="134"/>
      <c r="D392" s="92"/>
      <c r="E392" s="92"/>
    </row>
    <row r="393" spans="1:5" ht="12.75">
      <c r="A393" s="92"/>
      <c r="B393" s="92"/>
      <c r="C393" s="134"/>
      <c r="D393" s="92"/>
      <c r="E393" s="92"/>
    </row>
    <row r="394" spans="1:5" ht="12.75">
      <c r="A394" s="92"/>
      <c r="B394" s="92"/>
      <c r="C394" s="134"/>
      <c r="D394" s="92"/>
      <c r="E394" s="92"/>
    </row>
    <row r="395" spans="1:5" ht="12.75">
      <c r="A395" s="92"/>
      <c r="B395" s="92"/>
      <c r="C395" s="134"/>
      <c r="D395" s="92"/>
      <c r="E395" s="92"/>
    </row>
    <row r="396" spans="1:5" ht="12.75">
      <c r="A396" s="92"/>
      <c r="B396" s="92"/>
      <c r="C396" s="134"/>
      <c r="D396" s="92"/>
      <c r="E396" s="92"/>
    </row>
    <row r="397" spans="1:5" ht="12.75">
      <c r="A397" s="92"/>
      <c r="B397" s="92"/>
      <c r="C397" s="134"/>
      <c r="D397" s="92"/>
      <c r="E397" s="92"/>
    </row>
    <row r="398" spans="1:5" ht="12.75">
      <c r="A398" s="92"/>
      <c r="B398" s="92"/>
      <c r="C398" s="134"/>
      <c r="D398" s="92"/>
      <c r="E398" s="92"/>
    </row>
    <row r="399" spans="1:5" ht="12.75">
      <c r="A399" s="92"/>
      <c r="B399" s="92"/>
      <c r="C399" s="134"/>
      <c r="D399" s="92"/>
      <c r="E399" s="92"/>
    </row>
    <row r="400" spans="1:5" ht="12.75">
      <c r="A400" s="92"/>
      <c r="B400" s="92"/>
      <c r="C400" s="134"/>
      <c r="D400" s="92"/>
      <c r="E400" s="92"/>
    </row>
    <row r="401" spans="1:5" ht="12.75">
      <c r="A401" s="92"/>
      <c r="B401" s="92"/>
      <c r="C401" s="134"/>
      <c r="D401" s="92"/>
      <c r="E401" s="92"/>
    </row>
    <row r="402" spans="1:5" ht="12.75">
      <c r="A402" s="92"/>
      <c r="B402" s="92"/>
      <c r="C402" s="134"/>
      <c r="D402" s="92"/>
      <c r="E402" s="92"/>
    </row>
    <row r="403" spans="1:5" ht="12.75">
      <c r="A403" s="92"/>
      <c r="B403" s="92"/>
      <c r="C403" s="134"/>
      <c r="D403" s="92"/>
      <c r="E403" s="92"/>
    </row>
    <row r="404" spans="1:5" ht="12.75">
      <c r="A404" s="92"/>
      <c r="B404" s="92"/>
      <c r="C404" s="134"/>
      <c r="D404" s="92"/>
      <c r="E404" s="92"/>
    </row>
    <row r="405" spans="1:5" ht="12.75">
      <c r="A405" s="92"/>
      <c r="B405" s="92"/>
      <c r="C405" s="134"/>
      <c r="D405" s="92"/>
      <c r="E405" s="92"/>
    </row>
    <row r="406" spans="1:5" ht="12.75">
      <c r="A406" s="92"/>
      <c r="B406" s="92"/>
      <c r="C406" s="134"/>
      <c r="D406" s="92"/>
      <c r="E406" s="92"/>
    </row>
    <row r="407" spans="1:5" ht="12.75">
      <c r="A407" s="92"/>
      <c r="B407" s="92"/>
      <c r="C407" s="134"/>
      <c r="D407" s="92"/>
      <c r="E407" s="92"/>
    </row>
    <row r="408" spans="1:5" ht="12.75">
      <c r="A408" s="92"/>
      <c r="B408" s="92"/>
      <c r="C408" s="134"/>
      <c r="D408" s="92"/>
      <c r="E408" s="92"/>
    </row>
    <row r="409" spans="2:5" ht="12.75">
      <c r="B409" s="236"/>
      <c r="C409" s="296"/>
      <c r="D409" s="236"/>
      <c r="E409" s="236"/>
    </row>
    <row r="410" spans="2:5" ht="12.75">
      <c r="B410" s="236"/>
      <c r="C410" s="296"/>
      <c r="D410" s="236"/>
      <c r="E410" s="236"/>
    </row>
    <row r="411" spans="2:5" ht="12.75">
      <c r="B411" s="236"/>
      <c r="C411" s="296"/>
      <c r="D411" s="236"/>
      <c r="E411" s="236"/>
    </row>
    <row r="412" spans="2:5" ht="12.75">
      <c r="B412" s="236"/>
      <c r="C412" s="296"/>
      <c r="D412" s="236"/>
      <c r="E412" s="236"/>
    </row>
    <row r="413" spans="2:5" ht="12.75">
      <c r="B413" s="236"/>
      <c r="C413" s="296"/>
      <c r="D413" s="236"/>
      <c r="E413" s="236"/>
    </row>
    <row r="414" spans="2:5" ht="12.75">
      <c r="B414" s="236"/>
      <c r="C414" s="296"/>
      <c r="D414" s="236"/>
      <c r="E414" s="236"/>
    </row>
    <row r="415" spans="2:5" ht="12.75">
      <c r="B415" s="236"/>
      <c r="C415" s="296"/>
      <c r="D415" s="236"/>
      <c r="E415" s="236"/>
    </row>
    <row r="416" spans="2:5" ht="12.75">
      <c r="B416" s="236"/>
      <c r="C416" s="296"/>
      <c r="D416" s="236"/>
      <c r="E416" s="236"/>
    </row>
    <row r="417" spans="2:5" ht="12.75">
      <c r="B417" s="236"/>
      <c r="C417" s="296"/>
      <c r="D417" s="236"/>
      <c r="E417" s="236"/>
    </row>
    <row r="418" spans="2:5" ht="12.75">
      <c r="B418" s="236"/>
      <c r="C418" s="296"/>
      <c r="D418" s="236"/>
      <c r="E418" s="236"/>
    </row>
    <row r="419" spans="2:5" ht="12.75">
      <c r="B419" s="236"/>
      <c r="C419" s="296"/>
      <c r="D419" s="236"/>
      <c r="E419" s="236"/>
    </row>
    <row r="420" spans="2:5" ht="12.75">
      <c r="B420" s="236"/>
      <c r="C420" s="296"/>
      <c r="D420" s="236"/>
      <c r="E420" s="236"/>
    </row>
    <row r="421" spans="2:5" ht="12.75">
      <c r="B421" s="236"/>
      <c r="C421" s="296"/>
      <c r="D421" s="236"/>
      <c r="E421" s="236"/>
    </row>
    <row r="422" spans="2:5" ht="12.75">
      <c r="B422" s="236"/>
      <c r="C422" s="296"/>
      <c r="D422" s="236"/>
      <c r="E422" s="236"/>
    </row>
    <row r="423" spans="2:5" ht="12.75">
      <c r="B423" s="236"/>
      <c r="C423" s="296"/>
      <c r="D423" s="236"/>
      <c r="E423" s="236"/>
    </row>
    <row r="424" spans="2:5" ht="12.75">
      <c r="B424" s="236"/>
      <c r="C424" s="296"/>
      <c r="D424" s="236"/>
      <c r="E424" s="236"/>
    </row>
    <row r="425" spans="2:5" ht="12.75">
      <c r="B425" s="236"/>
      <c r="C425" s="296"/>
      <c r="D425" s="236"/>
      <c r="E425" s="236"/>
    </row>
    <row r="426" spans="2:5" ht="12.75">
      <c r="B426" s="236"/>
      <c r="C426" s="296"/>
      <c r="D426" s="236"/>
      <c r="E426" s="236"/>
    </row>
    <row r="427" spans="2:5" ht="12.75">
      <c r="B427" s="236"/>
      <c r="C427" s="296"/>
      <c r="D427" s="236"/>
      <c r="E427" s="236"/>
    </row>
    <row r="428" spans="2:5" ht="12.75">
      <c r="B428" s="236"/>
      <c r="C428" s="296"/>
      <c r="D428" s="236"/>
      <c r="E428" s="236"/>
    </row>
    <row r="429" spans="2:5" ht="12.75">
      <c r="B429" s="236"/>
      <c r="C429" s="296"/>
      <c r="D429" s="236"/>
      <c r="E429" s="236"/>
    </row>
    <row r="430" spans="2:5" ht="12.75">
      <c r="B430" s="236"/>
      <c r="C430" s="296"/>
      <c r="D430" s="236"/>
      <c r="E430" s="236"/>
    </row>
    <row r="431" spans="2:5" ht="12.75">
      <c r="B431" s="236"/>
      <c r="C431" s="296"/>
      <c r="D431" s="236"/>
      <c r="E431" s="236"/>
    </row>
    <row r="432" spans="2:5" ht="12.75">
      <c r="B432" s="236"/>
      <c r="C432" s="296"/>
      <c r="D432" s="236"/>
      <c r="E432" s="236"/>
    </row>
    <row r="433" spans="2:5" ht="12.75">
      <c r="B433" s="236"/>
      <c r="C433" s="296"/>
      <c r="D433" s="236"/>
      <c r="E433" s="236"/>
    </row>
    <row r="434" spans="2:5" ht="12.75">
      <c r="B434" s="236"/>
      <c r="C434" s="296"/>
      <c r="D434" s="236"/>
      <c r="E434" s="236"/>
    </row>
    <row r="435" spans="2:5" ht="12.75">
      <c r="B435" s="236"/>
      <c r="C435" s="296"/>
      <c r="D435" s="236"/>
      <c r="E435" s="236"/>
    </row>
    <row r="436" spans="2:5" ht="12.75">
      <c r="B436" s="236"/>
      <c r="C436" s="296"/>
      <c r="D436" s="236"/>
      <c r="E436" s="236"/>
    </row>
    <row r="437" spans="2:5" ht="12.75">
      <c r="B437" s="236"/>
      <c r="C437" s="296"/>
      <c r="D437" s="236"/>
      <c r="E437" s="236"/>
    </row>
    <row r="438" spans="2:5" ht="12.75">
      <c r="B438" s="236"/>
      <c r="C438" s="296"/>
      <c r="D438" s="236"/>
      <c r="E438" s="236"/>
    </row>
    <row r="439" spans="2:5" ht="12.75">
      <c r="B439" s="236"/>
      <c r="C439" s="296"/>
      <c r="D439" s="236"/>
      <c r="E439" s="236"/>
    </row>
    <row r="440" spans="2:5" ht="12.75">
      <c r="B440" s="236"/>
      <c r="C440" s="296"/>
      <c r="D440" s="236"/>
      <c r="E440" s="236"/>
    </row>
    <row r="441" spans="2:5" ht="12.75">
      <c r="B441" s="236"/>
      <c r="C441" s="296"/>
      <c r="D441" s="236"/>
      <c r="E441" s="236"/>
    </row>
    <row r="442" spans="2:5" ht="12.75">
      <c r="B442" s="236"/>
      <c r="C442" s="296"/>
      <c r="D442" s="236"/>
      <c r="E442" s="236"/>
    </row>
    <row r="443" spans="2:5" ht="12.75">
      <c r="B443" s="236"/>
      <c r="C443" s="296"/>
      <c r="D443" s="236"/>
      <c r="E443" s="236"/>
    </row>
    <row r="444" spans="2:5" ht="12.75">
      <c r="B444" s="236"/>
      <c r="C444" s="296"/>
      <c r="D444" s="236"/>
      <c r="E444" s="236"/>
    </row>
    <row r="445" spans="2:5" ht="12.75">
      <c r="B445" s="236"/>
      <c r="C445" s="296"/>
      <c r="D445" s="236"/>
      <c r="E445" s="236"/>
    </row>
    <row r="446" spans="2:5" ht="12.75">
      <c r="B446" s="236"/>
      <c r="C446" s="296"/>
      <c r="D446" s="236"/>
      <c r="E446" s="236"/>
    </row>
    <row r="447" spans="2:5" ht="12.75">
      <c r="B447" s="236"/>
      <c r="C447" s="296"/>
      <c r="D447" s="236"/>
      <c r="E447" s="236"/>
    </row>
    <row r="448" spans="2:5" ht="12.75">
      <c r="B448" s="236"/>
      <c r="C448" s="296"/>
      <c r="D448" s="236"/>
      <c r="E448" s="236"/>
    </row>
    <row r="449" spans="2:5" ht="12.75">
      <c r="B449" s="236"/>
      <c r="C449" s="296"/>
      <c r="D449" s="236"/>
      <c r="E449" s="236"/>
    </row>
    <row r="450" spans="2:5" ht="12.75">
      <c r="B450" s="236"/>
      <c r="C450" s="296"/>
      <c r="D450" s="236"/>
      <c r="E450" s="236"/>
    </row>
    <row r="451" spans="2:5" ht="12.75">
      <c r="B451" s="236"/>
      <c r="C451" s="296"/>
      <c r="D451" s="236"/>
      <c r="E451" s="236"/>
    </row>
    <row r="452" spans="2:5" ht="12.75">
      <c r="B452" s="236"/>
      <c r="C452" s="296"/>
      <c r="D452" s="236"/>
      <c r="E452" s="236"/>
    </row>
    <row r="453" spans="2:5" ht="12.75">
      <c r="B453" s="236"/>
      <c r="C453" s="296"/>
      <c r="D453" s="236"/>
      <c r="E453" s="236"/>
    </row>
    <row r="454" spans="2:5" ht="12.75">
      <c r="B454" s="236"/>
      <c r="C454" s="296"/>
      <c r="D454" s="236"/>
      <c r="E454" s="236"/>
    </row>
    <row r="455" spans="2:5" ht="12.75">
      <c r="B455" s="236"/>
      <c r="C455" s="296"/>
      <c r="D455" s="236"/>
      <c r="E455" s="236"/>
    </row>
    <row r="456" spans="2:5" ht="12.75">
      <c r="B456" s="236"/>
      <c r="C456" s="296"/>
      <c r="D456" s="236"/>
      <c r="E456" s="236"/>
    </row>
    <row r="457" spans="2:5" ht="12.75">
      <c r="B457" s="236"/>
      <c r="C457" s="296"/>
      <c r="D457" s="236"/>
      <c r="E457" s="236"/>
    </row>
    <row r="458" spans="2:5" ht="12.75">
      <c r="B458" s="236"/>
      <c r="C458" s="296"/>
      <c r="D458" s="236"/>
      <c r="E458" s="236"/>
    </row>
    <row r="459" spans="2:5" ht="12.75">
      <c r="B459" s="236"/>
      <c r="C459" s="296"/>
      <c r="D459" s="236"/>
      <c r="E459" s="236"/>
    </row>
    <row r="460" spans="2:5" ht="12.75">
      <c r="B460" s="236"/>
      <c r="C460" s="296"/>
      <c r="D460" s="236"/>
      <c r="E460" s="236"/>
    </row>
    <row r="461" spans="2:5" ht="12.75">
      <c r="B461" s="236"/>
      <c r="C461" s="296"/>
      <c r="D461" s="236"/>
      <c r="E461" s="236"/>
    </row>
    <row r="462" spans="2:5" ht="12.75">
      <c r="B462" s="236"/>
      <c r="C462" s="296"/>
      <c r="D462" s="236"/>
      <c r="E462" s="236"/>
    </row>
    <row r="463" spans="2:5" ht="12.75">
      <c r="B463" s="236"/>
      <c r="C463" s="296"/>
      <c r="D463" s="236"/>
      <c r="E463" s="236"/>
    </row>
    <row r="464" spans="2:5" ht="12.75">
      <c r="B464" s="236"/>
      <c r="C464" s="296"/>
      <c r="D464" s="236"/>
      <c r="E464" s="236"/>
    </row>
    <row r="465" spans="2:5" ht="12.75">
      <c r="B465" s="236"/>
      <c r="C465" s="296"/>
      <c r="D465" s="236"/>
      <c r="E465" s="236"/>
    </row>
    <row r="466" spans="2:5" ht="12.75">
      <c r="B466" s="236"/>
      <c r="C466" s="296"/>
      <c r="D466" s="236"/>
      <c r="E466" s="236"/>
    </row>
    <row r="467" spans="2:5" ht="12.75">
      <c r="B467" s="236"/>
      <c r="C467" s="296"/>
      <c r="D467" s="236"/>
      <c r="E467" s="236"/>
    </row>
    <row r="468" spans="2:5" ht="12.75">
      <c r="B468" s="236"/>
      <c r="C468" s="296"/>
      <c r="D468" s="236"/>
      <c r="E468" s="236"/>
    </row>
    <row r="469" spans="2:5" ht="12.75">
      <c r="B469" s="236"/>
      <c r="C469" s="296"/>
      <c r="D469" s="236"/>
      <c r="E469" s="236"/>
    </row>
    <row r="470" spans="2:5" ht="12.75">
      <c r="B470" s="236"/>
      <c r="C470" s="296"/>
      <c r="D470" s="236"/>
      <c r="E470" s="236"/>
    </row>
    <row r="471" spans="2:5" ht="12.75">
      <c r="B471" s="236"/>
      <c r="C471" s="296"/>
      <c r="D471" s="236"/>
      <c r="E471" s="236"/>
    </row>
    <row r="472" spans="2:5" ht="12.75">
      <c r="B472" s="236"/>
      <c r="C472" s="296"/>
      <c r="D472" s="236"/>
      <c r="E472" s="236"/>
    </row>
    <row r="473" spans="2:5" ht="12.75">
      <c r="B473" s="236"/>
      <c r="C473" s="296"/>
      <c r="D473" s="236"/>
      <c r="E473" s="236"/>
    </row>
    <row r="474" spans="2:5" ht="12.75">
      <c r="B474" s="236"/>
      <c r="C474" s="296"/>
      <c r="D474" s="236"/>
      <c r="E474" s="236"/>
    </row>
    <row r="475" spans="2:5" ht="12.75">
      <c r="B475" s="236"/>
      <c r="C475" s="296"/>
      <c r="D475" s="236"/>
      <c r="E475" s="236"/>
    </row>
    <row r="476" spans="2:5" ht="12.75">
      <c r="B476" s="236"/>
      <c r="C476" s="296"/>
      <c r="D476" s="236"/>
      <c r="E476" s="236"/>
    </row>
    <row r="477" spans="2:5" ht="12.75">
      <c r="B477" s="236"/>
      <c r="C477" s="296"/>
      <c r="D477" s="236"/>
      <c r="E477" s="236"/>
    </row>
    <row r="478" spans="2:5" ht="12.75">
      <c r="B478" s="236"/>
      <c r="C478" s="296"/>
      <c r="D478" s="236"/>
      <c r="E478" s="236"/>
    </row>
    <row r="479" spans="2:5" ht="12.75">
      <c r="B479" s="236"/>
      <c r="C479" s="296"/>
      <c r="D479" s="236"/>
      <c r="E479" s="236"/>
    </row>
    <row r="480" spans="2:5" ht="12.75">
      <c r="B480" s="236"/>
      <c r="C480" s="296"/>
      <c r="D480" s="236"/>
      <c r="E480" s="236"/>
    </row>
    <row r="481" spans="2:5" ht="12.75">
      <c r="B481" s="236"/>
      <c r="C481" s="296"/>
      <c r="D481" s="236"/>
      <c r="E481" s="236"/>
    </row>
    <row r="482" spans="2:5" ht="12.75">
      <c r="B482" s="236"/>
      <c r="C482" s="296"/>
      <c r="D482" s="236"/>
      <c r="E482" s="236"/>
    </row>
    <row r="483" spans="2:5" ht="12.75">
      <c r="B483" s="236"/>
      <c r="C483" s="296"/>
      <c r="D483" s="236"/>
      <c r="E483" s="236"/>
    </row>
    <row r="484" spans="2:5" ht="12.75">
      <c r="B484" s="236"/>
      <c r="C484" s="296"/>
      <c r="D484" s="236"/>
      <c r="E484" s="236"/>
    </row>
    <row r="485" spans="2:5" ht="12.75">
      <c r="B485" s="236"/>
      <c r="C485" s="296"/>
      <c r="D485" s="236"/>
      <c r="E485" s="236"/>
    </row>
    <row r="486" spans="2:5" ht="12.75">
      <c r="B486" s="236"/>
      <c r="C486" s="296"/>
      <c r="D486" s="236"/>
      <c r="E486" s="236"/>
    </row>
    <row r="487" spans="2:5" ht="12.75">
      <c r="B487" s="236"/>
      <c r="C487" s="296"/>
      <c r="D487" s="236"/>
      <c r="E487" s="236"/>
    </row>
    <row r="488" spans="2:5" ht="12.75">
      <c r="B488" s="236"/>
      <c r="C488" s="296"/>
      <c r="D488" s="236"/>
      <c r="E488" s="236"/>
    </row>
    <row r="489" spans="2:5" ht="12.75">
      <c r="B489" s="236"/>
      <c r="C489" s="296"/>
      <c r="D489" s="236"/>
      <c r="E489" s="236"/>
    </row>
    <row r="490" spans="2:5" ht="12.75">
      <c r="B490" s="236"/>
      <c r="C490" s="296"/>
      <c r="D490" s="236"/>
      <c r="E490" s="236"/>
    </row>
    <row r="491" spans="2:5" ht="12.75">
      <c r="B491" s="236"/>
      <c r="C491" s="296"/>
      <c r="D491" s="236"/>
      <c r="E491" s="236"/>
    </row>
    <row r="492" spans="2:5" ht="12.75">
      <c r="B492" s="236"/>
      <c r="C492" s="296"/>
      <c r="D492" s="236"/>
      <c r="E492" s="236"/>
    </row>
    <row r="493" spans="2:5" ht="12.75">
      <c r="B493" s="236"/>
      <c r="C493" s="296"/>
      <c r="D493" s="236"/>
      <c r="E493" s="236"/>
    </row>
    <row r="494" spans="2:5" ht="12.75">
      <c r="B494" s="236"/>
      <c r="C494" s="296"/>
      <c r="D494" s="236"/>
      <c r="E494" s="236"/>
    </row>
    <row r="495" spans="2:5" ht="12.75">
      <c r="B495" s="236"/>
      <c r="C495" s="296"/>
      <c r="D495" s="236"/>
      <c r="E495" s="236"/>
    </row>
    <row r="496" spans="2:5" ht="12.75">
      <c r="B496" s="236"/>
      <c r="C496" s="296"/>
      <c r="D496" s="236"/>
      <c r="E496" s="236"/>
    </row>
    <row r="497" spans="2:5" ht="12.75">
      <c r="B497" s="236"/>
      <c r="C497" s="296"/>
      <c r="D497" s="236"/>
      <c r="E497" s="236"/>
    </row>
    <row r="498" spans="2:5" ht="12.75">
      <c r="B498" s="236"/>
      <c r="C498" s="296"/>
      <c r="D498" s="236"/>
      <c r="E498" s="236"/>
    </row>
    <row r="499" spans="2:5" ht="12.75">
      <c r="B499" s="236"/>
      <c r="C499" s="296"/>
      <c r="D499" s="236"/>
      <c r="E499" s="236"/>
    </row>
    <row r="500" spans="2:5" ht="12.75">
      <c r="B500" s="236"/>
      <c r="C500" s="296"/>
      <c r="D500" s="236"/>
      <c r="E500" s="236"/>
    </row>
    <row r="501" spans="2:5" ht="12.75">
      <c r="B501" s="236"/>
      <c r="C501" s="296"/>
      <c r="D501" s="236"/>
      <c r="E501" s="236"/>
    </row>
    <row r="502" spans="2:5" ht="12.75">
      <c r="B502" s="236"/>
      <c r="C502" s="296"/>
      <c r="D502" s="236"/>
      <c r="E502" s="236"/>
    </row>
    <row r="503" spans="2:5" ht="12.75">
      <c r="B503" s="236"/>
      <c r="C503" s="296"/>
      <c r="D503" s="236"/>
      <c r="E503" s="236"/>
    </row>
    <row r="504" spans="2:5" ht="12.75">
      <c r="B504" s="236"/>
      <c r="C504" s="296"/>
      <c r="D504" s="236"/>
      <c r="E504" s="236"/>
    </row>
    <row r="505" spans="2:5" ht="12.75">
      <c r="B505" s="236"/>
      <c r="C505" s="296"/>
      <c r="D505" s="236"/>
      <c r="E505" s="236"/>
    </row>
    <row r="506" spans="2:5" ht="12.75">
      <c r="B506" s="236"/>
      <c r="C506" s="296"/>
      <c r="D506" s="236"/>
      <c r="E506" s="236"/>
    </row>
    <row r="507" spans="2:5" ht="12.75">
      <c r="B507" s="236"/>
      <c r="C507" s="296"/>
      <c r="D507" s="236"/>
      <c r="E507" s="236"/>
    </row>
    <row r="508" spans="2:5" ht="12.75">
      <c r="B508" s="236"/>
      <c r="C508" s="296"/>
      <c r="D508" s="236"/>
      <c r="E508" s="236"/>
    </row>
    <row r="509" spans="2:5" ht="12.75">
      <c r="B509" s="236"/>
      <c r="C509" s="296"/>
      <c r="D509" s="236"/>
      <c r="E509" s="236"/>
    </row>
    <row r="510" spans="2:5" ht="12.75">
      <c r="B510" s="236"/>
      <c r="C510" s="296"/>
      <c r="D510" s="236"/>
      <c r="E510" s="236"/>
    </row>
    <row r="511" spans="2:5" ht="12.75">
      <c r="B511" s="236"/>
      <c r="C511" s="296"/>
      <c r="D511" s="236"/>
      <c r="E511" s="236"/>
    </row>
    <row r="512" spans="2:5" ht="12.75">
      <c r="B512" s="236"/>
      <c r="C512" s="296"/>
      <c r="D512" s="236"/>
      <c r="E512" s="236"/>
    </row>
    <row r="513" spans="2:5" ht="12.75">
      <c r="B513" s="236"/>
      <c r="C513" s="296"/>
      <c r="D513" s="236"/>
      <c r="E513" s="236"/>
    </row>
    <row r="514" spans="2:5" ht="12.75">
      <c r="B514" s="236"/>
      <c r="C514" s="296"/>
      <c r="D514" s="236"/>
      <c r="E514" s="236"/>
    </row>
    <row r="515" spans="2:5" ht="12.75">
      <c r="B515" s="236"/>
      <c r="C515" s="296"/>
      <c r="D515" s="236"/>
      <c r="E515" s="236"/>
    </row>
    <row r="516" spans="2:5" ht="12.75">
      <c r="B516" s="236"/>
      <c r="C516" s="296"/>
      <c r="D516" s="236"/>
      <c r="E516" s="236"/>
    </row>
    <row r="517" spans="2:5" ht="12.75">
      <c r="B517" s="236"/>
      <c r="C517" s="296"/>
      <c r="D517" s="236"/>
      <c r="E517" s="236"/>
    </row>
    <row r="518" spans="2:5" ht="12.75">
      <c r="B518" s="236"/>
      <c r="C518" s="296"/>
      <c r="D518" s="236"/>
      <c r="E518" s="236"/>
    </row>
    <row r="519" spans="2:5" ht="12.75">
      <c r="B519" s="236"/>
      <c r="C519" s="296"/>
      <c r="D519" s="236"/>
      <c r="E519" s="236"/>
    </row>
    <row r="520" spans="2:5" ht="12.75">
      <c r="B520" s="236"/>
      <c r="C520" s="296"/>
      <c r="D520" s="236"/>
      <c r="E520" s="236"/>
    </row>
    <row r="521" spans="2:5" ht="12.75">
      <c r="B521" s="236"/>
      <c r="C521" s="296"/>
      <c r="D521" s="236"/>
      <c r="E521" s="236"/>
    </row>
    <row r="522" spans="2:5" ht="12.75">
      <c r="B522" s="236"/>
      <c r="C522" s="296"/>
      <c r="D522" s="236"/>
      <c r="E522" s="236"/>
    </row>
    <row r="523" spans="2:5" ht="12.75">
      <c r="B523" s="236"/>
      <c r="C523" s="296"/>
      <c r="D523" s="236"/>
      <c r="E523" s="236"/>
    </row>
    <row r="524" spans="2:5" ht="12.75">
      <c r="B524" s="236"/>
      <c r="C524" s="296"/>
      <c r="D524" s="236"/>
      <c r="E524" s="236"/>
    </row>
    <row r="525" spans="2:5" ht="12.75">
      <c r="B525" s="236"/>
      <c r="C525" s="296"/>
      <c r="D525" s="236"/>
      <c r="E525" s="236"/>
    </row>
    <row r="526" spans="2:5" ht="12.75">
      <c r="B526" s="236"/>
      <c r="C526" s="296"/>
      <c r="D526" s="236"/>
      <c r="E526" s="236"/>
    </row>
    <row r="527" spans="2:5" ht="12.75">
      <c r="B527" s="236"/>
      <c r="C527" s="296"/>
      <c r="D527" s="236"/>
      <c r="E527" s="236"/>
    </row>
    <row r="528" spans="2:5" ht="12.75">
      <c r="B528" s="236"/>
      <c r="C528" s="296"/>
      <c r="D528" s="236"/>
      <c r="E528" s="236"/>
    </row>
    <row r="529" spans="2:5" ht="12.75">
      <c r="B529" s="236"/>
      <c r="C529" s="296"/>
      <c r="D529" s="236"/>
      <c r="E529" s="236"/>
    </row>
    <row r="530" spans="2:5" ht="12.75">
      <c r="B530" s="236"/>
      <c r="C530" s="296"/>
      <c r="D530" s="236"/>
      <c r="E530" s="236"/>
    </row>
    <row r="531" spans="2:5" ht="12.75">
      <c r="B531" s="236"/>
      <c r="C531" s="296"/>
      <c r="D531" s="236"/>
      <c r="E531" s="236"/>
    </row>
    <row r="532" spans="2:5" ht="12.75">
      <c r="B532" s="236"/>
      <c r="C532" s="296"/>
      <c r="D532" s="236"/>
      <c r="E532" s="236"/>
    </row>
    <row r="533" spans="2:5" ht="12.75">
      <c r="B533" s="236"/>
      <c r="C533" s="296"/>
      <c r="D533" s="236"/>
      <c r="E533" s="236"/>
    </row>
    <row r="534" spans="2:5" ht="12.75">
      <c r="B534" s="236"/>
      <c r="C534" s="296"/>
      <c r="D534" s="236"/>
      <c r="E534" s="236"/>
    </row>
    <row r="535" spans="2:5" ht="12.75">
      <c r="B535" s="236"/>
      <c r="C535" s="296"/>
      <c r="D535" s="236"/>
      <c r="E535" s="236"/>
    </row>
    <row r="536" spans="2:5" ht="12.75">
      <c r="B536" s="236"/>
      <c r="C536" s="296"/>
      <c r="D536" s="236"/>
      <c r="E536" s="236"/>
    </row>
    <row r="537" spans="2:5" ht="12.75">
      <c r="B537" s="236"/>
      <c r="C537" s="296"/>
      <c r="D537" s="236"/>
      <c r="E537" s="236"/>
    </row>
    <row r="538" spans="2:5" ht="12.75">
      <c r="B538" s="236"/>
      <c r="C538" s="296"/>
      <c r="D538" s="236"/>
      <c r="E538" s="236"/>
    </row>
    <row r="539" spans="2:5" ht="12.75">
      <c r="B539" s="236"/>
      <c r="C539" s="296"/>
      <c r="D539" s="236"/>
      <c r="E539" s="236"/>
    </row>
    <row r="540" spans="2:5" ht="12.75">
      <c r="B540" s="236"/>
      <c r="C540" s="296"/>
      <c r="D540" s="236"/>
      <c r="E540" s="236"/>
    </row>
    <row r="541" spans="2:5" ht="12.75">
      <c r="B541" s="236"/>
      <c r="C541" s="296"/>
      <c r="D541" s="236"/>
      <c r="E541" s="236"/>
    </row>
    <row r="542" spans="2:5" ht="12.75">
      <c r="B542" s="236"/>
      <c r="C542" s="296"/>
      <c r="D542" s="236"/>
      <c r="E542" s="236"/>
    </row>
    <row r="543" spans="2:5" ht="12.75">
      <c r="B543" s="236"/>
      <c r="C543" s="296"/>
      <c r="D543" s="236"/>
      <c r="E543" s="236"/>
    </row>
    <row r="544" spans="2:5" ht="12.75">
      <c r="B544" s="236"/>
      <c r="C544" s="296"/>
      <c r="D544" s="236"/>
      <c r="E544" s="236"/>
    </row>
    <row r="545" spans="2:5" ht="12.75">
      <c r="B545" s="236"/>
      <c r="C545" s="296"/>
      <c r="D545" s="236"/>
      <c r="E545" s="236"/>
    </row>
    <row r="546" spans="2:5" ht="12.75">
      <c r="B546" s="236"/>
      <c r="C546" s="296"/>
      <c r="D546" s="236"/>
      <c r="E546" s="236"/>
    </row>
    <row r="547" spans="2:5" ht="12.75">
      <c r="B547" s="236"/>
      <c r="C547" s="296"/>
      <c r="D547" s="236"/>
      <c r="E547" s="236"/>
    </row>
    <row r="548" spans="2:5" ht="12.75">
      <c r="B548" s="236"/>
      <c r="C548" s="296"/>
      <c r="D548" s="236"/>
      <c r="E548" s="236"/>
    </row>
    <row r="549" spans="2:5" ht="12.75">
      <c r="B549" s="236"/>
      <c r="C549" s="296"/>
      <c r="D549" s="236"/>
      <c r="E549" s="236"/>
    </row>
    <row r="550" spans="2:5" ht="12.75">
      <c r="B550" s="236"/>
      <c r="C550" s="296"/>
      <c r="D550" s="236"/>
      <c r="E550" s="236"/>
    </row>
    <row r="551" spans="2:5" ht="12.75">
      <c r="B551" s="236"/>
      <c r="C551" s="296"/>
      <c r="D551" s="236"/>
      <c r="E551" s="236"/>
    </row>
    <row r="552" spans="2:5" ht="12.75">
      <c r="B552" s="236"/>
      <c r="C552" s="296"/>
      <c r="D552" s="236"/>
      <c r="E552" s="236"/>
    </row>
    <row r="553" spans="2:5" ht="12.75">
      <c r="B553" s="236"/>
      <c r="C553" s="296"/>
      <c r="D553" s="236"/>
      <c r="E553" s="236"/>
    </row>
    <row r="554" spans="2:5" ht="12.75">
      <c r="B554" s="236"/>
      <c r="C554" s="296"/>
      <c r="D554" s="236"/>
      <c r="E554" s="236"/>
    </row>
    <row r="555" spans="2:5" ht="12.75">
      <c r="B555" s="236"/>
      <c r="C555" s="296"/>
      <c r="D555" s="236"/>
      <c r="E555" s="236"/>
    </row>
    <row r="556" spans="2:5" ht="12.75">
      <c r="B556" s="236"/>
      <c r="C556" s="296"/>
      <c r="D556" s="236"/>
      <c r="E556" s="236"/>
    </row>
    <row r="557" spans="2:5" ht="12.75">
      <c r="B557" s="236"/>
      <c r="C557" s="296"/>
      <c r="D557" s="236"/>
      <c r="E557" s="236"/>
    </row>
    <row r="558" spans="2:5" ht="12.75">
      <c r="B558" s="236"/>
      <c r="C558" s="296"/>
      <c r="D558" s="236"/>
      <c r="E558" s="236"/>
    </row>
    <row r="559" spans="2:5" ht="12.75">
      <c r="B559" s="236"/>
      <c r="C559" s="296"/>
      <c r="D559" s="236"/>
      <c r="E559" s="236"/>
    </row>
    <row r="560" spans="2:5" ht="12.75">
      <c r="B560" s="236"/>
      <c r="C560" s="296"/>
      <c r="D560" s="236"/>
      <c r="E560" s="236"/>
    </row>
    <row r="561" spans="2:5" ht="12.75">
      <c r="B561" s="236"/>
      <c r="C561" s="296"/>
      <c r="D561" s="236"/>
      <c r="E561" s="236"/>
    </row>
    <row r="562" spans="2:5" ht="12.75">
      <c r="B562" s="236"/>
      <c r="C562" s="296"/>
      <c r="D562" s="236"/>
      <c r="E562" s="236"/>
    </row>
    <row r="563" spans="2:5" ht="12.75">
      <c r="B563" s="236"/>
      <c r="C563" s="296"/>
      <c r="D563" s="236"/>
      <c r="E563" s="236"/>
    </row>
    <row r="564" spans="2:5" ht="12.75">
      <c r="B564" s="236"/>
      <c r="C564" s="296"/>
      <c r="D564" s="236"/>
      <c r="E564" s="236"/>
    </row>
    <row r="565" spans="2:5" ht="12.75">
      <c r="B565" s="236"/>
      <c r="C565" s="296"/>
      <c r="D565" s="236"/>
      <c r="E565" s="236"/>
    </row>
    <row r="566" spans="2:5" ht="12.75">
      <c r="B566" s="236"/>
      <c r="C566" s="296"/>
      <c r="D566" s="236"/>
      <c r="E566" s="236"/>
    </row>
    <row r="567" spans="2:5" ht="12.75">
      <c r="B567" s="236"/>
      <c r="C567" s="296"/>
      <c r="D567" s="236"/>
      <c r="E567" s="236"/>
    </row>
    <row r="568" spans="2:5" ht="12.75">
      <c r="B568" s="236"/>
      <c r="C568" s="296"/>
      <c r="D568" s="236"/>
      <c r="E568" s="236"/>
    </row>
    <row r="569" spans="2:5" ht="12.75">
      <c r="B569" s="236"/>
      <c r="C569" s="296"/>
      <c r="D569" s="236"/>
      <c r="E569" s="236"/>
    </row>
    <row r="570" spans="2:5" ht="12.75">
      <c r="B570" s="236"/>
      <c r="C570" s="296"/>
      <c r="D570" s="236"/>
      <c r="E570" s="236"/>
    </row>
    <row r="571" spans="2:5" ht="12.75">
      <c r="B571" s="236"/>
      <c r="C571" s="296"/>
      <c r="D571" s="236"/>
      <c r="E571" s="236"/>
    </row>
    <row r="572" spans="2:5" ht="12.75">
      <c r="B572" s="236"/>
      <c r="C572" s="296"/>
      <c r="D572" s="236"/>
      <c r="E572" s="236"/>
    </row>
    <row r="573" spans="2:5" ht="12.75">
      <c r="B573" s="236"/>
      <c r="C573" s="296"/>
      <c r="D573" s="236"/>
      <c r="E573" s="236"/>
    </row>
    <row r="574" spans="2:5" ht="12.75">
      <c r="B574" s="236"/>
      <c r="C574" s="296"/>
      <c r="D574" s="236"/>
      <c r="E574" s="236"/>
    </row>
    <row r="575" spans="2:5" ht="12.75">
      <c r="B575" s="236"/>
      <c r="C575" s="296"/>
      <c r="D575" s="236"/>
      <c r="E575" s="236"/>
    </row>
    <row r="576" spans="2:5" ht="12.75">
      <c r="B576" s="236"/>
      <c r="C576" s="296"/>
      <c r="D576" s="236"/>
      <c r="E576" s="236"/>
    </row>
    <row r="577" spans="2:5" ht="12.75">
      <c r="B577" s="236"/>
      <c r="C577" s="296"/>
      <c r="D577" s="236"/>
      <c r="E577" s="236"/>
    </row>
    <row r="578" spans="2:5" ht="12.75">
      <c r="B578" s="236"/>
      <c r="C578" s="296"/>
      <c r="D578" s="236"/>
      <c r="E578" s="236"/>
    </row>
    <row r="579" spans="2:5" ht="12.75">
      <c r="B579" s="236"/>
      <c r="C579" s="296"/>
      <c r="D579" s="236"/>
      <c r="E579" s="236"/>
    </row>
    <row r="580" spans="2:5" ht="12.75">
      <c r="B580" s="236"/>
      <c r="C580" s="296"/>
      <c r="D580" s="236"/>
      <c r="E580" s="236"/>
    </row>
    <row r="581" spans="2:5" ht="12.75">
      <c r="B581" s="236"/>
      <c r="C581" s="296"/>
      <c r="D581" s="236"/>
      <c r="E581" s="236"/>
    </row>
    <row r="582" spans="2:5" ht="12.75">
      <c r="B582" s="236"/>
      <c r="C582" s="296"/>
      <c r="D582" s="236"/>
      <c r="E582" s="236"/>
    </row>
    <row r="583" spans="2:5" ht="12.75">
      <c r="B583" s="236"/>
      <c r="C583" s="296"/>
      <c r="D583" s="236"/>
      <c r="E583" s="236"/>
    </row>
    <row r="584" spans="2:5" ht="12.75">
      <c r="B584" s="236"/>
      <c r="C584" s="296"/>
      <c r="D584" s="236"/>
      <c r="E584" s="236"/>
    </row>
    <row r="585" spans="2:5" ht="12.75">
      <c r="B585" s="236"/>
      <c r="C585" s="296"/>
      <c r="D585" s="236"/>
      <c r="E585" s="236"/>
    </row>
    <row r="586" spans="2:5" ht="12.75">
      <c r="B586" s="236"/>
      <c r="C586" s="296"/>
      <c r="D586" s="236"/>
      <c r="E586" s="236"/>
    </row>
    <row r="587" spans="2:5" ht="12.75">
      <c r="B587" s="236"/>
      <c r="C587" s="296"/>
      <c r="D587" s="236"/>
      <c r="E587" s="236"/>
    </row>
    <row r="588" spans="2:5" ht="12.75">
      <c r="B588" s="236"/>
      <c r="C588" s="296"/>
      <c r="D588" s="236"/>
      <c r="E588" s="236"/>
    </row>
    <row r="589" spans="2:5" ht="12.75">
      <c r="B589" s="236"/>
      <c r="C589" s="296"/>
      <c r="D589" s="236"/>
      <c r="E589" s="236"/>
    </row>
    <row r="590" spans="2:5" ht="12.75">
      <c r="B590" s="236"/>
      <c r="C590" s="296"/>
      <c r="D590" s="236"/>
      <c r="E590" s="236"/>
    </row>
    <row r="591" spans="2:5" ht="12.75">
      <c r="B591" s="236"/>
      <c r="C591" s="296"/>
      <c r="D591" s="236"/>
      <c r="E591" s="236"/>
    </row>
    <row r="592" spans="2:5" ht="12.75">
      <c r="B592" s="236"/>
      <c r="C592" s="296"/>
      <c r="D592" s="236"/>
      <c r="E592" s="236"/>
    </row>
    <row r="593" spans="2:5" ht="12.75">
      <c r="B593" s="236"/>
      <c r="C593" s="296"/>
      <c r="D593" s="236"/>
      <c r="E593" s="236"/>
    </row>
    <row r="594" spans="2:5" ht="12.75">
      <c r="B594" s="236"/>
      <c r="C594" s="296"/>
      <c r="D594" s="236"/>
      <c r="E594" s="236"/>
    </row>
    <row r="595" spans="2:5" ht="12.75">
      <c r="B595" s="236"/>
      <c r="C595" s="296"/>
      <c r="D595" s="236"/>
      <c r="E595" s="236"/>
    </row>
    <row r="596" spans="2:5" ht="12.75">
      <c r="B596" s="236"/>
      <c r="C596" s="296"/>
      <c r="D596" s="236"/>
      <c r="E596" s="236"/>
    </row>
    <row r="597" spans="2:5" ht="12.75">
      <c r="B597" s="236"/>
      <c r="C597" s="296"/>
      <c r="D597" s="236"/>
      <c r="E597" s="236"/>
    </row>
    <row r="598" spans="2:5" ht="12.75">
      <c r="B598" s="236"/>
      <c r="C598" s="296"/>
      <c r="D598" s="236"/>
      <c r="E598" s="236"/>
    </row>
    <row r="599" spans="2:5" ht="12.75">
      <c r="B599" s="236"/>
      <c r="C599" s="296"/>
      <c r="D599" s="236"/>
      <c r="E599" s="236"/>
    </row>
    <row r="600" spans="2:5" ht="12.75">
      <c r="B600" s="236"/>
      <c r="C600" s="296"/>
      <c r="D600" s="236"/>
      <c r="E600" s="236"/>
    </row>
    <row r="601" spans="2:5" ht="12.75">
      <c r="B601" s="236"/>
      <c r="C601" s="296"/>
      <c r="D601" s="236"/>
      <c r="E601" s="236"/>
    </row>
    <row r="602" spans="2:5" ht="12.75">
      <c r="B602" s="236"/>
      <c r="C602" s="296"/>
      <c r="D602" s="236"/>
      <c r="E602" s="236"/>
    </row>
    <row r="603" spans="2:5" ht="12.75">
      <c r="B603" s="236"/>
      <c r="C603" s="296"/>
      <c r="D603" s="236"/>
      <c r="E603" s="236"/>
    </row>
    <row r="604" spans="2:5" ht="12.75">
      <c r="B604" s="236"/>
      <c r="C604" s="296"/>
      <c r="D604" s="236"/>
      <c r="E604" s="236"/>
    </row>
    <row r="605" spans="2:5" ht="12.75">
      <c r="B605" s="236"/>
      <c r="C605" s="296"/>
      <c r="D605" s="236"/>
      <c r="E605" s="236"/>
    </row>
    <row r="606" spans="2:5" ht="12.75">
      <c r="B606" s="236"/>
      <c r="C606" s="296"/>
      <c r="D606" s="236"/>
      <c r="E606" s="236"/>
    </row>
    <row r="607" spans="2:5" ht="12.75">
      <c r="B607" s="236"/>
      <c r="C607" s="296"/>
      <c r="D607" s="236"/>
      <c r="E607" s="236"/>
    </row>
    <row r="608" spans="2:5" ht="12.75">
      <c r="B608" s="236"/>
      <c r="C608" s="296"/>
      <c r="D608" s="236"/>
      <c r="E608" s="236"/>
    </row>
    <row r="609" spans="2:5" ht="12.75">
      <c r="B609" s="236"/>
      <c r="C609" s="296"/>
      <c r="D609" s="236"/>
      <c r="E609" s="236"/>
    </row>
    <row r="610" spans="2:5" ht="12.75">
      <c r="B610" s="236"/>
      <c r="C610" s="296"/>
      <c r="D610" s="236"/>
      <c r="E610" s="236"/>
    </row>
    <row r="611" spans="2:5" ht="12.75">
      <c r="B611" s="236"/>
      <c r="C611" s="296"/>
      <c r="D611" s="236"/>
      <c r="E611" s="236"/>
    </row>
    <row r="612" spans="2:5" ht="12.75">
      <c r="B612" s="236"/>
      <c r="C612" s="296"/>
      <c r="D612" s="236"/>
      <c r="E612" s="236"/>
    </row>
    <row r="613" spans="2:5" ht="12.75">
      <c r="B613" s="236"/>
      <c r="C613" s="296"/>
      <c r="D613" s="236"/>
      <c r="E613" s="236"/>
    </row>
    <row r="614" spans="2:5" ht="12.75">
      <c r="B614" s="236"/>
      <c r="C614" s="296"/>
      <c r="D614" s="236"/>
      <c r="E614" s="236"/>
    </row>
    <row r="615" spans="2:5" ht="12.75">
      <c r="B615" s="236"/>
      <c r="C615" s="296"/>
      <c r="D615" s="236"/>
      <c r="E615" s="236"/>
    </row>
    <row r="616" spans="2:5" ht="12.75">
      <c r="B616" s="236"/>
      <c r="C616" s="296"/>
      <c r="D616" s="236"/>
      <c r="E616" s="236"/>
    </row>
    <row r="617" spans="2:5" ht="12.75">
      <c r="B617" s="236"/>
      <c r="C617" s="296"/>
      <c r="D617" s="236"/>
      <c r="E617" s="236"/>
    </row>
    <row r="618" spans="2:5" ht="12.75">
      <c r="B618" s="236"/>
      <c r="C618" s="296"/>
      <c r="D618" s="236"/>
      <c r="E618" s="236"/>
    </row>
    <row r="619" spans="2:5" ht="12.75">
      <c r="B619" s="236"/>
      <c r="C619" s="296"/>
      <c r="D619" s="236"/>
      <c r="E619" s="236"/>
    </row>
    <row r="620" spans="2:5" ht="12.75">
      <c r="B620" s="236"/>
      <c r="C620" s="296"/>
      <c r="D620" s="236"/>
      <c r="E620" s="236"/>
    </row>
    <row r="621" spans="2:5" ht="12.75">
      <c r="B621" s="236"/>
      <c r="C621" s="296"/>
      <c r="D621" s="236"/>
      <c r="E621" s="236"/>
    </row>
    <row r="622" spans="2:5" ht="12.75">
      <c r="B622" s="236"/>
      <c r="C622" s="296"/>
      <c r="D622" s="236"/>
      <c r="E622" s="236"/>
    </row>
    <row r="623" spans="2:5" ht="12.75">
      <c r="B623" s="236"/>
      <c r="C623" s="296"/>
      <c r="D623" s="236"/>
      <c r="E623" s="236"/>
    </row>
    <row r="624" spans="2:5" ht="12.75">
      <c r="B624" s="236"/>
      <c r="C624" s="296"/>
      <c r="D624" s="236"/>
      <c r="E624" s="236"/>
    </row>
    <row r="625" spans="2:5" ht="12.75">
      <c r="B625" s="236"/>
      <c r="C625" s="296"/>
      <c r="D625" s="236"/>
      <c r="E625" s="236"/>
    </row>
    <row r="626" spans="2:5" ht="12.75">
      <c r="B626" s="236"/>
      <c r="C626" s="296"/>
      <c r="D626" s="236"/>
      <c r="E626" s="236"/>
    </row>
    <row r="627" spans="2:5" ht="12.75">
      <c r="B627" s="236"/>
      <c r="C627" s="296"/>
      <c r="D627" s="236"/>
      <c r="E627" s="236"/>
    </row>
    <row r="628" spans="2:5" ht="12.75">
      <c r="B628" s="236"/>
      <c r="C628" s="296"/>
      <c r="D628" s="236"/>
      <c r="E628" s="236"/>
    </row>
    <row r="629" spans="2:5" ht="12.75">
      <c r="B629" s="236"/>
      <c r="C629" s="296"/>
      <c r="D629" s="236"/>
      <c r="E629" s="236"/>
    </row>
    <row r="630" spans="2:5" ht="12.75">
      <c r="B630" s="236"/>
      <c r="C630" s="296"/>
      <c r="D630" s="236"/>
      <c r="E630" s="236"/>
    </row>
    <row r="631" spans="2:5" ht="12.75">
      <c r="B631" s="236"/>
      <c r="C631" s="296"/>
      <c r="D631" s="236"/>
      <c r="E631" s="236"/>
    </row>
    <row r="632" spans="2:5" ht="12.75">
      <c r="B632" s="236"/>
      <c r="C632" s="296"/>
      <c r="D632" s="236"/>
      <c r="E632" s="236"/>
    </row>
    <row r="633" spans="2:5" ht="12.75">
      <c r="B633" s="236"/>
      <c r="C633" s="296"/>
      <c r="D633" s="236"/>
      <c r="E633" s="236"/>
    </row>
    <row r="634" spans="2:5" ht="12.75">
      <c r="B634" s="236"/>
      <c r="C634" s="296"/>
      <c r="D634" s="236"/>
      <c r="E634" s="236"/>
    </row>
    <row r="635" spans="2:5" ht="12.75">
      <c r="B635" s="236"/>
      <c r="C635" s="296"/>
      <c r="D635" s="236"/>
      <c r="E635" s="236"/>
    </row>
    <row r="636" spans="2:5" ht="12.75">
      <c r="B636" s="236"/>
      <c r="C636" s="296"/>
      <c r="D636" s="236"/>
      <c r="E636" s="236"/>
    </row>
    <row r="637" spans="2:5" ht="12.75">
      <c r="B637" s="236"/>
      <c r="C637" s="296"/>
      <c r="D637" s="236"/>
      <c r="E637" s="236"/>
    </row>
    <row r="638" spans="2:5" ht="12.75">
      <c r="B638" s="236"/>
      <c r="C638" s="296"/>
      <c r="D638" s="236"/>
      <c r="E638" s="236"/>
    </row>
    <row r="639" spans="2:5" ht="12.75">
      <c r="B639" s="236"/>
      <c r="C639" s="296"/>
      <c r="D639" s="236"/>
      <c r="E639" s="236"/>
    </row>
    <row r="640" spans="2:5" ht="12.75">
      <c r="B640" s="236"/>
      <c r="C640" s="296"/>
      <c r="D640" s="236"/>
      <c r="E640" s="236"/>
    </row>
    <row r="641" spans="2:5" ht="12.75">
      <c r="B641" s="236"/>
      <c r="C641" s="296"/>
      <c r="D641" s="236"/>
      <c r="E641" s="236"/>
    </row>
    <row r="642" spans="2:5" ht="12.75">
      <c r="B642" s="236"/>
      <c r="C642" s="296"/>
      <c r="D642" s="236"/>
      <c r="E642" s="236"/>
    </row>
    <row r="643" spans="2:5" ht="12.75">
      <c r="B643" s="236"/>
      <c r="C643" s="296"/>
      <c r="D643" s="236"/>
      <c r="E643" s="236"/>
    </row>
    <row r="644" spans="2:5" ht="12.75">
      <c r="B644" s="236"/>
      <c r="C644" s="296"/>
      <c r="D644" s="236"/>
      <c r="E644" s="236"/>
    </row>
    <row r="645" spans="2:5" ht="12.75">
      <c r="B645" s="236"/>
      <c r="C645" s="296"/>
      <c r="D645" s="236"/>
      <c r="E645" s="236"/>
    </row>
    <row r="646" spans="2:5" ht="12.75">
      <c r="B646" s="236"/>
      <c r="C646" s="296"/>
      <c r="D646" s="236"/>
      <c r="E646" s="236"/>
    </row>
    <row r="647" spans="2:5" ht="12.75">
      <c r="B647" s="236"/>
      <c r="C647" s="296"/>
      <c r="D647" s="236"/>
      <c r="E647" s="236"/>
    </row>
    <row r="648" spans="2:5" ht="12.75">
      <c r="B648" s="236"/>
      <c r="C648" s="296"/>
      <c r="D648" s="236"/>
      <c r="E648" s="236"/>
    </row>
    <row r="649" spans="2:5" ht="12.75">
      <c r="B649" s="236"/>
      <c r="C649" s="296"/>
      <c r="D649" s="236"/>
      <c r="E649" s="236"/>
    </row>
    <row r="650" spans="2:5" ht="12.75">
      <c r="B650" s="236"/>
      <c r="C650" s="296"/>
      <c r="D650" s="236"/>
      <c r="E650" s="236"/>
    </row>
    <row r="651" spans="2:5" ht="12.75">
      <c r="B651" s="236"/>
      <c r="C651" s="296"/>
      <c r="D651" s="236"/>
      <c r="E651" s="236"/>
    </row>
    <row r="652" spans="2:5" ht="12.75">
      <c r="B652" s="236"/>
      <c r="C652" s="296"/>
      <c r="D652" s="236"/>
      <c r="E652" s="236"/>
    </row>
    <row r="653" spans="2:5" ht="12.75">
      <c r="B653" s="236"/>
      <c r="C653" s="296"/>
      <c r="D653" s="236"/>
      <c r="E653" s="236"/>
    </row>
    <row r="654" spans="2:5" ht="12.75">
      <c r="B654" s="236"/>
      <c r="C654" s="296"/>
      <c r="D654" s="236"/>
      <c r="E654" s="236"/>
    </row>
    <row r="655" spans="2:5" ht="12.75">
      <c r="B655" s="236"/>
      <c r="C655" s="296"/>
      <c r="D655" s="236"/>
      <c r="E655" s="236"/>
    </row>
    <row r="656" spans="2:5" ht="12.75">
      <c r="B656" s="236"/>
      <c r="C656" s="296"/>
      <c r="D656" s="236"/>
      <c r="E656" s="236"/>
    </row>
    <row r="657" spans="2:5" ht="12.75">
      <c r="B657" s="236"/>
      <c r="C657" s="296"/>
      <c r="D657" s="236"/>
      <c r="E657" s="236"/>
    </row>
    <row r="658" spans="2:5" ht="12.75">
      <c r="B658" s="236"/>
      <c r="C658" s="296"/>
      <c r="D658" s="236"/>
      <c r="E658" s="236"/>
    </row>
    <row r="659" spans="2:5" ht="12.75">
      <c r="B659" s="236"/>
      <c r="C659" s="296"/>
      <c r="D659" s="236"/>
      <c r="E659" s="236"/>
    </row>
    <row r="660" spans="2:5" ht="12.75">
      <c r="B660" s="236"/>
      <c r="C660" s="296"/>
      <c r="D660" s="236"/>
      <c r="E660" s="236"/>
    </row>
    <row r="661" spans="2:5" ht="12.75">
      <c r="B661" s="236"/>
      <c r="C661" s="296"/>
      <c r="D661" s="236"/>
      <c r="E661" s="236"/>
    </row>
    <row r="662" spans="2:5" ht="12.75">
      <c r="B662" s="236"/>
      <c r="C662" s="296"/>
      <c r="D662" s="236"/>
      <c r="E662" s="236"/>
    </row>
    <row r="663" spans="2:5" ht="12.75">
      <c r="B663" s="236"/>
      <c r="C663" s="296"/>
      <c r="D663" s="236"/>
      <c r="E663" s="236"/>
    </row>
    <row r="664" spans="2:5" ht="12.75">
      <c r="B664" s="236"/>
      <c r="C664" s="296"/>
      <c r="D664" s="236"/>
      <c r="E664" s="236"/>
    </row>
    <row r="665" spans="2:5" ht="12.75">
      <c r="B665" s="236"/>
      <c r="C665" s="296"/>
      <c r="D665" s="236"/>
      <c r="E665" s="236"/>
    </row>
    <row r="666" spans="2:5" ht="12.75">
      <c r="B666" s="236"/>
      <c r="C666" s="296"/>
      <c r="D666" s="236"/>
      <c r="E666" s="236"/>
    </row>
    <row r="667" spans="2:5" ht="12.75">
      <c r="B667" s="236"/>
      <c r="C667" s="296"/>
      <c r="D667" s="236"/>
      <c r="E667" s="236"/>
    </row>
    <row r="668" spans="2:5" ht="12.75">
      <c r="B668" s="236"/>
      <c r="C668" s="296"/>
      <c r="D668" s="236"/>
      <c r="E668" s="236"/>
    </row>
    <row r="669" spans="2:5" ht="12.75">
      <c r="B669" s="236"/>
      <c r="C669" s="296"/>
      <c r="D669" s="236"/>
      <c r="E669" s="236"/>
    </row>
    <row r="670" spans="2:5" ht="12.75">
      <c r="B670" s="236"/>
      <c r="C670" s="296"/>
      <c r="D670" s="236"/>
      <c r="E670" s="236"/>
    </row>
    <row r="671" spans="2:5" ht="12.75">
      <c r="B671" s="236"/>
      <c r="C671" s="296"/>
      <c r="D671" s="236"/>
      <c r="E671" s="236"/>
    </row>
    <row r="672" spans="2:5" ht="12.75">
      <c r="B672" s="236"/>
      <c r="C672" s="296"/>
      <c r="D672" s="236"/>
      <c r="E672" s="236"/>
    </row>
    <row r="673" spans="2:5" ht="12.75">
      <c r="B673" s="236"/>
      <c r="C673" s="296"/>
      <c r="D673" s="236"/>
      <c r="E673" s="236"/>
    </row>
    <row r="674" spans="2:5" ht="12.75">
      <c r="B674" s="236"/>
      <c r="C674" s="296"/>
      <c r="D674" s="236"/>
      <c r="E674" s="236"/>
    </row>
    <row r="675" spans="2:5" ht="12.75">
      <c r="B675" s="236"/>
      <c r="C675" s="296"/>
      <c r="D675" s="236"/>
      <c r="E675" s="236"/>
    </row>
    <row r="676" spans="2:5" ht="12.75">
      <c r="B676" s="236"/>
      <c r="C676" s="296"/>
      <c r="D676" s="236"/>
      <c r="E676" s="236"/>
    </row>
    <row r="677" spans="2:5" ht="12.75">
      <c r="B677" s="236"/>
      <c r="C677" s="296"/>
      <c r="D677" s="236"/>
      <c r="E677" s="236"/>
    </row>
    <row r="678" spans="2:5" ht="12.75">
      <c r="B678" s="236"/>
      <c r="C678" s="296"/>
      <c r="D678" s="236"/>
      <c r="E678" s="236"/>
    </row>
    <row r="679" spans="2:5" ht="12.75">
      <c r="B679" s="236"/>
      <c r="C679" s="296"/>
      <c r="D679" s="236"/>
      <c r="E679" s="236"/>
    </row>
    <row r="680" spans="2:5" ht="12.75">
      <c r="B680" s="236"/>
      <c r="C680" s="296"/>
      <c r="D680" s="236"/>
      <c r="E680" s="236"/>
    </row>
    <row r="681" spans="2:5" ht="12.75">
      <c r="B681" s="236"/>
      <c r="C681" s="296"/>
      <c r="D681" s="236"/>
      <c r="E681" s="236"/>
    </row>
    <row r="682" spans="2:5" ht="12.75">
      <c r="B682" s="236"/>
      <c r="C682" s="296"/>
      <c r="D682" s="236"/>
      <c r="E682" s="236"/>
    </row>
    <row r="683" spans="2:5" ht="12.75">
      <c r="B683" s="236"/>
      <c r="C683" s="296"/>
      <c r="D683" s="236"/>
      <c r="E683" s="236"/>
    </row>
    <row r="684" spans="2:5" ht="12.75">
      <c r="B684" s="236"/>
      <c r="C684" s="296"/>
      <c r="D684" s="236"/>
      <c r="E684" s="236"/>
    </row>
    <row r="685" spans="2:5" ht="12.75">
      <c r="B685" s="236"/>
      <c r="C685" s="296"/>
      <c r="D685" s="236"/>
      <c r="E685" s="236"/>
    </row>
    <row r="686" spans="2:5" ht="12.75">
      <c r="B686" s="236"/>
      <c r="C686" s="296"/>
      <c r="D686" s="236"/>
      <c r="E686" s="236"/>
    </row>
    <row r="687" spans="2:5" ht="12.75">
      <c r="B687" s="236"/>
      <c r="C687" s="296"/>
      <c r="D687" s="236"/>
      <c r="E687" s="236"/>
    </row>
    <row r="688" spans="2:5" ht="12.75">
      <c r="B688" s="236"/>
      <c r="C688" s="296"/>
      <c r="D688" s="236"/>
      <c r="E688" s="236"/>
    </row>
    <row r="689" spans="2:5" ht="12.75">
      <c r="B689" s="236"/>
      <c r="C689" s="296"/>
      <c r="D689" s="236"/>
      <c r="E689" s="236"/>
    </row>
    <row r="690" spans="2:5" ht="12.75">
      <c r="B690" s="236"/>
      <c r="C690" s="296"/>
      <c r="D690" s="236"/>
      <c r="E690" s="236"/>
    </row>
    <row r="691" spans="2:5" ht="12.75">
      <c r="B691" s="236"/>
      <c r="C691" s="296"/>
      <c r="D691" s="236"/>
      <c r="E691" s="236"/>
    </row>
    <row r="692" spans="2:5" ht="12.75">
      <c r="B692" s="236"/>
      <c r="C692" s="296"/>
      <c r="D692" s="236"/>
      <c r="E692" s="236"/>
    </row>
    <row r="693" spans="2:5" ht="12.75">
      <c r="B693" s="236"/>
      <c r="C693" s="296"/>
      <c r="D693" s="236"/>
      <c r="E693" s="236"/>
    </row>
    <row r="694" spans="2:5" ht="12.75">
      <c r="B694" s="236"/>
      <c r="C694" s="296"/>
      <c r="D694" s="236"/>
      <c r="E694" s="236"/>
    </row>
    <row r="695" spans="2:5" ht="12.75">
      <c r="B695" s="236"/>
      <c r="C695" s="296"/>
      <c r="D695" s="236"/>
      <c r="E695" s="236"/>
    </row>
    <row r="696" spans="2:5" ht="12.75">
      <c r="B696" s="236"/>
      <c r="C696" s="296"/>
      <c r="D696" s="236"/>
      <c r="E696" s="236"/>
    </row>
    <row r="697" spans="2:5" ht="12.75">
      <c r="B697" s="236"/>
      <c r="C697" s="296"/>
      <c r="D697" s="236"/>
      <c r="E697" s="236"/>
    </row>
    <row r="698" spans="2:5" ht="12.75">
      <c r="B698" s="236"/>
      <c r="C698" s="296"/>
      <c r="D698" s="236"/>
      <c r="E698" s="236"/>
    </row>
    <row r="699" spans="2:5" ht="12.75">
      <c r="B699" s="236"/>
      <c r="C699" s="296"/>
      <c r="D699" s="236"/>
      <c r="E699" s="236"/>
    </row>
    <row r="700" spans="2:5" ht="12.75">
      <c r="B700" s="236"/>
      <c r="C700" s="296"/>
      <c r="D700" s="236"/>
      <c r="E700" s="236"/>
    </row>
    <row r="701" spans="2:5" ht="12.75">
      <c r="B701" s="236"/>
      <c r="C701" s="296"/>
      <c r="D701" s="236"/>
      <c r="E701" s="236"/>
    </row>
    <row r="702" spans="2:5" ht="12.75">
      <c r="B702" s="236"/>
      <c r="C702" s="296"/>
      <c r="D702" s="236"/>
      <c r="E702" s="236"/>
    </row>
    <row r="703" spans="2:5" ht="12.75">
      <c r="B703" s="236"/>
      <c r="C703" s="296"/>
      <c r="D703" s="236"/>
      <c r="E703" s="236"/>
    </row>
    <row r="704" spans="2:5" ht="12.75">
      <c r="B704" s="236"/>
      <c r="C704" s="296"/>
      <c r="D704" s="236"/>
      <c r="E704" s="236"/>
    </row>
    <row r="705" spans="2:5" ht="12.75">
      <c r="B705" s="236"/>
      <c r="C705" s="296"/>
      <c r="D705" s="236"/>
      <c r="E705" s="236"/>
    </row>
    <row r="706" spans="2:5" ht="12.75">
      <c r="B706" s="236"/>
      <c r="C706" s="296"/>
      <c r="D706" s="236"/>
      <c r="E706" s="236"/>
    </row>
    <row r="707" spans="2:5" ht="12.75">
      <c r="B707" s="236"/>
      <c r="C707" s="296"/>
      <c r="D707" s="236"/>
      <c r="E707" s="236"/>
    </row>
    <row r="708" spans="2:5" ht="12.75">
      <c r="B708" s="236"/>
      <c r="C708" s="296"/>
      <c r="D708" s="236"/>
      <c r="E708" s="236"/>
    </row>
    <row r="709" spans="2:5" ht="12.75">
      <c r="B709" s="236"/>
      <c r="C709" s="296"/>
      <c r="D709" s="236"/>
      <c r="E709" s="236"/>
    </row>
    <row r="710" spans="2:5" ht="12.75">
      <c r="B710" s="236"/>
      <c r="C710" s="296"/>
      <c r="D710" s="236"/>
      <c r="E710" s="236"/>
    </row>
    <row r="711" spans="2:5" ht="12.75">
      <c r="B711" s="236"/>
      <c r="C711" s="296"/>
      <c r="D711" s="236"/>
      <c r="E711" s="236"/>
    </row>
    <row r="712" spans="2:5" ht="12.75">
      <c r="B712" s="236"/>
      <c r="C712" s="296"/>
      <c r="D712" s="236"/>
      <c r="E712" s="236"/>
    </row>
    <row r="713" spans="2:5" ht="12.75">
      <c r="B713" s="236"/>
      <c r="C713" s="296"/>
      <c r="D713" s="236"/>
      <c r="E713" s="236"/>
    </row>
    <row r="714" spans="2:5" ht="12.75">
      <c r="B714" s="236"/>
      <c r="C714" s="296"/>
      <c r="D714" s="236"/>
      <c r="E714" s="236"/>
    </row>
    <row r="715" spans="2:5" ht="12.75">
      <c r="B715" s="236"/>
      <c r="C715" s="296"/>
      <c r="D715" s="236"/>
      <c r="E715" s="236"/>
    </row>
    <row r="716" spans="2:5" ht="12.75">
      <c r="B716" s="236"/>
      <c r="C716" s="296"/>
      <c r="D716" s="236"/>
      <c r="E716" s="236"/>
    </row>
    <row r="717" spans="2:5" ht="12.75">
      <c r="B717" s="236"/>
      <c r="C717" s="296"/>
      <c r="D717" s="236"/>
      <c r="E717" s="236"/>
    </row>
    <row r="718" spans="2:5" ht="12.75">
      <c r="B718" s="236"/>
      <c r="C718" s="296"/>
      <c r="D718" s="236"/>
      <c r="E718" s="236"/>
    </row>
    <row r="719" spans="2:5" ht="12.75">
      <c r="B719" s="236"/>
      <c r="C719" s="296"/>
      <c r="D719" s="236"/>
      <c r="E719" s="236"/>
    </row>
    <row r="720" spans="2:5" ht="12.75">
      <c r="B720" s="236"/>
      <c r="C720" s="296"/>
      <c r="D720" s="236"/>
      <c r="E720" s="236"/>
    </row>
    <row r="721" spans="2:5" ht="12.75">
      <c r="B721" s="236"/>
      <c r="C721" s="296"/>
      <c r="D721" s="236"/>
      <c r="E721" s="236"/>
    </row>
    <row r="722" spans="2:5" ht="12.75">
      <c r="B722" s="236"/>
      <c r="C722" s="296"/>
      <c r="D722" s="236"/>
      <c r="E722" s="236"/>
    </row>
    <row r="723" spans="2:5" ht="12.75">
      <c r="B723" s="236"/>
      <c r="C723" s="296"/>
      <c r="D723" s="236"/>
      <c r="E723" s="236"/>
    </row>
    <row r="724" spans="2:5" ht="12.75">
      <c r="B724" s="236"/>
      <c r="C724" s="296"/>
      <c r="D724" s="236"/>
      <c r="E724" s="236"/>
    </row>
    <row r="725" spans="2:5" ht="12.75">
      <c r="B725" s="236"/>
      <c r="C725" s="296"/>
      <c r="D725" s="236"/>
      <c r="E725" s="236"/>
    </row>
    <row r="726" spans="2:5" ht="12.75">
      <c r="B726" s="236"/>
      <c r="C726" s="296"/>
      <c r="D726" s="236"/>
      <c r="E726" s="236"/>
    </row>
    <row r="727" spans="2:5" ht="12.75">
      <c r="B727" s="236"/>
      <c r="C727" s="296"/>
      <c r="D727" s="236"/>
      <c r="E727" s="236"/>
    </row>
    <row r="728" spans="2:5" ht="12.75">
      <c r="B728" s="236"/>
      <c r="C728" s="296"/>
      <c r="D728" s="236"/>
      <c r="E728" s="236"/>
    </row>
    <row r="729" spans="2:5" ht="12.75">
      <c r="B729" s="236"/>
      <c r="C729" s="296"/>
      <c r="D729" s="236"/>
      <c r="E729" s="236"/>
    </row>
    <row r="730" spans="2:5" ht="12.75">
      <c r="B730" s="236"/>
      <c r="C730" s="296"/>
      <c r="D730" s="236"/>
      <c r="E730" s="236"/>
    </row>
    <row r="731" spans="2:5" ht="12.75">
      <c r="B731" s="236"/>
      <c r="C731" s="296"/>
      <c r="D731" s="236"/>
      <c r="E731" s="236"/>
    </row>
    <row r="732" spans="2:5" ht="12.75">
      <c r="B732" s="236"/>
      <c r="C732" s="296"/>
      <c r="D732" s="236"/>
      <c r="E732" s="236"/>
    </row>
    <row r="733" spans="2:5" ht="12.75">
      <c r="B733" s="236"/>
      <c r="C733" s="296"/>
      <c r="D733" s="236"/>
      <c r="E733" s="236"/>
    </row>
    <row r="734" spans="2:5" ht="12.75">
      <c r="B734" s="236"/>
      <c r="C734" s="296"/>
      <c r="D734" s="236"/>
      <c r="E734" s="236"/>
    </row>
    <row r="735" spans="2:5" ht="12.75">
      <c r="B735" s="236"/>
      <c r="C735" s="296"/>
      <c r="D735" s="236"/>
      <c r="E735" s="236"/>
    </row>
    <row r="736" spans="2:5" ht="12.75">
      <c r="B736" s="236"/>
      <c r="C736" s="296"/>
      <c r="D736" s="236"/>
      <c r="E736" s="236"/>
    </row>
    <row r="737" spans="2:5" ht="12.75">
      <c r="B737" s="236"/>
      <c r="C737" s="296"/>
      <c r="D737" s="236"/>
      <c r="E737" s="236"/>
    </row>
    <row r="738" spans="2:5" ht="12.75">
      <c r="B738" s="236"/>
      <c r="C738" s="296"/>
      <c r="D738" s="236"/>
      <c r="E738" s="236"/>
    </row>
    <row r="739" spans="2:5" ht="12.75">
      <c r="B739" s="236"/>
      <c r="C739" s="296"/>
      <c r="D739" s="236"/>
      <c r="E739" s="236"/>
    </row>
    <row r="740" spans="2:5" ht="12.75">
      <c r="B740" s="236"/>
      <c r="C740" s="296"/>
      <c r="D740" s="236"/>
      <c r="E740" s="236"/>
    </row>
    <row r="741" spans="2:5" ht="12.75">
      <c r="B741" s="236"/>
      <c r="C741" s="296"/>
      <c r="D741" s="236"/>
      <c r="E741" s="236"/>
    </row>
    <row r="742" spans="2:5" ht="12.75">
      <c r="B742" s="236"/>
      <c r="C742" s="296"/>
      <c r="D742" s="236"/>
      <c r="E742" s="236"/>
    </row>
    <row r="743" spans="2:5" ht="12.75">
      <c r="B743" s="236"/>
      <c r="C743" s="296"/>
      <c r="D743" s="236"/>
      <c r="E743" s="236"/>
    </row>
    <row r="744" spans="2:5" ht="12.75">
      <c r="B744" s="236"/>
      <c r="C744" s="296"/>
      <c r="D744" s="236"/>
      <c r="E744" s="236"/>
    </row>
    <row r="745" spans="2:5" ht="12.75">
      <c r="B745" s="236"/>
      <c r="C745" s="296"/>
      <c r="D745" s="236"/>
      <c r="E745" s="236"/>
    </row>
    <row r="746" spans="2:5" ht="12.75">
      <c r="B746" s="236"/>
      <c r="C746" s="296"/>
      <c r="D746" s="236"/>
      <c r="E746" s="236"/>
    </row>
    <row r="747" spans="2:5" ht="12.75">
      <c r="B747" s="236"/>
      <c r="C747" s="296"/>
      <c r="D747" s="236"/>
      <c r="E747" s="236"/>
    </row>
    <row r="748" spans="2:5" ht="12.75">
      <c r="B748" s="236"/>
      <c r="C748" s="296"/>
      <c r="D748" s="236"/>
      <c r="E748" s="236"/>
    </row>
    <row r="749" spans="2:5" ht="12.75">
      <c r="B749" s="236"/>
      <c r="C749" s="296"/>
      <c r="D749" s="236"/>
      <c r="E749" s="236"/>
    </row>
    <row r="750" spans="2:5" ht="12.75">
      <c r="B750" s="236"/>
      <c r="C750" s="296"/>
      <c r="D750" s="236"/>
      <c r="E750" s="236"/>
    </row>
    <row r="751" spans="2:5" ht="12.75">
      <c r="B751" s="236"/>
      <c r="C751" s="296"/>
      <c r="D751" s="236"/>
      <c r="E751" s="236"/>
    </row>
    <row r="752" spans="2:5" ht="12.75">
      <c r="B752" s="236"/>
      <c r="C752" s="296"/>
      <c r="D752" s="236"/>
      <c r="E752" s="236"/>
    </row>
    <row r="753" spans="2:5" ht="12.75">
      <c r="B753" s="236"/>
      <c r="C753" s="296"/>
      <c r="D753" s="236"/>
      <c r="E753" s="236"/>
    </row>
    <row r="754" spans="2:5" ht="12.75">
      <c r="B754" s="236"/>
      <c r="C754" s="296"/>
      <c r="D754" s="236"/>
      <c r="E754" s="236"/>
    </row>
    <row r="755" spans="2:5" ht="12.75">
      <c r="B755" s="236"/>
      <c r="C755" s="296"/>
      <c r="D755" s="236"/>
      <c r="E755" s="236"/>
    </row>
    <row r="756" spans="2:5" ht="12.75">
      <c r="B756" s="236"/>
      <c r="C756" s="296"/>
      <c r="D756" s="236"/>
      <c r="E756" s="236"/>
    </row>
    <row r="757" spans="2:5" ht="12.75">
      <c r="B757" s="236"/>
      <c r="C757" s="296"/>
      <c r="D757" s="236"/>
      <c r="E757" s="236"/>
    </row>
    <row r="758" spans="2:5" ht="12.75">
      <c r="B758" s="236"/>
      <c r="C758" s="296"/>
      <c r="D758" s="236"/>
      <c r="E758" s="236"/>
    </row>
    <row r="759" spans="2:5" ht="12.75">
      <c r="B759" s="236"/>
      <c r="C759" s="296"/>
      <c r="D759" s="236"/>
      <c r="E759" s="236"/>
    </row>
    <row r="760" spans="2:5" ht="12.75">
      <c r="B760" s="236"/>
      <c r="C760" s="296"/>
      <c r="D760" s="236"/>
      <c r="E760" s="236"/>
    </row>
    <row r="761" spans="2:5" ht="12.75">
      <c r="B761" s="236"/>
      <c r="C761" s="296"/>
      <c r="D761" s="236"/>
      <c r="E761" s="236"/>
    </row>
    <row r="762" spans="2:5" ht="12.75">
      <c r="B762" s="236"/>
      <c r="C762" s="296"/>
      <c r="D762" s="236"/>
      <c r="E762" s="236"/>
    </row>
    <row r="763" spans="2:5" ht="12.75">
      <c r="B763" s="236"/>
      <c r="C763" s="296"/>
      <c r="D763" s="236"/>
      <c r="E763" s="236"/>
    </row>
    <row r="764" spans="2:5" ht="12.75">
      <c r="B764" s="236"/>
      <c r="C764" s="296"/>
      <c r="D764" s="236"/>
      <c r="E764" s="236"/>
    </row>
    <row r="765" spans="2:5" ht="12.75">
      <c r="B765" s="236"/>
      <c r="C765" s="296"/>
      <c r="D765" s="236"/>
      <c r="E765" s="236"/>
    </row>
    <row r="766" spans="2:5" ht="12.75">
      <c r="B766" s="236"/>
      <c r="C766" s="296"/>
      <c r="D766" s="236"/>
      <c r="E766" s="236"/>
    </row>
    <row r="767" spans="2:5" ht="12.75">
      <c r="B767" s="236"/>
      <c r="C767" s="296"/>
      <c r="D767" s="236"/>
      <c r="E767" s="236"/>
    </row>
    <row r="768" spans="2:5" ht="12.75">
      <c r="B768" s="236"/>
      <c r="C768" s="296"/>
      <c r="D768" s="236"/>
      <c r="E768" s="236"/>
    </row>
    <row r="769" spans="2:5" ht="12.75">
      <c r="B769" s="236"/>
      <c r="C769" s="296"/>
      <c r="D769" s="236"/>
      <c r="E769" s="236"/>
    </row>
    <row r="770" spans="2:5" ht="12.75">
      <c r="B770" s="236"/>
      <c r="C770" s="296"/>
      <c r="D770" s="236"/>
      <c r="E770" s="236"/>
    </row>
    <row r="771" spans="2:5" ht="12.75">
      <c r="B771" s="236"/>
      <c r="C771" s="296"/>
      <c r="D771" s="236"/>
      <c r="E771" s="236"/>
    </row>
    <row r="772" spans="2:5" ht="12.75">
      <c r="B772" s="236"/>
      <c r="C772" s="296"/>
      <c r="D772" s="236"/>
      <c r="E772" s="236"/>
    </row>
    <row r="773" spans="2:5" ht="12.75">
      <c r="B773" s="236"/>
      <c r="C773" s="296"/>
      <c r="D773" s="236"/>
      <c r="E773" s="236"/>
    </row>
    <row r="774" spans="2:5" ht="12.75">
      <c r="B774" s="236"/>
      <c r="C774" s="296"/>
      <c r="D774" s="236"/>
      <c r="E774" s="236"/>
    </row>
    <row r="775" spans="2:5" ht="12.75">
      <c r="B775" s="236"/>
      <c r="C775" s="296"/>
      <c r="D775" s="236"/>
      <c r="E775" s="236"/>
    </row>
    <row r="776" spans="2:5" ht="12.75">
      <c r="B776" s="236"/>
      <c r="C776" s="296"/>
      <c r="D776" s="236"/>
      <c r="E776" s="236"/>
    </row>
    <row r="777" spans="2:5" ht="12.75">
      <c r="B777" s="236"/>
      <c r="C777" s="296"/>
      <c r="D777" s="236"/>
      <c r="E777" s="236"/>
    </row>
    <row r="778" spans="2:5" ht="12.75">
      <c r="B778" s="236"/>
      <c r="C778" s="296"/>
      <c r="D778" s="236"/>
      <c r="E778" s="236"/>
    </row>
    <row r="779" spans="2:5" ht="12.75">
      <c r="B779" s="236"/>
      <c r="C779" s="296"/>
      <c r="D779" s="236"/>
      <c r="E779" s="236"/>
    </row>
    <row r="780" spans="2:5" ht="12.75">
      <c r="B780" s="236"/>
      <c r="C780" s="296"/>
      <c r="D780" s="236"/>
      <c r="E780" s="236"/>
    </row>
    <row r="781" spans="2:5" ht="12.75">
      <c r="B781" s="236"/>
      <c r="C781" s="296"/>
      <c r="D781" s="236"/>
      <c r="E781" s="236"/>
    </row>
    <row r="782" spans="2:5" ht="12.75">
      <c r="B782" s="236"/>
      <c r="C782" s="296"/>
      <c r="D782" s="236"/>
      <c r="E782" s="236"/>
    </row>
    <row r="783" spans="2:5" ht="12.75">
      <c r="B783" s="236"/>
      <c r="C783" s="296"/>
      <c r="D783" s="236"/>
      <c r="E783" s="236"/>
    </row>
    <row r="784" spans="2:5" ht="12.75">
      <c r="B784" s="236"/>
      <c r="C784" s="296"/>
      <c r="D784" s="236"/>
      <c r="E784" s="236"/>
    </row>
    <row r="785" spans="2:5" ht="12.75">
      <c r="B785" s="236"/>
      <c r="C785" s="296"/>
      <c r="D785" s="236"/>
      <c r="E785" s="236"/>
    </row>
    <row r="786" spans="2:5" ht="12.75">
      <c r="B786" s="236"/>
      <c r="C786" s="296"/>
      <c r="D786" s="236"/>
      <c r="E786" s="236"/>
    </row>
    <row r="787" spans="2:5" ht="12.75">
      <c r="B787" s="236"/>
      <c r="C787" s="296"/>
      <c r="D787" s="236"/>
      <c r="E787" s="236"/>
    </row>
    <row r="788" spans="2:5" ht="12.75">
      <c r="B788" s="236"/>
      <c r="C788" s="296"/>
      <c r="D788" s="236"/>
      <c r="E788" s="236"/>
    </row>
    <row r="789" spans="2:5" ht="12.75">
      <c r="B789" s="236"/>
      <c r="C789" s="296"/>
      <c r="D789" s="236"/>
      <c r="E789" s="236"/>
    </row>
    <row r="790" spans="2:5" ht="12.75">
      <c r="B790" s="236"/>
      <c r="C790" s="296"/>
      <c r="D790" s="236"/>
      <c r="E790" s="236"/>
    </row>
    <row r="791" spans="2:5" ht="12.75">
      <c r="B791" s="236"/>
      <c r="C791" s="296"/>
      <c r="D791" s="236"/>
      <c r="E791" s="236"/>
    </row>
    <row r="792" spans="2:5" ht="12.75">
      <c r="B792" s="236"/>
      <c r="C792" s="296"/>
      <c r="D792" s="236"/>
      <c r="E792" s="236"/>
    </row>
    <row r="793" spans="2:5" ht="12.75">
      <c r="B793" s="236"/>
      <c r="C793" s="296"/>
      <c r="D793" s="236"/>
      <c r="E793" s="236"/>
    </row>
    <row r="794" spans="2:5" ht="12.75">
      <c r="B794" s="236"/>
      <c r="C794" s="296"/>
      <c r="D794" s="236"/>
      <c r="E794" s="236"/>
    </row>
    <row r="795" spans="2:5" ht="12.75">
      <c r="B795" s="236"/>
      <c r="C795" s="296"/>
      <c r="D795" s="236"/>
      <c r="E795" s="236"/>
    </row>
    <row r="796" spans="2:5" ht="12.75">
      <c r="B796" s="236"/>
      <c r="C796" s="296"/>
      <c r="D796" s="236"/>
      <c r="E796" s="236"/>
    </row>
    <row r="797" spans="2:5" ht="12.75">
      <c r="B797" s="236"/>
      <c r="C797" s="296"/>
      <c r="D797" s="236"/>
      <c r="E797" s="236"/>
    </row>
    <row r="798" spans="2:5" ht="12.75">
      <c r="B798" s="236"/>
      <c r="C798" s="296"/>
      <c r="D798" s="236"/>
      <c r="E798" s="236"/>
    </row>
    <row r="799" spans="2:5" ht="12.75">
      <c r="B799" s="236"/>
      <c r="C799" s="296"/>
      <c r="D799" s="236"/>
      <c r="E799" s="236"/>
    </row>
    <row r="800" spans="2:5" ht="12.75">
      <c r="B800" s="236"/>
      <c r="C800" s="296"/>
      <c r="D800" s="236"/>
      <c r="E800" s="236"/>
    </row>
    <row r="801" spans="2:5" ht="12.75">
      <c r="B801" s="236"/>
      <c r="C801" s="296"/>
      <c r="D801" s="236"/>
      <c r="E801" s="236"/>
    </row>
    <row r="802" spans="2:5" ht="12.75">
      <c r="B802" s="236"/>
      <c r="C802" s="296"/>
      <c r="D802" s="236"/>
      <c r="E802" s="236"/>
    </row>
    <row r="803" spans="2:5" ht="12.75">
      <c r="B803" s="236"/>
      <c r="C803" s="296"/>
      <c r="D803" s="236"/>
      <c r="E803" s="236"/>
    </row>
    <row r="804" spans="2:5" ht="12.75">
      <c r="B804" s="236"/>
      <c r="C804" s="296"/>
      <c r="D804" s="236"/>
      <c r="E804" s="236"/>
    </row>
    <row r="805" spans="2:5" ht="12.75">
      <c r="B805" s="236"/>
      <c r="C805" s="296"/>
      <c r="D805" s="236"/>
      <c r="E805" s="236"/>
    </row>
    <row r="806" spans="2:5" ht="12.75">
      <c r="B806" s="236"/>
      <c r="C806" s="296"/>
      <c r="D806" s="236"/>
      <c r="E806" s="236"/>
    </row>
    <row r="807" spans="2:5" ht="12.75">
      <c r="B807" s="236"/>
      <c r="C807" s="296"/>
      <c r="D807" s="236"/>
      <c r="E807" s="236"/>
    </row>
    <row r="808" spans="2:5" ht="12.75">
      <c r="B808" s="236"/>
      <c r="C808" s="296"/>
      <c r="D808" s="236"/>
      <c r="E808" s="236"/>
    </row>
    <row r="809" spans="2:5" ht="12.75">
      <c r="B809" s="236"/>
      <c r="C809" s="296"/>
      <c r="D809" s="236"/>
      <c r="E809" s="236"/>
    </row>
    <row r="810" spans="2:5" ht="12.75">
      <c r="B810" s="236"/>
      <c r="C810" s="296"/>
      <c r="D810" s="236"/>
      <c r="E810" s="236"/>
    </row>
    <row r="811" spans="2:5" ht="12.75">
      <c r="B811" s="236"/>
      <c r="C811" s="296"/>
      <c r="D811" s="236"/>
      <c r="E811" s="236"/>
    </row>
    <row r="812" spans="2:5" ht="12.75">
      <c r="B812" s="236"/>
      <c r="C812" s="296"/>
      <c r="D812" s="236"/>
      <c r="E812" s="236"/>
    </row>
    <row r="813" spans="2:5" ht="12.75">
      <c r="B813" s="236"/>
      <c r="C813" s="296"/>
      <c r="D813" s="236"/>
      <c r="E813" s="236"/>
    </row>
    <row r="814" spans="2:5" ht="12.75">
      <c r="B814" s="236"/>
      <c r="C814" s="296"/>
      <c r="D814" s="236"/>
      <c r="E814" s="236"/>
    </row>
    <row r="815" spans="2:5" ht="12.75">
      <c r="B815" s="236"/>
      <c r="C815" s="296"/>
      <c r="D815" s="236"/>
      <c r="E815" s="236"/>
    </row>
    <row r="816" spans="2:5" ht="12.75">
      <c r="B816" s="236"/>
      <c r="C816" s="296"/>
      <c r="D816" s="236"/>
      <c r="E816" s="236"/>
    </row>
    <row r="817" spans="2:5" ht="12.75">
      <c r="B817" s="236"/>
      <c r="C817" s="296"/>
      <c r="D817" s="236"/>
      <c r="E817" s="236"/>
    </row>
    <row r="818" spans="2:5" ht="12.75">
      <c r="B818" s="236"/>
      <c r="C818" s="296"/>
      <c r="D818" s="236"/>
      <c r="E818" s="236"/>
    </row>
    <row r="819" spans="2:5" ht="12.75">
      <c r="B819" s="236"/>
      <c r="C819" s="296"/>
      <c r="D819" s="236"/>
      <c r="E819" s="236"/>
    </row>
    <row r="820" spans="2:5" ht="12.75">
      <c r="B820" s="236"/>
      <c r="C820" s="296"/>
      <c r="D820" s="236"/>
      <c r="E820" s="236"/>
    </row>
    <row r="821" spans="2:5" ht="12.75">
      <c r="B821" s="236"/>
      <c r="C821" s="296"/>
      <c r="D821" s="236"/>
      <c r="E821" s="236"/>
    </row>
    <row r="822" spans="2:5" ht="12.75">
      <c r="B822" s="236"/>
      <c r="C822" s="296"/>
      <c r="D822" s="236"/>
      <c r="E822" s="236"/>
    </row>
    <row r="823" spans="2:5" ht="12.75">
      <c r="B823" s="236"/>
      <c r="C823" s="296"/>
      <c r="D823" s="236"/>
      <c r="E823" s="236"/>
    </row>
    <row r="824" spans="2:5" ht="12.75">
      <c r="B824" s="236"/>
      <c r="C824" s="296"/>
      <c r="D824" s="236"/>
      <c r="E824" s="236"/>
    </row>
    <row r="825" spans="2:5" ht="12.75">
      <c r="B825" s="236"/>
      <c r="C825" s="296"/>
      <c r="D825" s="236"/>
      <c r="E825" s="236"/>
    </row>
    <row r="826" spans="2:5" ht="12.75">
      <c r="B826" s="236"/>
      <c r="C826" s="296"/>
      <c r="D826" s="236"/>
      <c r="E826" s="236"/>
    </row>
    <row r="827" spans="2:5" ht="12.75">
      <c r="B827" s="236"/>
      <c r="C827" s="296"/>
      <c r="D827" s="236"/>
      <c r="E827" s="236"/>
    </row>
    <row r="828" spans="2:5" ht="12.75">
      <c r="B828" s="236"/>
      <c r="C828" s="296"/>
      <c r="D828" s="236"/>
      <c r="E828" s="236"/>
    </row>
    <row r="829" spans="2:5" ht="12.75">
      <c r="B829" s="236"/>
      <c r="C829" s="296"/>
      <c r="D829" s="236"/>
      <c r="E829" s="236"/>
    </row>
    <row r="830" spans="2:5" ht="12.75">
      <c r="B830" s="236"/>
      <c r="C830" s="296"/>
      <c r="D830" s="236"/>
      <c r="E830" s="236"/>
    </row>
    <row r="831" spans="2:5" ht="12.75">
      <c r="B831" s="236"/>
      <c r="C831" s="296"/>
      <c r="D831" s="236"/>
      <c r="E831" s="236"/>
    </row>
    <row r="832" spans="2:5" ht="12.75">
      <c r="B832" s="236"/>
      <c r="C832" s="296"/>
      <c r="D832" s="236"/>
      <c r="E832" s="236"/>
    </row>
    <row r="833" spans="2:5" ht="12.75">
      <c r="B833" s="236"/>
      <c r="C833" s="296"/>
      <c r="D833" s="236"/>
      <c r="E833" s="236"/>
    </row>
    <row r="834" spans="2:5" ht="12.75">
      <c r="B834" s="236"/>
      <c r="C834" s="296"/>
      <c r="D834" s="236"/>
      <c r="E834" s="236"/>
    </row>
    <row r="835" spans="2:5" ht="12.75">
      <c r="B835" s="236"/>
      <c r="C835" s="296"/>
      <c r="D835" s="236"/>
      <c r="E835" s="236"/>
    </row>
    <row r="836" spans="2:5" ht="12.75">
      <c r="B836" s="236"/>
      <c r="C836" s="296"/>
      <c r="D836" s="236"/>
      <c r="E836" s="236"/>
    </row>
    <row r="837" spans="2:5" ht="12.75">
      <c r="B837" s="236"/>
      <c r="C837" s="296"/>
      <c r="D837" s="236"/>
      <c r="E837" s="236"/>
    </row>
    <row r="838" spans="2:5" ht="12.75">
      <c r="B838" s="236"/>
      <c r="C838" s="296"/>
      <c r="D838" s="236"/>
      <c r="E838" s="236"/>
    </row>
    <row r="839" spans="2:5" ht="12.75">
      <c r="B839" s="236"/>
      <c r="C839" s="296"/>
      <c r="D839" s="236"/>
      <c r="E839" s="236"/>
    </row>
    <row r="840" spans="2:5" ht="12.75">
      <c r="B840" s="236"/>
      <c r="C840" s="296"/>
      <c r="D840" s="236"/>
      <c r="E840" s="236"/>
    </row>
    <row r="841" spans="2:5" ht="12.75">
      <c r="B841" s="236"/>
      <c r="C841" s="296"/>
      <c r="D841" s="236"/>
      <c r="E841" s="236"/>
    </row>
    <row r="842" spans="2:5" ht="12.75">
      <c r="B842" s="236"/>
      <c r="C842" s="296"/>
      <c r="D842" s="236"/>
      <c r="E842" s="236"/>
    </row>
    <row r="843" spans="2:5" ht="12.75">
      <c r="B843" s="236"/>
      <c r="C843" s="296"/>
      <c r="D843" s="236"/>
      <c r="E843" s="236"/>
    </row>
    <row r="844" spans="2:5" ht="12.75">
      <c r="B844" s="236"/>
      <c r="C844" s="296"/>
      <c r="D844" s="236"/>
      <c r="E844" s="236"/>
    </row>
    <row r="845" spans="2:5" ht="12.75">
      <c r="B845" s="236"/>
      <c r="C845" s="296"/>
      <c r="D845" s="236"/>
      <c r="E845" s="236"/>
    </row>
    <row r="846" spans="2:5" ht="12.75">
      <c r="B846" s="236"/>
      <c r="C846" s="296"/>
      <c r="D846" s="236"/>
      <c r="E846" s="236"/>
    </row>
    <row r="847" spans="2:5" ht="12.75">
      <c r="B847" s="236"/>
      <c r="C847" s="296"/>
      <c r="D847" s="236"/>
      <c r="E847" s="236"/>
    </row>
    <row r="848" spans="2:5" ht="12.75">
      <c r="B848" s="236"/>
      <c r="C848" s="296"/>
      <c r="D848" s="236"/>
      <c r="E848" s="236"/>
    </row>
    <row r="849" spans="2:5" ht="12.75">
      <c r="B849" s="236"/>
      <c r="C849" s="296"/>
      <c r="D849" s="236"/>
      <c r="E849" s="236"/>
    </row>
    <row r="850" spans="2:5" ht="12.75">
      <c r="B850" s="236"/>
      <c r="C850" s="296"/>
      <c r="D850" s="236"/>
      <c r="E850" s="236"/>
    </row>
    <row r="851" spans="2:5" ht="12.75">
      <c r="B851" s="236"/>
      <c r="C851" s="296"/>
      <c r="D851" s="236"/>
      <c r="E851" s="236"/>
    </row>
    <row r="852" spans="2:5" ht="12.75">
      <c r="B852" s="236"/>
      <c r="C852" s="296"/>
      <c r="D852" s="236"/>
      <c r="E852" s="236"/>
    </row>
    <row r="853" spans="2:5" ht="12.75">
      <c r="B853" s="236"/>
      <c r="C853" s="296"/>
      <c r="D853" s="236"/>
      <c r="E853" s="236"/>
    </row>
    <row r="854" spans="2:5" ht="12.75">
      <c r="B854" s="236"/>
      <c r="C854" s="296"/>
      <c r="D854" s="236"/>
      <c r="E854" s="236"/>
    </row>
    <row r="855" spans="2:5" ht="12.75">
      <c r="B855" s="236"/>
      <c r="C855" s="296"/>
      <c r="D855" s="236"/>
      <c r="E855" s="236"/>
    </row>
    <row r="856" spans="2:5" ht="12.75">
      <c r="B856" s="236"/>
      <c r="C856" s="296"/>
      <c r="D856" s="236"/>
      <c r="E856" s="236"/>
    </row>
    <row r="857" spans="2:5" ht="12.75">
      <c r="B857" s="236"/>
      <c r="C857" s="296"/>
      <c r="D857" s="236"/>
      <c r="E857" s="236"/>
    </row>
    <row r="858" spans="2:5" ht="12.75">
      <c r="B858" s="236"/>
      <c r="C858" s="296"/>
      <c r="D858" s="236"/>
      <c r="E858" s="236"/>
    </row>
    <row r="859" spans="2:5" ht="12.75">
      <c r="B859" s="236"/>
      <c r="C859" s="296"/>
      <c r="D859" s="236"/>
      <c r="E859" s="236"/>
    </row>
    <row r="860" spans="2:5" ht="12.75">
      <c r="B860" s="236"/>
      <c r="C860" s="296"/>
      <c r="D860" s="236"/>
      <c r="E860" s="236"/>
    </row>
    <row r="861" spans="2:5" ht="12.75">
      <c r="B861" s="236"/>
      <c r="C861" s="296"/>
      <c r="D861" s="236"/>
      <c r="E861" s="236"/>
    </row>
    <row r="862" spans="2:5" ht="12.75">
      <c r="B862" s="236"/>
      <c r="C862" s="296"/>
      <c r="D862" s="236"/>
      <c r="E862" s="236"/>
    </row>
    <row r="863" spans="2:5" ht="12.75">
      <c r="B863" s="236"/>
      <c r="C863" s="296"/>
      <c r="D863" s="236"/>
      <c r="E863" s="236"/>
    </row>
    <row r="864" spans="2:5" ht="12.75">
      <c r="B864" s="236"/>
      <c r="C864" s="296"/>
      <c r="D864" s="236"/>
      <c r="E864" s="236"/>
    </row>
    <row r="865" spans="2:5" ht="12.75">
      <c r="B865" s="236"/>
      <c r="C865" s="296"/>
      <c r="D865" s="236"/>
      <c r="E865" s="236"/>
    </row>
    <row r="866" spans="2:5" ht="12.75">
      <c r="B866" s="236"/>
      <c r="C866" s="296"/>
      <c r="D866" s="236"/>
      <c r="E866" s="236"/>
    </row>
    <row r="867" spans="2:5" ht="12.75">
      <c r="B867" s="236"/>
      <c r="C867" s="296"/>
      <c r="D867" s="236"/>
      <c r="E867" s="236"/>
    </row>
    <row r="868" spans="2:5" ht="12.75">
      <c r="B868" s="236"/>
      <c r="C868" s="296"/>
      <c r="D868" s="236"/>
      <c r="E868" s="236"/>
    </row>
    <row r="869" spans="2:5" ht="12.75">
      <c r="B869" s="236"/>
      <c r="C869" s="296"/>
      <c r="D869" s="236"/>
      <c r="E869" s="236"/>
    </row>
    <row r="870" spans="2:5" ht="12.75">
      <c r="B870" s="236"/>
      <c r="C870" s="296"/>
      <c r="D870" s="236"/>
      <c r="E870" s="236"/>
    </row>
    <row r="871" spans="2:5" ht="12.75">
      <c r="B871" s="236"/>
      <c r="C871" s="296"/>
      <c r="D871" s="236"/>
      <c r="E871" s="236"/>
    </row>
    <row r="872" spans="2:5" ht="12.75">
      <c r="B872" s="236"/>
      <c r="C872" s="296"/>
      <c r="D872" s="236"/>
      <c r="E872" s="236"/>
    </row>
    <row r="873" spans="2:5" ht="12.75">
      <c r="B873" s="236"/>
      <c r="C873" s="296"/>
      <c r="D873" s="236"/>
      <c r="E873" s="236"/>
    </row>
    <row r="874" spans="2:5" ht="12.75">
      <c r="B874" s="236"/>
      <c r="C874" s="296"/>
      <c r="D874" s="236"/>
      <c r="E874" s="236"/>
    </row>
    <row r="875" spans="2:5" ht="12.75">
      <c r="B875" s="236"/>
      <c r="C875" s="296"/>
      <c r="D875" s="236"/>
      <c r="E875" s="236"/>
    </row>
    <row r="876" spans="2:5" ht="12.75">
      <c r="B876" s="236"/>
      <c r="C876" s="296"/>
      <c r="D876" s="236"/>
      <c r="E876" s="236"/>
    </row>
    <row r="877" spans="2:5" ht="12.75">
      <c r="B877" s="236"/>
      <c r="C877" s="296"/>
      <c r="D877" s="236"/>
      <c r="E877" s="236"/>
    </row>
    <row r="878" spans="2:5" ht="12.75">
      <c r="B878" s="236"/>
      <c r="C878" s="296"/>
      <c r="D878" s="236"/>
      <c r="E878" s="236"/>
    </row>
    <row r="879" spans="2:5" ht="12.75">
      <c r="B879" s="236"/>
      <c r="C879" s="296"/>
      <c r="D879" s="236"/>
      <c r="E879" s="236"/>
    </row>
    <row r="880" spans="2:5" ht="12.75">
      <c r="B880" s="236"/>
      <c r="C880" s="296"/>
      <c r="D880" s="236"/>
      <c r="E880" s="236"/>
    </row>
    <row r="881" spans="2:5" ht="12.75">
      <c r="B881" s="236"/>
      <c r="C881" s="296"/>
      <c r="D881" s="236"/>
      <c r="E881" s="236"/>
    </row>
    <row r="882" spans="2:5" ht="12.75">
      <c r="B882" s="236"/>
      <c r="C882" s="296"/>
      <c r="D882" s="236"/>
      <c r="E882" s="236"/>
    </row>
    <row r="883" spans="2:5" ht="12.75">
      <c r="B883" s="236"/>
      <c r="C883" s="296"/>
      <c r="D883" s="236"/>
      <c r="E883" s="236"/>
    </row>
    <row r="884" spans="2:5" ht="12.75">
      <c r="B884" s="236"/>
      <c r="C884" s="296"/>
      <c r="D884" s="236"/>
      <c r="E884" s="236"/>
    </row>
    <row r="885" spans="2:5" ht="12.75">
      <c r="B885" s="236"/>
      <c r="C885" s="296"/>
      <c r="D885" s="236"/>
      <c r="E885" s="236"/>
    </row>
    <row r="886" spans="2:5" ht="12.75">
      <c r="B886" s="236"/>
      <c r="C886" s="296"/>
      <c r="D886" s="236"/>
      <c r="E886" s="236"/>
    </row>
    <row r="887" spans="2:5" ht="12.75">
      <c r="B887" s="236"/>
      <c r="C887" s="296"/>
      <c r="D887" s="236"/>
      <c r="E887" s="236"/>
    </row>
    <row r="888" spans="2:5" ht="12.75">
      <c r="B888" s="236"/>
      <c r="C888" s="296"/>
      <c r="D888" s="236"/>
      <c r="E888" s="236"/>
    </row>
    <row r="889" spans="2:5" ht="12.75">
      <c r="B889" s="236"/>
      <c r="C889" s="296"/>
      <c r="D889" s="236"/>
      <c r="E889" s="236"/>
    </row>
    <row r="890" spans="2:5" ht="12.75">
      <c r="B890" s="236"/>
      <c r="C890" s="296"/>
      <c r="D890" s="236"/>
      <c r="E890" s="236"/>
    </row>
    <row r="891" spans="2:5" ht="12.75">
      <c r="B891" s="236"/>
      <c r="C891" s="296"/>
      <c r="D891" s="236"/>
      <c r="E891" s="236"/>
    </row>
    <row r="892" spans="2:5" ht="12.75">
      <c r="B892" s="236"/>
      <c r="C892" s="296"/>
      <c r="D892" s="236"/>
      <c r="E892" s="236"/>
    </row>
    <row r="893" spans="2:5" ht="12.75">
      <c r="B893" s="236"/>
      <c r="C893" s="296"/>
      <c r="D893" s="236"/>
      <c r="E893" s="236"/>
    </row>
    <row r="894" spans="2:5" ht="12.75">
      <c r="B894" s="236"/>
      <c r="C894" s="296"/>
      <c r="D894" s="236"/>
      <c r="E894" s="236"/>
    </row>
    <row r="895" spans="2:5" ht="12.75">
      <c r="B895" s="236"/>
      <c r="C895" s="296"/>
      <c r="D895" s="236"/>
      <c r="E895" s="236"/>
    </row>
    <row r="896" spans="2:5" ht="12.75">
      <c r="B896" s="236"/>
      <c r="C896" s="296"/>
      <c r="D896" s="236"/>
      <c r="E896" s="236"/>
    </row>
    <row r="897" spans="2:5" ht="12.75">
      <c r="B897" s="236"/>
      <c r="C897" s="296"/>
      <c r="D897" s="236"/>
      <c r="E897" s="236"/>
    </row>
    <row r="898" spans="2:5" ht="12.75">
      <c r="B898" s="236"/>
      <c r="C898" s="296"/>
      <c r="D898" s="236"/>
      <c r="E898" s="236"/>
    </row>
    <row r="899" spans="2:5" ht="12.75">
      <c r="B899" s="236"/>
      <c r="C899" s="296"/>
      <c r="D899" s="236"/>
      <c r="E899" s="236"/>
    </row>
    <row r="900" spans="2:5" ht="12.75">
      <c r="B900" s="236"/>
      <c r="C900" s="296"/>
      <c r="D900" s="236"/>
      <c r="E900" s="236"/>
    </row>
    <row r="901" spans="2:5" ht="12.75">
      <c r="B901" s="236"/>
      <c r="C901" s="296"/>
      <c r="D901" s="236"/>
      <c r="E901" s="236"/>
    </row>
    <row r="902" spans="2:5" ht="12.75">
      <c r="B902" s="236"/>
      <c r="C902" s="296"/>
      <c r="D902" s="236"/>
      <c r="E902" s="236"/>
    </row>
    <row r="903" spans="2:5" ht="12.75">
      <c r="B903" s="236"/>
      <c r="C903" s="296"/>
      <c r="D903" s="236"/>
      <c r="E903" s="236"/>
    </row>
    <row r="904" spans="2:5" ht="12.75">
      <c r="B904" s="236"/>
      <c r="C904" s="296"/>
      <c r="D904" s="236"/>
      <c r="E904" s="236"/>
    </row>
    <row r="905" spans="2:5" ht="12.75">
      <c r="B905" s="236"/>
      <c r="C905" s="296"/>
      <c r="D905" s="236"/>
      <c r="E905" s="236"/>
    </row>
    <row r="906" spans="2:5" ht="12.75">
      <c r="B906" s="236"/>
      <c r="C906" s="296"/>
      <c r="D906" s="236"/>
      <c r="E906" s="236"/>
    </row>
    <row r="907" spans="2:5" ht="12.75">
      <c r="B907" s="236"/>
      <c r="C907" s="296"/>
      <c r="D907" s="236"/>
      <c r="E907" s="236"/>
    </row>
    <row r="908" spans="2:5" ht="12.75">
      <c r="B908" s="236"/>
      <c r="C908" s="296"/>
      <c r="D908" s="236"/>
      <c r="E908" s="236"/>
    </row>
    <row r="909" spans="2:5" ht="12.75">
      <c r="B909" s="236"/>
      <c r="C909" s="296"/>
      <c r="D909" s="236"/>
      <c r="E909" s="236"/>
    </row>
    <row r="910" spans="2:5" ht="12.75">
      <c r="B910" s="236"/>
      <c r="C910" s="296"/>
      <c r="D910" s="236"/>
      <c r="E910" s="236"/>
    </row>
    <row r="911" spans="2:5" ht="12.75">
      <c r="B911" s="236"/>
      <c r="C911" s="296"/>
      <c r="D911" s="236"/>
      <c r="E911" s="236"/>
    </row>
    <row r="912" spans="2:5" ht="12.75">
      <c r="B912" s="236"/>
      <c r="C912" s="296"/>
      <c r="D912" s="236"/>
      <c r="E912" s="236"/>
    </row>
    <row r="913" spans="2:5" ht="12.75">
      <c r="B913" s="236"/>
      <c r="C913" s="296"/>
      <c r="D913" s="236"/>
      <c r="E913" s="236"/>
    </row>
    <row r="914" spans="2:5" ht="12.75">
      <c r="B914" s="236"/>
      <c r="C914" s="296"/>
      <c r="D914" s="236"/>
      <c r="E914" s="236"/>
    </row>
    <row r="915" spans="2:5" ht="12.75">
      <c r="B915" s="236"/>
      <c r="C915" s="296"/>
      <c r="D915" s="236"/>
      <c r="E915" s="236"/>
    </row>
    <row r="916" spans="2:5" ht="12.75">
      <c r="B916" s="236"/>
      <c r="C916" s="296"/>
      <c r="D916" s="236"/>
      <c r="E916" s="236"/>
    </row>
    <row r="917" spans="2:5" ht="12.75">
      <c r="B917" s="236"/>
      <c r="C917" s="296"/>
      <c r="D917" s="236"/>
      <c r="E917" s="236"/>
    </row>
    <row r="918" spans="2:5" ht="12.75">
      <c r="B918" s="236"/>
      <c r="C918" s="296"/>
      <c r="D918" s="236"/>
      <c r="E918" s="236"/>
    </row>
    <row r="919" spans="2:5" ht="12.75">
      <c r="B919" s="236"/>
      <c r="C919" s="296"/>
      <c r="D919" s="236"/>
      <c r="E919" s="236"/>
    </row>
    <row r="920" spans="2:5" ht="12.75">
      <c r="B920" s="236"/>
      <c r="C920" s="296"/>
      <c r="D920" s="236"/>
      <c r="E920" s="236"/>
    </row>
    <row r="921" spans="2:5" ht="12.75">
      <c r="B921" s="236"/>
      <c r="C921" s="296"/>
      <c r="D921" s="236"/>
      <c r="E921" s="236"/>
    </row>
    <row r="922" spans="2:5" ht="12.75">
      <c r="B922" s="236"/>
      <c r="C922" s="296"/>
      <c r="D922" s="236"/>
      <c r="E922" s="236"/>
    </row>
    <row r="923" spans="2:5" ht="12.75">
      <c r="B923" s="236"/>
      <c r="C923" s="296"/>
      <c r="D923" s="236"/>
      <c r="E923" s="236"/>
    </row>
    <row r="924" spans="2:5" ht="12.75">
      <c r="B924" s="236"/>
      <c r="C924" s="296"/>
      <c r="D924" s="236"/>
      <c r="E924" s="236"/>
    </row>
    <row r="925" spans="2:5" ht="12.75">
      <c r="B925" s="236"/>
      <c r="C925" s="296"/>
      <c r="D925" s="236"/>
      <c r="E925" s="236"/>
    </row>
    <row r="926" spans="2:5" ht="12.75">
      <c r="B926" s="236"/>
      <c r="C926" s="296"/>
      <c r="D926" s="236"/>
      <c r="E926" s="236"/>
    </row>
    <row r="927" spans="2:5" ht="12.75">
      <c r="B927" s="236"/>
      <c r="C927" s="296"/>
      <c r="D927" s="236"/>
      <c r="E927" s="236"/>
    </row>
    <row r="928" spans="2:5" ht="12.75">
      <c r="B928" s="236"/>
      <c r="C928" s="296"/>
      <c r="D928" s="236"/>
      <c r="E928" s="236"/>
    </row>
    <row r="929" spans="2:5" ht="12.75">
      <c r="B929" s="236"/>
      <c r="C929" s="296"/>
      <c r="D929" s="236"/>
      <c r="E929" s="236"/>
    </row>
    <row r="930" spans="2:5" ht="12.75">
      <c r="B930" s="236"/>
      <c r="C930" s="296"/>
      <c r="D930" s="236"/>
      <c r="E930" s="236"/>
    </row>
    <row r="931" spans="2:5" ht="12.75">
      <c r="B931" s="236"/>
      <c r="C931" s="296"/>
      <c r="D931" s="236"/>
      <c r="E931" s="236"/>
    </row>
    <row r="932" spans="2:5" ht="12.75">
      <c r="B932" s="236"/>
      <c r="C932" s="296"/>
      <c r="D932" s="236"/>
      <c r="E932" s="236"/>
    </row>
    <row r="933" spans="2:5" ht="12.75">
      <c r="B933" s="236"/>
      <c r="C933" s="296"/>
      <c r="D933" s="236"/>
      <c r="E933" s="236"/>
    </row>
    <row r="934" spans="2:5" ht="12.75">
      <c r="B934" s="236"/>
      <c r="C934" s="296"/>
      <c r="D934" s="236"/>
      <c r="E934" s="236"/>
    </row>
    <row r="935" spans="2:5" ht="12.75">
      <c r="B935" s="236"/>
      <c r="C935" s="296"/>
      <c r="D935" s="236"/>
      <c r="E935" s="236"/>
    </row>
    <row r="936" spans="2:5" ht="12.75">
      <c r="B936" s="236"/>
      <c r="C936" s="296"/>
      <c r="D936" s="236"/>
      <c r="E936" s="236"/>
    </row>
    <row r="937" spans="2:5" ht="12.75">
      <c r="B937" s="236"/>
      <c r="C937" s="296"/>
      <c r="D937" s="236"/>
      <c r="E937" s="236"/>
    </row>
    <row r="938" spans="2:5" ht="12.75">
      <c r="B938" s="236"/>
      <c r="C938" s="296"/>
      <c r="D938" s="236"/>
      <c r="E938" s="236"/>
    </row>
    <row r="939" spans="2:5" ht="12.75">
      <c r="B939" s="236"/>
      <c r="C939" s="296"/>
      <c r="D939" s="236"/>
      <c r="E939" s="236"/>
    </row>
    <row r="940" spans="2:5" ht="12.75">
      <c r="B940" s="236"/>
      <c r="C940" s="296"/>
      <c r="D940" s="236"/>
      <c r="E940" s="236"/>
    </row>
    <row r="941" spans="2:5" ht="12.75">
      <c r="B941" s="236"/>
      <c r="C941" s="296"/>
      <c r="D941" s="236"/>
      <c r="E941" s="236"/>
    </row>
    <row r="942" spans="2:5" ht="12.75">
      <c r="B942" s="236"/>
      <c r="C942" s="296"/>
      <c r="D942" s="236"/>
      <c r="E942" s="236"/>
    </row>
    <row r="943" spans="2:5" ht="12.75">
      <c r="B943" s="236"/>
      <c r="C943" s="296"/>
      <c r="D943" s="236"/>
      <c r="E943" s="236"/>
    </row>
    <row r="944" spans="2:5" ht="12.75">
      <c r="B944" s="236"/>
      <c r="C944" s="296"/>
      <c r="D944" s="236"/>
      <c r="E944" s="236"/>
    </row>
    <row r="945" spans="2:5" ht="12.75">
      <c r="B945" s="236"/>
      <c r="C945" s="296"/>
      <c r="D945" s="236"/>
      <c r="E945" s="236"/>
    </row>
    <row r="946" spans="2:5" ht="12.75">
      <c r="B946" s="236"/>
      <c r="C946" s="296"/>
      <c r="D946" s="236"/>
      <c r="E946" s="236"/>
    </row>
    <row r="947" spans="2:5" ht="12.75">
      <c r="B947" s="236"/>
      <c r="C947" s="296"/>
      <c r="D947" s="236"/>
      <c r="E947" s="236"/>
    </row>
    <row r="948" spans="2:5" ht="12.75">
      <c r="B948" s="236"/>
      <c r="C948" s="296"/>
      <c r="D948" s="236"/>
      <c r="E948" s="236"/>
    </row>
    <row r="949" spans="2:5" ht="12.75">
      <c r="B949" s="236"/>
      <c r="C949" s="296"/>
      <c r="D949" s="236"/>
      <c r="E949" s="236"/>
    </row>
    <row r="950" spans="2:5" ht="12.75">
      <c r="B950" s="236"/>
      <c r="C950" s="296"/>
      <c r="D950" s="236"/>
      <c r="E950" s="236"/>
    </row>
    <row r="951" spans="2:5" ht="12.75">
      <c r="B951" s="236"/>
      <c r="C951" s="296"/>
      <c r="D951" s="236"/>
      <c r="E951" s="236"/>
    </row>
    <row r="952" spans="2:5" ht="12.75">
      <c r="B952" s="236"/>
      <c r="C952" s="296"/>
      <c r="D952" s="236"/>
      <c r="E952" s="236"/>
    </row>
    <row r="953" spans="2:5" ht="12.75">
      <c r="B953" s="236"/>
      <c r="C953" s="296"/>
      <c r="D953" s="236"/>
      <c r="E953" s="236"/>
    </row>
    <row r="954" spans="2:5" ht="12.75">
      <c r="B954" s="236"/>
      <c r="C954" s="296"/>
      <c r="D954" s="236"/>
      <c r="E954" s="236"/>
    </row>
    <row r="955" spans="2:5" ht="12.75">
      <c r="B955" s="236"/>
      <c r="C955" s="296"/>
      <c r="D955" s="236"/>
      <c r="E955" s="236"/>
    </row>
    <row r="956" spans="2:5" ht="12.75">
      <c r="B956" s="236"/>
      <c r="C956" s="296"/>
      <c r="D956" s="236"/>
      <c r="E956" s="236"/>
    </row>
    <row r="957" spans="2:5" ht="12.75">
      <c r="B957" s="236"/>
      <c r="C957" s="296"/>
      <c r="D957" s="236"/>
      <c r="E957" s="236"/>
    </row>
    <row r="958" spans="2:5" ht="12.75">
      <c r="B958" s="236"/>
      <c r="C958" s="296"/>
      <c r="D958" s="236"/>
      <c r="E958" s="236"/>
    </row>
    <row r="959" spans="2:5" ht="12.75">
      <c r="B959" s="236"/>
      <c r="C959" s="296"/>
      <c r="D959" s="236"/>
      <c r="E959" s="236"/>
    </row>
    <row r="960" spans="2:5" ht="12.75">
      <c r="B960" s="236"/>
      <c r="C960" s="296"/>
      <c r="D960" s="236"/>
      <c r="E960" s="236"/>
    </row>
    <row r="961" spans="2:5" ht="12.75">
      <c r="B961" s="236"/>
      <c r="C961" s="296"/>
      <c r="D961" s="236"/>
      <c r="E961" s="236"/>
    </row>
    <row r="962" spans="2:5" ht="12.75">
      <c r="B962" s="236"/>
      <c r="C962" s="296"/>
      <c r="D962" s="236"/>
      <c r="E962" s="236"/>
    </row>
    <row r="963" spans="2:5" ht="12.75">
      <c r="B963" s="236"/>
      <c r="C963" s="296"/>
      <c r="D963" s="236"/>
      <c r="E963" s="236"/>
    </row>
    <row r="964" spans="2:5" ht="12.75">
      <c r="B964" s="236"/>
      <c r="C964" s="296"/>
      <c r="D964" s="236"/>
      <c r="E964" s="236"/>
    </row>
    <row r="965" spans="2:5" ht="12.75">
      <c r="B965" s="236"/>
      <c r="C965" s="296"/>
      <c r="D965" s="236"/>
      <c r="E965" s="236"/>
    </row>
    <row r="966" spans="2:5" ht="12.75">
      <c r="B966" s="236"/>
      <c r="C966" s="296"/>
      <c r="D966" s="236"/>
      <c r="E966" s="236"/>
    </row>
    <row r="967" spans="2:5" ht="12.75">
      <c r="B967" s="236"/>
      <c r="C967" s="296"/>
      <c r="D967" s="236"/>
      <c r="E967" s="236"/>
    </row>
    <row r="968" spans="2:5" ht="12.75">
      <c r="B968" s="236"/>
      <c r="C968" s="296"/>
      <c r="D968" s="236"/>
      <c r="E968" s="236"/>
    </row>
    <row r="969" spans="2:5" ht="12.75">
      <c r="B969" s="236"/>
      <c r="C969" s="296"/>
      <c r="D969" s="236"/>
      <c r="E969" s="236"/>
    </row>
    <row r="970" spans="2:5" ht="12.75">
      <c r="B970" s="236"/>
      <c r="C970" s="296"/>
      <c r="D970" s="236"/>
      <c r="E970" s="236"/>
    </row>
    <row r="971" spans="2:5" ht="12.75">
      <c r="B971" s="236"/>
      <c r="C971" s="296"/>
      <c r="D971" s="236"/>
      <c r="E971" s="236"/>
    </row>
    <row r="972" spans="2:5" ht="12.75">
      <c r="B972" s="236"/>
      <c r="C972" s="296"/>
      <c r="D972" s="236"/>
      <c r="E972" s="236"/>
    </row>
    <row r="973" spans="2:5" ht="12.75">
      <c r="B973" s="236"/>
      <c r="C973" s="296"/>
      <c r="D973" s="236"/>
      <c r="E973" s="236"/>
    </row>
    <row r="974" spans="2:5" ht="12.75">
      <c r="B974" s="236"/>
      <c r="C974" s="296"/>
      <c r="D974" s="236"/>
      <c r="E974" s="236"/>
    </row>
    <row r="975" spans="2:5" ht="12.75">
      <c r="B975" s="236"/>
      <c r="C975" s="296"/>
      <c r="D975" s="236"/>
      <c r="E975" s="236"/>
    </row>
    <row r="976" spans="2:5" ht="12.75">
      <c r="B976" s="236"/>
      <c r="C976" s="296"/>
      <c r="D976" s="236"/>
      <c r="E976" s="236"/>
    </row>
    <row r="977" spans="2:5" ht="12.75">
      <c r="B977" s="236"/>
      <c r="C977" s="296"/>
      <c r="D977" s="236"/>
      <c r="E977" s="236"/>
    </row>
    <row r="978" spans="2:5" ht="12.75">
      <c r="B978" s="236"/>
      <c r="C978" s="296"/>
      <c r="D978" s="236"/>
      <c r="E978" s="236"/>
    </row>
    <row r="979" spans="2:5" ht="12.75">
      <c r="B979" s="236"/>
      <c r="C979" s="296"/>
      <c r="D979" s="236"/>
      <c r="E979" s="236"/>
    </row>
    <row r="980" spans="2:5" ht="12.75">
      <c r="B980" s="236"/>
      <c r="C980" s="296"/>
      <c r="D980" s="236"/>
      <c r="E980" s="236"/>
    </row>
    <row r="981" spans="2:5" ht="12.75">
      <c r="B981" s="236"/>
      <c r="C981" s="296"/>
      <c r="D981" s="236"/>
      <c r="E981" s="236"/>
    </row>
    <row r="982" spans="2:5" ht="12.75">
      <c r="B982" s="236"/>
      <c r="C982" s="296"/>
      <c r="D982" s="236"/>
      <c r="E982" s="236"/>
    </row>
    <row r="983" spans="2:5" ht="12.75">
      <c r="B983" s="236"/>
      <c r="C983" s="296"/>
      <c r="D983" s="236"/>
      <c r="E983" s="236"/>
    </row>
    <row r="984" spans="2:5" ht="12.75">
      <c r="B984" s="236"/>
      <c r="C984" s="296"/>
      <c r="D984" s="236"/>
      <c r="E984" s="236"/>
    </row>
    <row r="985" spans="2:5" ht="12.75">
      <c r="B985" s="236"/>
      <c r="C985" s="296"/>
      <c r="D985" s="236"/>
      <c r="E985" s="236"/>
    </row>
    <row r="986" spans="2:5" ht="12.75">
      <c r="B986" s="236"/>
      <c r="C986" s="296"/>
      <c r="D986" s="236"/>
      <c r="E986" s="236"/>
    </row>
    <row r="987" spans="2:5" ht="12.75">
      <c r="B987" s="236"/>
      <c r="C987" s="296"/>
      <c r="D987" s="236"/>
      <c r="E987" s="236"/>
    </row>
    <row r="988" spans="2:5" ht="12.75">
      <c r="B988" s="236"/>
      <c r="C988" s="296"/>
      <c r="D988" s="236"/>
      <c r="E988" s="236"/>
    </row>
    <row r="989" spans="2:5" ht="12.75">
      <c r="B989" s="236"/>
      <c r="C989" s="296"/>
      <c r="D989" s="236"/>
      <c r="E989" s="236"/>
    </row>
    <row r="990" spans="2:5" ht="12.75">
      <c r="B990" s="236"/>
      <c r="C990" s="296"/>
      <c r="D990" s="236"/>
      <c r="E990" s="236"/>
    </row>
    <row r="991" spans="2:5" ht="12.75">
      <c r="B991" s="236"/>
      <c r="C991" s="296"/>
      <c r="D991" s="236"/>
      <c r="E991" s="236"/>
    </row>
    <row r="992" spans="2:5" ht="12.75">
      <c r="B992" s="236"/>
      <c r="C992" s="296"/>
      <c r="D992" s="236"/>
      <c r="E992" s="236"/>
    </row>
    <row r="993" spans="2:5" ht="12.75">
      <c r="B993" s="236"/>
      <c r="C993" s="296"/>
      <c r="D993" s="236"/>
      <c r="E993" s="236"/>
    </row>
    <row r="994" spans="2:5" ht="12.75">
      <c r="B994" s="236"/>
      <c r="C994" s="296"/>
      <c r="D994" s="236"/>
      <c r="E994" s="236"/>
    </row>
    <row r="995" spans="2:5" ht="12.75">
      <c r="B995" s="236"/>
      <c r="C995" s="296"/>
      <c r="D995" s="236"/>
      <c r="E995" s="236"/>
    </row>
    <row r="996" spans="2:5" ht="12.75">
      <c r="B996" s="236"/>
      <c r="C996" s="296"/>
      <c r="D996" s="236"/>
      <c r="E996" s="236"/>
    </row>
    <row r="997" spans="2:5" ht="12.75">
      <c r="B997" s="236"/>
      <c r="C997" s="296"/>
      <c r="D997" s="236"/>
      <c r="E997" s="236"/>
    </row>
    <row r="998" spans="2:5" ht="12.75">
      <c r="B998" s="236"/>
      <c r="C998" s="296"/>
      <c r="D998" s="236"/>
      <c r="E998" s="236"/>
    </row>
    <row r="999" spans="2:5" ht="12.75">
      <c r="B999" s="236"/>
      <c r="C999" s="296"/>
      <c r="D999" s="236"/>
      <c r="E999" s="236"/>
    </row>
    <row r="1000" spans="2:5" ht="12.75">
      <c r="B1000" s="236"/>
      <c r="C1000" s="296"/>
      <c r="D1000" s="236"/>
      <c r="E1000" s="236"/>
    </row>
    <row r="1001" spans="2:5" ht="12.75">
      <c r="B1001" s="236"/>
      <c r="C1001" s="296"/>
      <c r="D1001" s="236"/>
      <c r="E1001" s="236"/>
    </row>
    <row r="1002" spans="2:5" ht="12.75">
      <c r="B1002" s="236"/>
      <c r="C1002" s="296"/>
      <c r="D1002" s="236"/>
      <c r="E1002" s="236"/>
    </row>
    <row r="1003" spans="2:5" ht="12.75">
      <c r="B1003" s="236"/>
      <c r="C1003" s="296"/>
      <c r="D1003" s="236"/>
      <c r="E1003" s="236"/>
    </row>
    <row r="1004" spans="2:5" ht="12.75">
      <c r="B1004" s="236"/>
      <c r="C1004" s="296"/>
      <c r="D1004" s="236"/>
      <c r="E1004" s="236"/>
    </row>
    <row r="1005" spans="2:5" ht="12.75">
      <c r="B1005" s="236"/>
      <c r="C1005" s="296"/>
      <c r="D1005" s="236"/>
      <c r="E1005" s="236"/>
    </row>
    <row r="1006" spans="2:5" ht="12.75">
      <c r="B1006" s="236"/>
      <c r="C1006" s="296"/>
      <c r="D1006" s="236"/>
      <c r="E1006" s="236"/>
    </row>
    <row r="1007" spans="2:5" ht="12.75">
      <c r="B1007" s="236"/>
      <c r="C1007" s="296"/>
      <c r="D1007" s="236"/>
      <c r="E1007" s="236"/>
    </row>
    <row r="1008" spans="2:5" ht="12.75">
      <c r="B1008" s="236"/>
      <c r="C1008" s="296"/>
      <c r="D1008" s="236"/>
      <c r="E1008" s="236"/>
    </row>
    <row r="1009" spans="2:5" ht="12.75">
      <c r="B1009" s="236"/>
      <c r="C1009" s="296"/>
      <c r="D1009" s="236"/>
      <c r="E1009" s="236"/>
    </row>
    <row r="1010" spans="2:5" ht="12.75">
      <c r="B1010" s="236"/>
      <c r="C1010" s="296"/>
      <c r="D1010" s="236"/>
      <c r="E1010" s="236"/>
    </row>
    <row r="1011" spans="2:5" ht="12.75">
      <c r="B1011" s="236"/>
      <c r="C1011" s="296"/>
      <c r="D1011" s="236"/>
      <c r="E1011" s="236"/>
    </row>
    <row r="1012" spans="2:5" ht="12.75">
      <c r="B1012" s="236"/>
      <c r="C1012" s="296"/>
      <c r="D1012" s="236"/>
      <c r="E1012" s="236"/>
    </row>
    <row r="1013" spans="2:5" ht="12.75">
      <c r="B1013" s="236"/>
      <c r="C1013" s="296"/>
      <c r="D1013" s="236"/>
      <c r="E1013" s="236"/>
    </row>
    <row r="1014" spans="2:5" ht="12.75">
      <c r="B1014" s="236"/>
      <c r="C1014" s="296"/>
      <c r="D1014" s="236"/>
      <c r="E1014" s="236"/>
    </row>
    <row r="1015" spans="2:5" ht="12.75">
      <c r="B1015" s="236"/>
      <c r="C1015" s="296"/>
      <c r="D1015" s="236"/>
      <c r="E1015" s="236"/>
    </row>
    <row r="1016" spans="2:5" ht="12.75">
      <c r="B1016" s="236"/>
      <c r="C1016" s="296"/>
      <c r="D1016" s="236"/>
      <c r="E1016" s="236"/>
    </row>
    <row r="1017" spans="2:5" ht="12.75">
      <c r="B1017" s="236"/>
      <c r="C1017" s="296"/>
      <c r="D1017" s="236"/>
      <c r="E1017" s="236"/>
    </row>
    <row r="1018" spans="2:5" ht="12.75">
      <c r="B1018" s="236"/>
      <c r="C1018" s="296"/>
      <c r="D1018" s="236"/>
      <c r="E1018" s="236"/>
    </row>
    <row r="1019" spans="2:5" ht="12.75">
      <c r="B1019" s="236"/>
      <c r="C1019" s="296"/>
      <c r="D1019" s="236"/>
      <c r="E1019" s="236"/>
    </row>
    <row r="1020" spans="2:5" ht="12.75">
      <c r="B1020" s="236"/>
      <c r="C1020" s="296"/>
      <c r="D1020" s="236"/>
      <c r="E1020" s="236"/>
    </row>
    <row r="1021" spans="2:5" ht="12.75">
      <c r="B1021" s="236"/>
      <c r="C1021" s="296"/>
      <c r="D1021" s="236"/>
      <c r="E1021" s="236"/>
    </row>
    <row r="1022" spans="2:5" ht="12.75">
      <c r="B1022" s="236"/>
      <c r="C1022" s="296"/>
      <c r="D1022" s="236"/>
      <c r="E1022" s="236"/>
    </row>
    <row r="1023" spans="2:5" ht="12.75">
      <c r="B1023" s="236"/>
      <c r="C1023" s="296"/>
      <c r="D1023" s="236"/>
      <c r="E1023" s="236"/>
    </row>
    <row r="1024" spans="2:5" ht="12.75">
      <c r="B1024" s="236"/>
      <c r="C1024" s="296"/>
      <c r="D1024" s="236"/>
      <c r="E1024" s="236"/>
    </row>
    <row r="1025" spans="2:5" ht="12.75">
      <c r="B1025" s="236"/>
      <c r="C1025" s="296"/>
      <c r="D1025" s="236"/>
      <c r="E1025" s="236"/>
    </row>
    <row r="1026" spans="2:5" ht="12.75">
      <c r="B1026" s="236"/>
      <c r="C1026" s="296"/>
      <c r="D1026" s="236"/>
      <c r="E1026" s="236"/>
    </row>
    <row r="1027" spans="2:5" ht="12.75">
      <c r="B1027" s="236"/>
      <c r="C1027" s="296"/>
      <c r="D1027" s="236"/>
      <c r="E1027" s="236"/>
    </row>
    <row r="1028" spans="2:5" ht="12.75">
      <c r="B1028" s="236"/>
      <c r="C1028" s="296"/>
      <c r="D1028" s="236"/>
      <c r="E1028" s="236"/>
    </row>
    <row r="1029" spans="2:5" ht="12.75">
      <c r="B1029" s="236"/>
      <c r="C1029" s="296"/>
      <c r="D1029" s="236"/>
      <c r="E1029" s="236"/>
    </row>
    <row r="1030" spans="2:5" ht="12.75">
      <c r="B1030" s="236"/>
      <c r="C1030" s="296"/>
      <c r="D1030" s="236"/>
      <c r="E1030" s="236"/>
    </row>
    <row r="1031" spans="2:5" ht="12.75">
      <c r="B1031" s="236"/>
      <c r="C1031" s="296"/>
      <c r="D1031" s="236"/>
      <c r="E1031" s="236"/>
    </row>
    <row r="1032" spans="2:5" ht="12.75">
      <c r="B1032" s="236"/>
      <c r="C1032" s="296"/>
      <c r="D1032" s="236"/>
      <c r="E1032" s="236"/>
    </row>
    <row r="1033" spans="2:5" ht="12.75">
      <c r="B1033" s="236"/>
      <c r="C1033" s="296"/>
      <c r="D1033" s="236"/>
      <c r="E1033" s="236"/>
    </row>
    <row r="1034" spans="2:5" ht="12.75">
      <c r="B1034" s="236"/>
      <c r="C1034" s="296"/>
      <c r="D1034" s="236"/>
      <c r="E1034" s="236"/>
    </row>
    <row r="1035" spans="2:5" ht="12.75">
      <c r="B1035" s="236"/>
      <c r="C1035" s="296"/>
      <c r="D1035" s="236"/>
      <c r="E1035" s="236"/>
    </row>
    <row r="1036" spans="2:5" ht="12.75">
      <c r="B1036" s="236"/>
      <c r="C1036" s="296"/>
      <c r="D1036" s="236"/>
      <c r="E1036" s="236"/>
    </row>
    <row r="1037" spans="2:5" ht="12.75">
      <c r="B1037" s="236"/>
      <c r="C1037" s="296"/>
      <c r="D1037" s="236"/>
      <c r="E1037" s="236"/>
    </row>
    <row r="1038" spans="2:5" ht="12.75">
      <c r="B1038" s="236"/>
      <c r="C1038" s="296"/>
      <c r="D1038" s="236"/>
      <c r="E1038" s="236"/>
    </row>
    <row r="1039" spans="2:5" ht="12.75">
      <c r="B1039" s="236"/>
      <c r="C1039" s="296"/>
      <c r="D1039" s="236"/>
      <c r="E1039" s="236"/>
    </row>
    <row r="1040" spans="2:5" ht="12.75">
      <c r="B1040" s="236"/>
      <c r="C1040" s="296"/>
      <c r="D1040" s="236"/>
      <c r="E1040" s="236"/>
    </row>
    <row r="1041" spans="2:5" ht="12.75">
      <c r="B1041" s="236"/>
      <c r="C1041" s="296"/>
      <c r="D1041" s="236"/>
      <c r="E1041" s="236"/>
    </row>
    <row r="1042" spans="2:5" ht="12.75">
      <c r="B1042" s="236"/>
      <c r="C1042" s="296"/>
      <c r="D1042" s="236"/>
      <c r="E1042" s="236"/>
    </row>
    <row r="1043" spans="2:5" ht="12.75">
      <c r="B1043" s="236"/>
      <c r="C1043" s="296"/>
      <c r="D1043" s="236"/>
      <c r="E1043" s="236"/>
    </row>
    <row r="1044" spans="2:5" ht="12.75">
      <c r="B1044" s="236"/>
      <c r="C1044" s="296"/>
      <c r="D1044" s="236"/>
      <c r="E1044" s="236"/>
    </row>
    <row r="1045" spans="2:5" ht="12.75">
      <c r="B1045" s="236"/>
      <c r="C1045" s="296"/>
      <c r="D1045" s="236"/>
      <c r="E1045" s="236"/>
    </row>
    <row r="1046" spans="2:5" ht="12.75">
      <c r="B1046" s="236"/>
      <c r="C1046" s="296"/>
      <c r="D1046" s="236"/>
      <c r="E1046" s="236"/>
    </row>
    <row r="1047" spans="2:5" ht="12.75">
      <c r="B1047" s="236"/>
      <c r="C1047" s="296"/>
      <c r="D1047" s="236"/>
      <c r="E1047" s="236"/>
    </row>
    <row r="1048" spans="2:5" ht="12.75">
      <c r="B1048" s="236"/>
      <c r="C1048" s="296"/>
      <c r="D1048" s="236"/>
      <c r="E1048" s="236"/>
    </row>
    <row r="1049" spans="2:5" ht="12.75">
      <c r="B1049" s="236"/>
      <c r="C1049" s="296"/>
      <c r="D1049" s="236"/>
      <c r="E1049" s="236"/>
    </row>
    <row r="1050" spans="2:5" ht="12.75">
      <c r="B1050" s="236"/>
      <c r="C1050" s="296"/>
      <c r="D1050" s="236"/>
      <c r="E1050" s="236"/>
    </row>
    <row r="1051" spans="2:5" ht="12.75">
      <c r="B1051" s="236"/>
      <c r="C1051" s="296"/>
      <c r="D1051" s="236"/>
      <c r="E1051" s="236"/>
    </row>
    <row r="1052" spans="2:5" ht="12.75">
      <c r="B1052" s="236"/>
      <c r="C1052" s="296"/>
      <c r="D1052" s="236"/>
      <c r="E1052" s="236"/>
    </row>
    <row r="1053" spans="2:5" ht="12.75">
      <c r="B1053" s="236"/>
      <c r="C1053" s="296"/>
      <c r="D1053" s="236"/>
      <c r="E1053" s="236"/>
    </row>
    <row r="1054" spans="2:5" ht="12.75">
      <c r="B1054" s="236"/>
      <c r="C1054" s="296"/>
      <c r="D1054" s="236"/>
      <c r="E1054" s="236"/>
    </row>
    <row r="1055" spans="2:5" ht="12.75">
      <c r="B1055" s="236"/>
      <c r="C1055" s="296"/>
      <c r="D1055" s="236"/>
      <c r="E1055" s="236"/>
    </row>
    <row r="1056" spans="2:5" ht="12.75">
      <c r="B1056" s="236"/>
      <c r="C1056" s="296"/>
      <c r="D1056" s="236"/>
      <c r="E1056" s="236"/>
    </row>
    <row r="1057" spans="2:5" ht="12.75">
      <c r="B1057" s="236"/>
      <c r="C1057" s="296"/>
      <c r="D1057" s="236"/>
      <c r="E1057" s="236"/>
    </row>
    <row r="1058" spans="2:5" ht="12.75">
      <c r="B1058" s="236"/>
      <c r="C1058" s="296"/>
      <c r="D1058" s="236"/>
      <c r="E1058" s="236"/>
    </row>
    <row r="1059" spans="2:5" ht="12.75">
      <c r="B1059" s="236"/>
      <c r="C1059" s="296"/>
      <c r="D1059" s="236"/>
      <c r="E1059" s="236"/>
    </row>
    <row r="1060" spans="2:5" ht="12.75">
      <c r="B1060" s="236"/>
      <c r="C1060" s="296"/>
      <c r="D1060" s="236"/>
      <c r="E1060" s="236"/>
    </row>
    <row r="1061" spans="2:5" ht="12.75">
      <c r="B1061" s="236"/>
      <c r="C1061" s="296"/>
      <c r="D1061" s="236"/>
      <c r="E1061" s="236"/>
    </row>
    <row r="1062" spans="2:5" ht="12.75">
      <c r="B1062" s="236"/>
      <c r="C1062" s="296"/>
      <c r="D1062" s="236"/>
      <c r="E1062" s="236"/>
    </row>
    <row r="1063" spans="2:5" ht="12.75">
      <c r="B1063" s="236"/>
      <c r="C1063" s="296"/>
      <c r="D1063" s="236"/>
      <c r="E1063" s="236"/>
    </row>
    <row r="1064" spans="2:5" ht="12.75">
      <c r="B1064" s="236"/>
      <c r="C1064" s="296"/>
      <c r="D1064" s="236"/>
      <c r="E1064" s="236"/>
    </row>
    <row r="1065" spans="2:5" ht="12.75">
      <c r="B1065" s="236"/>
      <c r="C1065" s="296"/>
      <c r="D1065" s="236"/>
      <c r="E1065" s="236"/>
    </row>
    <row r="1066" spans="2:5" ht="12.75">
      <c r="B1066" s="236"/>
      <c r="C1066" s="296"/>
      <c r="D1066" s="236"/>
      <c r="E1066" s="236"/>
    </row>
    <row r="1067" spans="2:5" ht="12.75">
      <c r="B1067" s="236"/>
      <c r="C1067" s="296"/>
      <c r="D1067" s="236"/>
      <c r="E1067" s="236"/>
    </row>
    <row r="1068" spans="2:5" ht="12.75">
      <c r="B1068" s="236"/>
      <c r="C1068" s="296"/>
      <c r="D1068" s="236"/>
      <c r="E1068" s="236"/>
    </row>
    <row r="1069" spans="2:5" ht="12.75">
      <c r="B1069" s="236"/>
      <c r="C1069" s="296"/>
      <c r="D1069" s="236"/>
      <c r="E1069" s="236"/>
    </row>
    <row r="1070" spans="2:5" ht="12.75">
      <c r="B1070" s="236"/>
      <c r="C1070" s="296"/>
      <c r="D1070" s="236"/>
      <c r="E1070" s="236"/>
    </row>
    <row r="1071" spans="2:5" ht="12.75">
      <c r="B1071" s="236"/>
      <c r="C1071" s="296"/>
      <c r="D1071" s="236"/>
      <c r="E1071" s="236"/>
    </row>
    <row r="1072" spans="2:5" ht="12.75">
      <c r="B1072" s="236"/>
      <c r="C1072" s="296"/>
      <c r="D1072" s="236"/>
      <c r="E1072" s="236"/>
    </row>
    <row r="1073" spans="2:5" ht="12.75">
      <c r="B1073" s="236"/>
      <c r="C1073" s="296"/>
      <c r="D1073" s="236"/>
      <c r="E1073" s="236"/>
    </row>
    <row r="1074" spans="2:5" ht="12.75">
      <c r="B1074" s="236"/>
      <c r="C1074" s="296"/>
      <c r="D1074" s="236"/>
      <c r="E1074" s="236"/>
    </row>
    <row r="1075" spans="2:5" ht="12.75">
      <c r="B1075" s="236"/>
      <c r="C1075" s="296"/>
      <c r="D1075" s="236"/>
      <c r="E1075" s="236"/>
    </row>
    <row r="1076" spans="2:5" ht="12.75">
      <c r="B1076" s="236"/>
      <c r="C1076" s="296"/>
      <c r="D1076" s="236"/>
      <c r="E1076" s="236"/>
    </row>
    <row r="1077" spans="2:5" ht="12.75">
      <c r="B1077" s="236"/>
      <c r="C1077" s="296"/>
      <c r="D1077" s="236"/>
      <c r="E1077" s="236"/>
    </row>
    <row r="1078" spans="2:5" ht="12.75">
      <c r="B1078" s="236"/>
      <c r="C1078" s="296"/>
      <c r="D1078" s="236"/>
      <c r="E1078" s="236"/>
    </row>
    <row r="1079" spans="2:5" ht="12.75">
      <c r="B1079" s="236"/>
      <c r="C1079" s="296"/>
      <c r="D1079" s="236"/>
      <c r="E1079" s="236"/>
    </row>
    <row r="1080" spans="2:5" ht="12.75">
      <c r="B1080" s="236"/>
      <c r="C1080" s="296"/>
      <c r="D1080" s="236"/>
      <c r="E1080" s="236"/>
    </row>
    <row r="1081" spans="2:5" ht="12.75">
      <c r="B1081" s="236"/>
      <c r="C1081" s="296"/>
      <c r="D1081" s="236"/>
      <c r="E1081" s="236"/>
    </row>
    <row r="1082" spans="2:5" ht="12.75">
      <c r="B1082" s="236"/>
      <c r="C1082" s="296"/>
      <c r="D1082" s="236"/>
      <c r="E1082" s="236"/>
    </row>
    <row r="1083" spans="2:5" ht="12.75">
      <c r="B1083" s="236"/>
      <c r="C1083" s="296"/>
      <c r="D1083" s="236"/>
      <c r="E1083" s="236"/>
    </row>
    <row r="1084" spans="2:5" ht="12.75">
      <c r="B1084" s="236"/>
      <c r="C1084" s="296"/>
      <c r="D1084" s="236"/>
      <c r="E1084" s="236"/>
    </row>
    <row r="1085" spans="2:5" ht="12.75">
      <c r="B1085" s="236"/>
      <c r="C1085" s="296"/>
      <c r="D1085" s="236"/>
      <c r="E1085" s="236"/>
    </row>
    <row r="1086" spans="2:5" ht="12.75">
      <c r="B1086" s="236"/>
      <c r="C1086" s="296"/>
      <c r="D1086" s="236"/>
      <c r="E1086" s="236"/>
    </row>
    <row r="1087" spans="2:5" ht="12.75">
      <c r="B1087" s="236"/>
      <c r="C1087" s="296"/>
      <c r="D1087" s="236"/>
      <c r="E1087" s="236"/>
    </row>
    <row r="1088" spans="2:5" ht="12.75">
      <c r="B1088" s="236"/>
      <c r="C1088" s="296"/>
      <c r="D1088" s="236"/>
      <c r="E1088" s="236"/>
    </row>
    <row r="1089" spans="2:5" ht="12.75">
      <c r="B1089" s="236"/>
      <c r="C1089" s="296"/>
      <c r="D1089" s="236"/>
      <c r="E1089" s="236"/>
    </row>
    <row r="1090" spans="2:5" ht="12.75">
      <c r="B1090" s="236"/>
      <c r="C1090" s="296"/>
      <c r="D1090" s="236"/>
      <c r="E1090" s="236"/>
    </row>
    <row r="1091" spans="2:5" ht="12.75">
      <c r="B1091" s="236"/>
      <c r="C1091" s="296"/>
      <c r="D1091" s="236"/>
      <c r="E1091" s="236"/>
    </row>
    <row r="1092" spans="2:5" ht="12.75">
      <c r="B1092" s="236"/>
      <c r="C1092" s="296"/>
      <c r="D1092" s="236"/>
      <c r="E1092" s="236"/>
    </row>
    <row r="1093" spans="2:5" ht="12.75">
      <c r="B1093" s="236"/>
      <c r="C1093" s="296"/>
      <c r="D1093" s="236"/>
      <c r="E1093" s="236"/>
    </row>
    <row r="1094" spans="2:5" ht="12.75">
      <c r="B1094" s="236"/>
      <c r="C1094" s="296"/>
      <c r="D1094" s="236"/>
      <c r="E1094" s="236"/>
    </row>
    <row r="1095" spans="2:5" ht="12.75">
      <c r="B1095" s="236"/>
      <c r="C1095" s="296"/>
      <c r="D1095" s="236"/>
      <c r="E1095" s="236"/>
    </row>
    <row r="1096" spans="2:5" ht="12.75">
      <c r="B1096" s="236"/>
      <c r="C1096" s="296"/>
      <c r="D1096" s="236"/>
      <c r="E1096" s="236"/>
    </row>
    <row r="1097" spans="2:5" ht="12.75">
      <c r="B1097" s="236"/>
      <c r="C1097" s="296"/>
      <c r="D1097" s="236"/>
      <c r="E1097" s="236"/>
    </row>
    <row r="1098" spans="2:5" ht="12.75">
      <c r="B1098" s="236"/>
      <c r="C1098" s="296"/>
      <c r="D1098" s="236"/>
      <c r="E1098" s="236"/>
    </row>
    <row r="1099" spans="2:5" ht="12.75">
      <c r="B1099" s="236"/>
      <c r="C1099" s="296"/>
      <c r="D1099" s="236"/>
      <c r="E1099" s="236"/>
    </row>
    <row r="1100" spans="2:5" ht="12.75">
      <c r="B1100" s="236"/>
      <c r="C1100" s="296"/>
      <c r="D1100" s="236"/>
      <c r="E1100" s="236"/>
    </row>
    <row r="1101" spans="2:5" ht="12.75">
      <c r="B1101" s="236"/>
      <c r="C1101" s="296"/>
      <c r="D1101" s="236"/>
      <c r="E1101" s="236"/>
    </row>
    <row r="1102" spans="2:5" ht="12.75">
      <c r="B1102" s="236"/>
      <c r="C1102" s="296"/>
      <c r="D1102" s="236"/>
      <c r="E1102" s="236"/>
    </row>
    <row r="1103" spans="2:5" ht="12.75">
      <c r="B1103" s="236"/>
      <c r="C1103" s="296"/>
      <c r="D1103" s="236"/>
      <c r="E1103" s="236"/>
    </row>
    <row r="1104" spans="2:5" ht="12.75">
      <c r="B1104" s="236"/>
      <c r="C1104" s="296"/>
      <c r="D1104" s="236"/>
      <c r="E1104" s="236"/>
    </row>
    <row r="1105" spans="2:5" ht="12.75">
      <c r="B1105" s="236"/>
      <c r="C1105" s="296"/>
      <c r="D1105" s="236"/>
      <c r="E1105" s="236"/>
    </row>
    <row r="1106" spans="2:5" ht="12.75">
      <c r="B1106" s="236"/>
      <c r="C1106" s="296"/>
      <c r="D1106" s="236"/>
      <c r="E1106" s="236"/>
    </row>
    <row r="1107" spans="2:5" ht="12.75">
      <c r="B1107" s="236"/>
      <c r="C1107" s="296"/>
      <c r="D1107" s="236"/>
      <c r="E1107" s="236"/>
    </row>
    <row r="1108" spans="2:5" ht="12.75">
      <c r="B1108" s="236"/>
      <c r="C1108" s="296"/>
      <c r="D1108" s="236"/>
      <c r="E1108" s="236"/>
    </row>
    <row r="1109" spans="2:5" ht="12.75">
      <c r="B1109" s="236"/>
      <c r="C1109" s="296"/>
      <c r="D1109" s="236"/>
      <c r="E1109" s="236"/>
    </row>
    <row r="1110" spans="2:5" ht="12.75">
      <c r="B1110" s="236"/>
      <c r="C1110" s="296"/>
      <c r="D1110" s="236"/>
      <c r="E1110" s="236"/>
    </row>
    <row r="1111" spans="2:5" ht="12.75">
      <c r="B1111" s="236"/>
      <c r="C1111" s="296"/>
      <c r="D1111" s="236"/>
      <c r="E1111" s="236"/>
    </row>
    <row r="1112" spans="2:5" ht="12.75">
      <c r="B1112" s="236"/>
      <c r="C1112" s="296"/>
      <c r="D1112" s="236"/>
      <c r="E1112" s="236"/>
    </row>
    <row r="1113" spans="2:5" ht="12.75">
      <c r="B1113" s="236"/>
      <c r="C1113" s="296"/>
      <c r="D1113" s="236"/>
      <c r="E1113" s="236"/>
    </row>
    <row r="1114" spans="2:5" ht="12.75">
      <c r="B1114" s="236"/>
      <c r="C1114" s="296"/>
      <c r="D1114" s="236"/>
      <c r="E1114" s="236"/>
    </row>
    <row r="1115" spans="2:5" ht="12.75">
      <c r="B1115" s="236"/>
      <c r="C1115" s="296"/>
      <c r="D1115" s="236"/>
      <c r="E1115" s="236"/>
    </row>
    <row r="1116" spans="2:5" ht="12.75">
      <c r="B1116" s="236"/>
      <c r="C1116" s="296"/>
      <c r="D1116" s="236"/>
      <c r="E1116" s="236"/>
    </row>
    <row r="1117" spans="2:5" ht="12.75">
      <c r="B1117" s="236"/>
      <c r="C1117" s="296"/>
      <c r="D1117" s="236"/>
      <c r="E1117" s="236"/>
    </row>
    <row r="1118" spans="2:5" ht="12.75">
      <c r="B1118" s="236"/>
      <c r="C1118" s="296"/>
      <c r="D1118" s="236"/>
      <c r="E1118" s="236"/>
    </row>
    <row r="1119" spans="2:5" ht="12.75">
      <c r="B1119" s="236"/>
      <c r="C1119" s="296"/>
      <c r="D1119" s="236"/>
      <c r="E1119" s="236"/>
    </row>
    <row r="1120" spans="2:5" ht="12.75">
      <c r="B1120" s="236"/>
      <c r="C1120" s="296"/>
      <c r="D1120" s="236"/>
      <c r="E1120" s="236"/>
    </row>
    <row r="1121" spans="2:5" ht="12.75">
      <c r="B1121" s="236"/>
      <c r="C1121" s="296"/>
      <c r="D1121" s="236"/>
      <c r="E1121" s="236"/>
    </row>
    <row r="1122" spans="2:5" ht="12.75">
      <c r="B1122" s="236"/>
      <c r="C1122" s="296"/>
      <c r="D1122" s="236"/>
      <c r="E1122" s="236"/>
    </row>
    <row r="1123" spans="2:5" ht="12.75">
      <c r="B1123" s="236"/>
      <c r="C1123" s="296"/>
      <c r="D1123" s="236"/>
      <c r="E1123" s="236"/>
    </row>
    <row r="1124" spans="2:5" ht="12.75">
      <c r="B1124" s="236"/>
      <c r="C1124" s="296"/>
      <c r="D1124" s="236"/>
      <c r="E1124" s="236"/>
    </row>
    <row r="1125" spans="2:5" ht="12.75">
      <c r="B1125" s="236"/>
      <c r="C1125" s="296"/>
      <c r="D1125" s="236"/>
      <c r="E1125" s="236"/>
    </row>
    <row r="1126" spans="2:5" ht="12.75">
      <c r="B1126" s="236"/>
      <c r="C1126" s="296"/>
      <c r="D1126" s="236"/>
      <c r="E1126" s="236"/>
    </row>
    <row r="1127" spans="2:5" ht="12.75">
      <c r="B1127" s="236"/>
      <c r="C1127" s="296"/>
      <c r="D1127" s="236"/>
      <c r="E1127" s="236"/>
    </row>
    <row r="1128" spans="2:5" ht="12.75">
      <c r="B1128" s="236"/>
      <c r="C1128" s="296"/>
      <c r="D1128" s="236"/>
      <c r="E1128" s="236"/>
    </row>
    <row r="1129" spans="2:5" ht="12.75">
      <c r="B1129" s="236"/>
      <c r="C1129" s="296"/>
      <c r="D1129" s="236"/>
      <c r="E1129" s="236"/>
    </row>
    <row r="1130" spans="2:5" ht="12.75">
      <c r="B1130" s="236"/>
      <c r="C1130" s="296"/>
      <c r="D1130" s="236"/>
      <c r="E1130" s="236"/>
    </row>
    <row r="1131" spans="2:5" ht="12.75">
      <c r="B1131" s="236"/>
      <c r="C1131" s="296"/>
      <c r="D1131" s="236"/>
      <c r="E1131" s="236"/>
    </row>
    <row r="1132" spans="2:5" ht="12.75">
      <c r="B1132" s="236"/>
      <c r="C1132" s="296"/>
      <c r="D1132" s="236"/>
      <c r="E1132" s="236"/>
    </row>
    <row r="1133" spans="2:5" ht="12.75">
      <c r="B1133" s="236"/>
      <c r="C1133" s="296"/>
      <c r="D1133" s="236"/>
      <c r="E1133" s="236"/>
    </row>
    <row r="1134" spans="2:5" ht="12.75">
      <c r="B1134" s="236"/>
      <c r="C1134" s="296"/>
      <c r="D1134" s="236"/>
      <c r="E1134" s="236"/>
    </row>
    <row r="1135" spans="2:5" ht="12.75">
      <c r="B1135" s="236"/>
      <c r="C1135" s="296"/>
      <c r="D1135" s="236"/>
      <c r="E1135" s="236"/>
    </row>
    <row r="1136" spans="2:5" ht="12.75">
      <c r="B1136" s="236"/>
      <c r="C1136" s="296"/>
      <c r="D1136" s="236"/>
      <c r="E1136" s="236"/>
    </row>
    <row r="1137" spans="2:5" ht="12.75">
      <c r="B1137" s="236"/>
      <c r="C1137" s="296"/>
      <c r="D1137" s="236"/>
      <c r="E1137" s="236"/>
    </row>
    <row r="1138" spans="2:5" ht="12.75">
      <c r="B1138" s="236"/>
      <c r="C1138" s="296"/>
      <c r="D1138" s="236"/>
      <c r="E1138" s="236"/>
    </row>
    <row r="1139" spans="2:5" ht="12.75">
      <c r="B1139" s="236"/>
      <c r="C1139" s="296"/>
      <c r="D1139" s="236"/>
      <c r="E1139" s="236"/>
    </row>
    <row r="1140" spans="2:5" ht="12.75">
      <c r="B1140" s="236"/>
      <c r="C1140" s="296"/>
      <c r="D1140" s="236"/>
      <c r="E1140" s="236"/>
    </row>
    <row r="1141" spans="2:5" ht="12.75">
      <c r="B1141" s="236"/>
      <c r="C1141" s="296"/>
      <c r="D1141" s="236"/>
      <c r="E1141" s="236"/>
    </row>
    <row r="1142" spans="2:5" ht="12.75">
      <c r="B1142" s="236"/>
      <c r="C1142" s="296"/>
      <c r="D1142" s="236"/>
      <c r="E1142" s="236"/>
    </row>
    <row r="1143" spans="2:5" ht="12.75">
      <c r="B1143" s="236"/>
      <c r="C1143" s="296"/>
      <c r="D1143" s="236"/>
      <c r="E1143" s="236"/>
    </row>
    <row r="1144" spans="2:5" ht="12.75">
      <c r="B1144" s="236"/>
      <c r="C1144" s="296"/>
      <c r="D1144" s="236"/>
      <c r="E1144" s="236"/>
    </row>
    <row r="1145" spans="2:5" ht="12.75">
      <c r="B1145" s="236"/>
      <c r="C1145" s="296"/>
      <c r="D1145" s="236"/>
      <c r="E1145" s="236"/>
    </row>
    <row r="1146" spans="2:5" ht="12.75">
      <c r="B1146" s="236"/>
      <c r="C1146" s="296"/>
      <c r="D1146" s="236"/>
      <c r="E1146" s="236"/>
    </row>
    <row r="1147" spans="2:5" ht="12.75">
      <c r="B1147" s="236"/>
      <c r="C1147" s="296"/>
      <c r="D1147" s="236"/>
      <c r="E1147" s="236"/>
    </row>
    <row r="1148" spans="2:5" ht="12.75">
      <c r="B1148" s="236"/>
      <c r="C1148" s="296"/>
      <c r="D1148" s="236"/>
      <c r="E1148" s="236"/>
    </row>
    <row r="1149" spans="2:5" ht="12.75">
      <c r="B1149" s="236"/>
      <c r="C1149" s="296"/>
      <c r="D1149" s="236"/>
      <c r="E1149" s="236"/>
    </row>
    <row r="1150" spans="2:5" ht="12.75">
      <c r="B1150" s="236"/>
      <c r="C1150" s="296"/>
      <c r="D1150" s="236"/>
      <c r="E1150" s="236"/>
    </row>
    <row r="1151" spans="2:5" ht="12.75">
      <c r="B1151" s="236"/>
      <c r="C1151" s="296"/>
      <c r="D1151" s="236"/>
      <c r="E1151" s="236"/>
    </row>
    <row r="1152" spans="2:5" ht="12.75">
      <c r="B1152" s="236"/>
      <c r="C1152" s="296"/>
      <c r="D1152" s="236"/>
      <c r="E1152" s="236"/>
    </row>
    <row r="1153" spans="2:5" ht="12.75">
      <c r="B1153" s="236"/>
      <c r="C1153" s="296"/>
      <c r="D1153" s="236"/>
      <c r="E1153" s="236"/>
    </row>
    <row r="1154" spans="2:5" ht="12.75">
      <c r="B1154" s="236"/>
      <c r="C1154" s="296"/>
      <c r="D1154" s="236"/>
      <c r="E1154" s="236"/>
    </row>
    <row r="1155" spans="2:5" ht="12.75">
      <c r="B1155" s="236"/>
      <c r="C1155" s="296"/>
      <c r="D1155" s="236"/>
      <c r="E1155" s="236"/>
    </row>
    <row r="1156" spans="2:5" ht="12.75">
      <c r="B1156" s="236"/>
      <c r="C1156" s="296"/>
      <c r="D1156" s="236"/>
      <c r="E1156" s="236"/>
    </row>
    <row r="1157" spans="2:5" ht="12.75">
      <c r="B1157" s="236"/>
      <c r="C1157" s="296"/>
      <c r="D1157" s="236"/>
      <c r="E1157" s="236"/>
    </row>
    <row r="1158" spans="2:5" ht="12.75">
      <c r="B1158" s="236"/>
      <c r="C1158" s="296"/>
      <c r="D1158" s="236"/>
      <c r="E1158" s="236"/>
    </row>
    <row r="1159" spans="2:5" ht="12.75">
      <c r="B1159" s="236"/>
      <c r="C1159" s="296"/>
      <c r="D1159" s="236"/>
      <c r="E1159" s="236"/>
    </row>
    <row r="1160" spans="2:5" ht="12.75">
      <c r="B1160" s="236"/>
      <c r="C1160" s="296"/>
      <c r="D1160" s="236"/>
      <c r="E1160" s="236"/>
    </row>
    <row r="1161" spans="2:5" ht="12.75">
      <c r="B1161" s="236"/>
      <c r="C1161" s="296"/>
      <c r="D1161" s="236"/>
      <c r="E1161" s="236"/>
    </row>
    <row r="1162" spans="2:5" ht="12.75">
      <c r="B1162" s="236"/>
      <c r="C1162" s="296"/>
      <c r="D1162" s="236"/>
      <c r="E1162" s="236"/>
    </row>
    <row r="1163" spans="2:5" ht="12.75">
      <c r="B1163" s="236"/>
      <c r="C1163" s="296"/>
      <c r="D1163" s="236"/>
      <c r="E1163" s="236"/>
    </row>
    <row r="1164" spans="2:5" ht="12.75">
      <c r="B1164" s="236"/>
      <c r="C1164" s="296"/>
      <c r="D1164" s="236"/>
      <c r="E1164" s="236"/>
    </row>
    <row r="1165" spans="2:5" ht="12.75">
      <c r="B1165" s="236"/>
      <c r="C1165" s="296"/>
      <c r="D1165" s="236"/>
      <c r="E1165" s="236"/>
    </row>
    <row r="1166" spans="2:5" ht="12.75">
      <c r="B1166" s="236"/>
      <c r="C1166" s="296"/>
      <c r="D1166" s="236"/>
      <c r="E1166" s="236"/>
    </row>
    <row r="1167" spans="2:5" ht="12.75">
      <c r="B1167" s="236"/>
      <c r="C1167" s="296"/>
      <c r="D1167" s="236"/>
      <c r="E1167" s="236"/>
    </row>
    <row r="1168" spans="2:5" ht="12.75">
      <c r="B1168" s="236"/>
      <c r="C1168" s="296"/>
      <c r="D1168" s="236"/>
      <c r="E1168" s="236"/>
    </row>
    <row r="1169" spans="2:5" ht="12.75">
      <c r="B1169" s="236"/>
      <c r="C1169" s="296"/>
      <c r="D1169" s="236"/>
      <c r="E1169" s="236"/>
    </row>
    <row r="1170" spans="2:5" ht="12.75">
      <c r="B1170" s="236"/>
      <c r="C1170" s="296"/>
      <c r="D1170" s="236"/>
      <c r="E1170" s="236"/>
    </row>
    <row r="1171" spans="2:5" ht="12.75">
      <c r="B1171" s="236"/>
      <c r="C1171" s="296"/>
      <c r="D1171" s="236"/>
      <c r="E1171" s="236"/>
    </row>
    <row r="1172" spans="2:5" ht="12.75">
      <c r="B1172" s="236"/>
      <c r="C1172" s="296"/>
      <c r="D1172" s="236"/>
      <c r="E1172" s="236"/>
    </row>
    <row r="1173" spans="2:5" ht="12.75">
      <c r="B1173" s="236"/>
      <c r="C1173" s="296"/>
      <c r="D1173" s="236"/>
      <c r="E1173" s="236"/>
    </row>
    <row r="1174" spans="2:5" ht="12.75">
      <c r="B1174" s="236"/>
      <c r="C1174" s="296"/>
      <c r="D1174" s="236"/>
      <c r="E1174" s="236"/>
    </row>
    <row r="1175" spans="2:5" ht="12.75">
      <c r="B1175" s="236"/>
      <c r="C1175" s="296"/>
      <c r="D1175" s="236"/>
      <c r="E1175" s="236"/>
    </row>
    <row r="1176" spans="2:5" ht="12.75">
      <c r="B1176" s="236"/>
      <c r="C1176" s="296"/>
      <c r="D1176" s="236"/>
      <c r="E1176" s="236"/>
    </row>
    <row r="1177" spans="2:5" ht="12.75">
      <c r="B1177" s="236"/>
      <c r="C1177" s="296"/>
      <c r="D1177" s="236"/>
      <c r="E1177" s="236"/>
    </row>
    <row r="1178" spans="2:5" ht="12.75">
      <c r="B1178" s="236"/>
      <c r="C1178" s="296"/>
      <c r="D1178" s="236"/>
      <c r="E1178" s="236"/>
    </row>
    <row r="1179" spans="2:5" ht="12.75">
      <c r="B1179" s="236"/>
      <c r="C1179" s="296"/>
      <c r="D1179" s="236"/>
      <c r="E1179" s="236"/>
    </row>
    <row r="1180" spans="2:5" ht="12.75">
      <c r="B1180" s="236"/>
      <c r="C1180" s="296"/>
      <c r="D1180" s="236"/>
      <c r="E1180" s="236"/>
    </row>
    <row r="1181" spans="2:5" ht="12.75">
      <c r="B1181" s="236"/>
      <c r="C1181" s="296"/>
      <c r="D1181" s="236"/>
      <c r="E1181" s="236"/>
    </row>
    <row r="1182" spans="2:5" ht="12.75">
      <c r="B1182" s="236"/>
      <c r="C1182" s="296"/>
      <c r="D1182" s="236"/>
      <c r="E1182" s="236"/>
    </row>
    <row r="1183" spans="2:5" ht="12.75">
      <c r="B1183" s="236"/>
      <c r="C1183" s="296"/>
      <c r="D1183" s="236"/>
      <c r="E1183" s="236"/>
    </row>
    <row r="1184" spans="2:5" ht="12.75">
      <c r="B1184" s="236"/>
      <c r="C1184" s="296"/>
      <c r="D1184" s="236"/>
      <c r="E1184" s="236"/>
    </row>
    <row r="1185" spans="2:5" ht="12.75">
      <c r="B1185" s="236"/>
      <c r="C1185" s="296"/>
      <c r="D1185" s="236"/>
      <c r="E1185" s="236"/>
    </row>
    <row r="1186" spans="2:5" ht="12.75">
      <c r="B1186" s="236"/>
      <c r="C1186" s="296"/>
      <c r="D1186" s="236"/>
      <c r="E1186" s="236"/>
    </row>
    <row r="1187" spans="2:5" ht="12.75">
      <c r="B1187" s="236"/>
      <c r="C1187" s="296"/>
      <c r="D1187" s="236"/>
      <c r="E1187" s="236"/>
    </row>
    <row r="1188" spans="2:5" ht="12.75">
      <c r="B1188" s="236"/>
      <c r="C1188" s="296"/>
      <c r="D1188" s="236"/>
      <c r="E1188" s="236"/>
    </row>
    <row r="1189" spans="2:5" ht="12.75">
      <c r="B1189" s="236"/>
      <c r="C1189" s="296"/>
      <c r="D1189" s="236"/>
      <c r="E1189" s="236"/>
    </row>
    <row r="1190" spans="2:5" ht="12.75">
      <c r="B1190" s="236"/>
      <c r="C1190" s="296"/>
      <c r="D1190" s="236"/>
      <c r="E1190" s="236"/>
    </row>
    <row r="1191" spans="2:5" ht="12.75">
      <c r="B1191" s="236"/>
      <c r="C1191" s="296"/>
      <c r="D1191" s="236"/>
      <c r="E1191" s="236"/>
    </row>
    <row r="1192" spans="2:5" ht="12.75">
      <c r="B1192" s="236"/>
      <c r="C1192" s="296"/>
      <c r="D1192" s="236"/>
      <c r="E1192" s="236"/>
    </row>
    <row r="1193" spans="2:5" ht="12.75">
      <c r="B1193" s="236"/>
      <c r="C1193" s="296"/>
      <c r="D1193" s="236"/>
      <c r="E1193" s="236"/>
    </row>
    <row r="1194" spans="2:5" ht="12.75">
      <c r="B1194" s="236"/>
      <c r="C1194" s="296"/>
      <c r="D1194" s="236"/>
      <c r="E1194" s="236"/>
    </row>
    <row r="1195" spans="2:5" ht="12.75">
      <c r="B1195" s="236"/>
      <c r="C1195" s="296"/>
      <c r="D1195" s="236"/>
      <c r="E1195" s="236"/>
    </row>
    <row r="1196" spans="2:5" ht="12.75">
      <c r="B1196" s="236"/>
      <c r="C1196" s="296"/>
      <c r="D1196" s="236"/>
      <c r="E1196" s="236"/>
    </row>
    <row r="1197" spans="2:5" ht="12.75">
      <c r="B1197" s="236"/>
      <c r="C1197" s="296"/>
      <c r="D1197" s="236"/>
      <c r="E1197" s="236"/>
    </row>
    <row r="1198" spans="2:5" ht="12.75">
      <c r="B1198" s="236"/>
      <c r="C1198" s="296"/>
      <c r="D1198" s="236"/>
      <c r="E1198" s="236"/>
    </row>
    <row r="1199" spans="2:5" ht="12.75">
      <c r="B1199" s="236"/>
      <c r="C1199" s="296"/>
      <c r="D1199" s="236"/>
      <c r="E1199" s="236"/>
    </row>
    <row r="1200" spans="2:5" ht="12.75">
      <c r="B1200" s="236"/>
      <c r="C1200" s="296"/>
      <c r="D1200" s="236"/>
      <c r="E1200" s="236"/>
    </row>
    <row r="1201" spans="2:5" ht="12.75">
      <c r="B1201" s="236"/>
      <c r="C1201" s="296"/>
      <c r="D1201" s="236"/>
      <c r="E1201" s="236"/>
    </row>
    <row r="1202" spans="2:5" ht="12.75">
      <c r="B1202" s="236"/>
      <c r="C1202" s="296"/>
      <c r="D1202" s="236"/>
      <c r="E1202" s="236"/>
    </row>
    <row r="1203" spans="2:5" ht="12.75">
      <c r="B1203" s="236"/>
      <c r="C1203" s="296"/>
      <c r="D1203" s="236"/>
      <c r="E1203" s="236"/>
    </row>
    <row r="1204" spans="2:5" ht="12.75">
      <c r="B1204" s="236"/>
      <c r="C1204" s="296"/>
      <c r="D1204" s="236"/>
      <c r="E1204" s="236"/>
    </row>
    <row r="1205" spans="2:5" ht="12.75">
      <c r="B1205" s="236"/>
      <c r="C1205" s="296"/>
      <c r="D1205" s="236"/>
      <c r="E1205" s="236"/>
    </row>
    <row r="1206" spans="2:5" ht="12.75">
      <c r="B1206" s="236"/>
      <c r="C1206" s="296"/>
      <c r="D1206" s="236"/>
      <c r="E1206" s="236"/>
    </row>
    <row r="1207" spans="2:5" ht="12.75">
      <c r="B1207" s="236"/>
      <c r="C1207" s="296"/>
      <c r="D1207" s="236"/>
      <c r="E1207" s="236"/>
    </row>
    <row r="1208" spans="2:5" ht="12.75">
      <c r="B1208" s="236"/>
      <c r="C1208" s="296"/>
      <c r="D1208" s="236"/>
      <c r="E1208" s="236"/>
    </row>
    <row r="1209" spans="2:5" ht="12.75">
      <c r="B1209" s="236"/>
      <c r="C1209" s="296"/>
      <c r="D1209" s="236"/>
      <c r="E1209" s="236"/>
    </row>
    <row r="1210" spans="2:5" ht="12.75">
      <c r="B1210" s="236"/>
      <c r="C1210" s="296"/>
      <c r="D1210" s="236"/>
      <c r="E1210" s="236"/>
    </row>
    <row r="1211" spans="2:5" ht="12.75">
      <c r="B1211" s="236"/>
      <c r="C1211" s="296"/>
      <c r="D1211" s="236"/>
      <c r="E1211" s="236"/>
    </row>
    <row r="1212" spans="2:5" ht="12.75">
      <c r="B1212" s="236"/>
      <c r="C1212" s="296"/>
      <c r="D1212" s="236"/>
      <c r="E1212" s="236"/>
    </row>
    <row r="1213" spans="2:5" ht="12.75">
      <c r="B1213" s="236"/>
      <c r="C1213" s="296"/>
      <c r="D1213" s="236"/>
      <c r="E1213" s="236"/>
    </row>
    <row r="1214" spans="2:5" ht="12.75">
      <c r="B1214" s="236"/>
      <c r="C1214" s="296"/>
      <c r="D1214" s="236"/>
      <c r="E1214" s="236"/>
    </row>
    <row r="1215" spans="2:5" ht="12.75">
      <c r="B1215" s="236"/>
      <c r="C1215" s="296"/>
      <c r="D1215" s="236"/>
      <c r="E1215" s="236"/>
    </row>
    <row r="1216" spans="2:5" ht="12.75">
      <c r="B1216" s="236"/>
      <c r="C1216" s="296"/>
      <c r="D1216" s="236"/>
      <c r="E1216" s="236"/>
    </row>
    <row r="1217" spans="2:5" ht="12.75">
      <c r="B1217" s="236"/>
      <c r="C1217" s="296"/>
      <c r="D1217" s="236"/>
      <c r="E1217" s="236"/>
    </row>
    <row r="1218" spans="2:5" ht="12.75">
      <c r="B1218" s="236"/>
      <c r="C1218" s="296"/>
      <c r="D1218" s="236"/>
      <c r="E1218" s="236"/>
    </row>
    <row r="1219" spans="2:5" ht="12.75">
      <c r="B1219" s="236"/>
      <c r="C1219" s="296"/>
      <c r="D1219" s="236"/>
      <c r="E1219" s="236"/>
    </row>
    <row r="1220" spans="2:5" ht="12.75">
      <c r="B1220" s="236"/>
      <c r="C1220" s="296"/>
      <c r="D1220" s="236"/>
      <c r="E1220" s="236"/>
    </row>
    <row r="1221" spans="2:5" ht="12.75">
      <c r="B1221" s="236"/>
      <c r="C1221" s="296"/>
      <c r="D1221" s="236"/>
      <c r="E1221" s="236"/>
    </row>
    <row r="1222" spans="2:5" ht="12.75">
      <c r="B1222" s="236"/>
      <c r="C1222" s="296"/>
      <c r="D1222" s="236"/>
      <c r="E1222" s="236"/>
    </row>
    <row r="1223" spans="2:5" ht="12.75">
      <c r="B1223" s="236"/>
      <c r="C1223" s="296"/>
      <c r="D1223" s="236"/>
      <c r="E1223" s="236"/>
    </row>
    <row r="1224" spans="2:5" ht="12.75">
      <c r="B1224" s="236"/>
      <c r="C1224" s="296"/>
      <c r="D1224" s="236"/>
      <c r="E1224" s="236"/>
    </row>
    <row r="1225" spans="2:5" ht="12.75">
      <c r="B1225" s="236"/>
      <c r="C1225" s="296"/>
      <c r="D1225" s="236"/>
      <c r="E1225" s="236"/>
    </row>
    <row r="1226" spans="2:5" ht="12.75">
      <c r="B1226" s="236"/>
      <c r="C1226" s="296"/>
      <c r="D1226" s="236"/>
      <c r="E1226" s="236"/>
    </row>
    <row r="1227" spans="2:5" ht="12.75">
      <c r="B1227" s="236"/>
      <c r="C1227" s="296"/>
      <c r="D1227" s="236"/>
      <c r="E1227" s="236"/>
    </row>
    <row r="1228" spans="2:5" ht="12.75">
      <c r="B1228" s="236"/>
      <c r="C1228" s="296"/>
      <c r="D1228" s="236"/>
      <c r="E1228" s="236"/>
    </row>
    <row r="1229" spans="2:5" ht="12.75">
      <c r="B1229" s="236"/>
      <c r="C1229" s="296"/>
      <c r="D1229" s="236"/>
      <c r="E1229" s="236"/>
    </row>
    <row r="1230" spans="2:5" ht="12.75">
      <c r="B1230" s="236"/>
      <c r="C1230" s="296"/>
      <c r="D1230" s="236"/>
      <c r="E1230" s="236"/>
    </row>
    <row r="1231" spans="2:5" ht="12.75">
      <c r="B1231" s="236"/>
      <c r="C1231" s="296"/>
      <c r="D1231" s="236"/>
      <c r="E1231" s="236"/>
    </row>
    <row r="1232" spans="2:5" ht="12.75">
      <c r="B1232" s="236"/>
      <c r="C1232" s="296"/>
      <c r="D1232" s="236"/>
      <c r="E1232" s="236"/>
    </row>
    <row r="1233" spans="2:5" ht="12.75">
      <c r="B1233" s="236"/>
      <c r="C1233" s="296"/>
      <c r="D1233" s="236"/>
      <c r="E1233" s="236"/>
    </row>
    <row r="1234" spans="2:5" ht="12.75">
      <c r="B1234" s="236"/>
      <c r="C1234" s="296"/>
      <c r="D1234" s="236"/>
      <c r="E1234" s="236"/>
    </row>
    <row r="1235" spans="2:5" ht="12.75">
      <c r="B1235" s="236"/>
      <c r="C1235" s="296"/>
      <c r="D1235" s="236"/>
      <c r="E1235" s="236"/>
    </row>
    <row r="1236" spans="2:5" ht="12.75">
      <c r="B1236" s="236"/>
      <c r="C1236" s="296"/>
      <c r="D1236" s="236"/>
      <c r="E1236" s="236"/>
    </row>
    <row r="1237" spans="2:5" ht="12.75">
      <c r="B1237" s="236"/>
      <c r="C1237" s="296"/>
      <c r="D1237" s="236"/>
      <c r="E1237" s="236"/>
    </row>
    <row r="1238" spans="2:5" ht="12.75">
      <c r="B1238" s="236"/>
      <c r="C1238" s="296"/>
      <c r="D1238" s="236"/>
      <c r="E1238" s="236"/>
    </row>
    <row r="1239" spans="2:5" ht="12.75">
      <c r="B1239" s="236"/>
      <c r="C1239" s="296"/>
      <c r="D1239" s="236"/>
      <c r="E1239" s="236"/>
    </row>
    <row r="1240" spans="2:5" ht="12.75">
      <c r="B1240" s="236"/>
      <c r="C1240" s="296"/>
      <c r="D1240" s="236"/>
      <c r="E1240" s="236"/>
    </row>
    <row r="1241" spans="2:5" ht="12.75">
      <c r="B1241" s="236"/>
      <c r="C1241" s="296"/>
      <c r="D1241" s="236"/>
      <c r="E1241" s="236"/>
    </row>
    <row r="1242" spans="2:5" ht="12.75">
      <c r="B1242" s="236"/>
      <c r="C1242" s="296"/>
      <c r="D1242" s="236"/>
      <c r="E1242" s="236"/>
    </row>
    <row r="1243" spans="2:5" ht="12.75">
      <c r="B1243" s="236"/>
      <c r="C1243" s="296"/>
      <c r="D1243" s="236"/>
      <c r="E1243" s="236"/>
    </row>
    <row r="1244" spans="2:5" ht="12.75">
      <c r="B1244" s="236"/>
      <c r="C1244" s="296"/>
      <c r="D1244" s="236"/>
      <c r="E1244" s="236"/>
    </row>
    <row r="1245" spans="2:5" ht="12.75">
      <c r="B1245" s="236"/>
      <c r="C1245" s="296"/>
      <c r="D1245" s="236"/>
      <c r="E1245" s="236"/>
    </row>
    <row r="1246" spans="2:5" ht="12.75">
      <c r="B1246" s="236"/>
      <c r="C1246" s="296"/>
      <c r="D1246" s="236"/>
      <c r="E1246" s="236"/>
    </row>
    <row r="1247" spans="2:5" ht="12.75">
      <c r="B1247" s="236"/>
      <c r="C1247" s="296"/>
      <c r="D1247" s="236"/>
      <c r="E1247" s="236"/>
    </row>
    <row r="1248" spans="2:5" ht="12.75">
      <c r="B1248" s="236"/>
      <c r="C1248" s="296"/>
      <c r="D1248" s="236"/>
      <c r="E1248" s="236"/>
    </row>
    <row r="1249" spans="2:5" ht="12.75">
      <c r="B1249" s="236"/>
      <c r="C1249" s="296"/>
      <c r="D1249" s="236"/>
      <c r="E1249" s="236"/>
    </row>
    <row r="1250" spans="2:5" ht="12.75">
      <c r="B1250" s="236"/>
      <c r="C1250" s="296"/>
      <c r="D1250" s="236"/>
      <c r="E1250" s="236"/>
    </row>
    <row r="1251" spans="2:5" ht="12.75">
      <c r="B1251" s="236"/>
      <c r="C1251" s="296"/>
      <c r="D1251" s="236"/>
      <c r="E1251" s="236"/>
    </row>
    <row r="1252" spans="2:5" ht="12.75">
      <c r="B1252" s="236"/>
      <c r="C1252" s="296"/>
      <c r="D1252" s="236"/>
      <c r="E1252" s="236"/>
    </row>
    <row r="1253" spans="2:5" ht="12.75">
      <c r="B1253" s="236"/>
      <c r="C1253" s="296"/>
      <c r="D1253" s="236"/>
      <c r="E1253" s="236"/>
    </row>
    <row r="1254" spans="2:5" ht="12.75">
      <c r="B1254" s="236"/>
      <c r="C1254" s="296"/>
      <c r="D1254" s="236"/>
      <c r="E1254" s="236"/>
    </row>
    <row r="1255" spans="2:5" ht="12.75">
      <c r="B1255" s="236"/>
      <c r="C1255" s="296"/>
      <c r="D1255" s="236"/>
      <c r="E1255" s="236"/>
    </row>
    <row r="1256" spans="2:5" ht="12.75">
      <c r="B1256" s="236"/>
      <c r="C1256" s="296"/>
      <c r="D1256" s="236"/>
      <c r="E1256" s="236"/>
    </row>
    <row r="1257" spans="2:5" ht="12.75">
      <c r="B1257" s="236"/>
      <c r="C1257" s="296"/>
      <c r="D1257" s="236"/>
      <c r="E1257" s="236"/>
    </row>
    <row r="1258" spans="2:5" ht="12.75">
      <c r="B1258" s="236"/>
      <c r="C1258" s="296"/>
      <c r="D1258" s="236"/>
      <c r="E1258" s="236"/>
    </row>
    <row r="1259" spans="2:5" ht="12.75">
      <c r="B1259" s="236"/>
      <c r="C1259" s="296"/>
      <c r="D1259" s="236"/>
      <c r="E1259" s="236"/>
    </row>
    <row r="1260" spans="2:5" ht="12.75">
      <c r="B1260" s="236"/>
      <c r="C1260" s="296"/>
      <c r="D1260" s="236"/>
      <c r="E1260" s="236"/>
    </row>
    <row r="1261" spans="2:5" ht="12.75">
      <c r="B1261" s="236"/>
      <c r="C1261" s="296"/>
      <c r="D1261" s="236"/>
      <c r="E1261" s="236"/>
    </row>
    <row r="1262" spans="2:5" ht="12.75">
      <c r="B1262" s="236"/>
      <c r="C1262" s="296"/>
      <c r="D1262" s="236"/>
      <c r="E1262" s="236"/>
    </row>
    <row r="1263" spans="2:5" ht="12.75">
      <c r="B1263" s="236"/>
      <c r="C1263" s="296"/>
      <c r="D1263" s="236"/>
      <c r="E1263" s="236"/>
    </row>
    <row r="1264" spans="2:5" ht="12.75">
      <c r="B1264" s="236"/>
      <c r="C1264" s="296"/>
      <c r="D1264" s="236"/>
      <c r="E1264" s="236"/>
    </row>
    <row r="1265" spans="2:5" ht="12.75">
      <c r="B1265" s="236"/>
      <c r="C1265" s="296"/>
      <c r="D1265" s="236"/>
      <c r="E1265" s="236"/>
    </row>
    <row r="1266" spans="2:5" ht="12.75">
      <c r="B1266" s="236"/>
      <c r="C1266" s="296"/>
      <c r="D1266" s="236"/>
      <c r="E1266" s="236"/>
    </row>
    <row r="1267" spans="2:5" ht="12.75">
      <c r="B1267" s="236"/>
      <c r="C1267" s="296"/>
      <c r="D1267" s="236"/>
      <c r="E1267" s="236"/>
    </row>
    <row r="1268" spans="2:5" ht="12.75">
      <c r="B1268" s="236"/>
      <c r="C1268" s="296"/>
      <c r="D1268" s="236"/>
      <c r="E1268" s="236"/>
    </row>
    <row r="1269" spans="2:5" ht="12.75">
      <c r="B1269" s="236"/>
      <c r="C1269" s="296"/>
      <c r="D1269" s="236"/>
      <c r="E1269" s="236"/>
    </row>
    <row r="1270" spans="2:5" ht="12.75">
      <c r="B1270" s="236"/>
      <c r="C1270" s="296"/>
      <c r="D1270" s="236"/>
      <c r="E1270" s="236"/>
    </row>
    <row r="1271" spans="2:5" ht="12.75">
      <c r="B1271" s="236"/>
      <c r="C1271" s="296"/>
      <c r="D1271" s="236"/>
      <c r="E1271" s="236"/>
    </row>
    <row r="1272" spans="2:5" ht="12.75">
      <c r="B1272" s="236"/>
      <c r="C1272" s="296"/>
      <c r="D1272" s="236"/>
      <c r="E1272" s="236"/>
    </row>
    <row r="1273" spans="2:5" ht="12.75">
      <c r="B1273" s="236"/>
      <c r="C1273" s="296"/>
      <c r="D1273" s="236"/>
      <c r="E1273" s="236"/>
    </row>
    <row r="1274" spans="2:5" ht="12.75">
      <c r="B1274" s="236"/>
      <c r="C1274" s="296"/>
      <c r="D1274" s="236"/>
      <c r="E1274" s="236"/>
    </row>
    <row r="1275" spans="2:5" ht="12.75">
      <c r="B1275" s="236"/>
      <c r="C1275" s="296"/>
      <c r="D1275" s="236"/>
      <c r="E1275" s="236"/>
    </row>
    <row r="1276" spans="2:5" ht="12.75">
      <c r="B1276" s="236"/>
      <c r="C1276" s="296"/>
      <c r="D1276" s="236"/>
      <c r="E1276" s="236"/>
    </row>
    <row r="1277" spans="2:5" ht="12.75">
      <c r="B1277" s="236"/>
      <c r="C1277" s="296"/>
      <c r="D1277" s="236"/>
      <c r="E1277" s="236"/>
    </row>
    <row r="1278" spans="2:5" ht="12.75">
      <c r="B1278" s="236"/>
      <c r="C1278" s="296"/>
      <c r="D1278" s="236"/>
      <c r="E1278" s="236"/>
    </row>
    <row r="1279" spans="2:5" ht="12.75">
      <c r="B1279" s="236"/>
      <c r="C1279" s="296"/>
      <c r="D1279" s="236"/>
      <c r="E1279" s="236"/>
    </row>
    <row r="1280" spans="2:5" ht="12.75">
      <c r="B1280" s="236"/>
      <c r="C1280" s="296"/>
      <c r="D1280" s="236"/>
      <c r="E1280" s="236"/>
    </row>
    <row r="1281" spans="2:5" ht="12.75">
      <c r="B1281" s="236"/>
      <c r="C1281" s="296"/>
      <c r="D1281" s="236"/>
      <c r="E1281" s="236"/>
    </row>
    <row r="1282" spans="2:5" ht="12.75">
      <c r="B1282" s="236"/>
      <c r="C1282" s="296"/>
      <c r="D1282" s="236"/>
      <c r="E1282" s="236"/>
    </row>
    <row r="1283" spans="2:5" ht="12.75">
      <c r="B1283" s="236"/>
      <c r="C1283" s="296"/>
      <c r="D1283" s="236"/>
      <c r="E1283" s="236"/>
    </row>
    <row r="1284" spans="2:5" ht="12.75">
      <c r="B1284" s="236"/>
      <c r="C1284" s="296"/>
      <c r="D1284" s="236"/>
      <c r="E1284" s="236"/>
    </row>
    <row r="1285" spans="2:5" ht="12.75">
      <c r="B1285" s="236"/>
      <c r="C1285" s="296"/>
      <c r="D1285" s="236"/>
      <c r="E1285" s="236"/>
    </row>
    <row r="1286" spans="2:5" ht="12.75">
      <c r="B1286" s="236"/>
      <c r="C1286" s="296"/>
      <c r="D1286" s="236"/>
      <c r="E1286" s="236"/>
    </row>
    <row r="1287" spans="2:5" ht="12.75">
      <c r="B1287" s="236"/>
      <c r="C1287" s="296"/>
      <c r="D1287" s="236"/>
      <c r="E1287" s="236"/>
    </row>
    <row r="1288" spans="2:5" ht="12.75">
      <c r="B1288" s="236"/>
      <c r="C1288" s="296"/>
      <c r="D1288" s="236"/>
      <c r="E1288" s="236"/>
    </row>
    <row r="1289" spans="2:5" ht="12.75">
      <c r="B1289" s="236"/>
      <c r="C1289" s="296"/>
      <c r="D1289" s="236"/>
      <c r="E1289" s="236"/>
    </row>
    <row r="1290" spans="2:5" ht="12.75">
      <c r="B1290" s="236"/>
      <c r="C1290" s="296"/>
      <c r="D1290" s="236"/>
      <c r="E1290" s="236"/>
    </row>
    <row r="1291" spans="2:5" ht="12.75">
      <c r="B1291" s="236"/>
      <c r="C1291" s="296"/>
      <c r="D1291" s="236"/>
      <c r="E1291" s="236"/>
    </row>
    <row r="1292" spans="2:5" ht="12.75">
      <c r="B1292" s="236"/>
      <c r="C1292" s="296"/>
      <c r="D1292" s="236"/>
      <c r="E1292" s="236"/>
    </row>
    <row r="1293" spans="2:5" ht="12.75">
      <c r="B1293" s="236"/>
      <c r="C1293" s="296"/>
      <c r="D1293" s="236"/>
      <c r="E1293" s="236"/>
    </row>
    <row r="1294" spans="2:5" ht="12.75">
      <c r="B1294" s="236"/>
      <c r="C1294" s="296"/>
      <c r="D1294" s="236"/>
      <c r="E1294" s="236"/>
    </row>
    <row r="1295" spans="2:5" ht="12.75">
      <c r="B1295" s="236"/>
      <c r="C1295" s="296"/>
      <c r="D1295" s="236"/>
      <c r="E1295" s="236"/>
    </row>
    <row r="1296" spans="2:5" ht="12.75">
      <c r="B1296" s="236"/>
      <c r="C1296" s="296"/>
      <c r="D1296" s="236"/>
      <c r="E1296" s="236"/>
    </row>
    <row r="1297" spans="2:5" ht="12.75">
      <c r="B1297" s="236"/>
      <c r="C1297" s="296"/>
      <c r="D1297" s="236"/>
      <c r="E1297" s="236"/>
    </row>
    <row r="1298" spans="2:5" ht="12.75">
      <c r="B1298" s="236"/>
      <c r="C1298" s="296"/>
      <c r="D1298" s="236"/>
      <c r="E1298" s="236"/>
    </row>
    <row r="1299" spans="2:5" ht="12.75">
      <c r="B1299" s="236"/>
      <c r="C1299" s="296"/>
      <c r="D1299" s="236"/>
      <c r="E1299" s="236"/>
    </row>
    <row r="1300" spans="2:5" ht="12.75">
      <c r="B1300" s="236"/>
      <c r="C1300" s="296"/>
      <c r="D1300" s="236"/>
      <c r="E1300" s="236"/>
    </row>
    <row r="1301" spans="2:5" ht="12.75">
      <c r="B1301" s="236"/>
      <c r="C1301" s="296"/>
      <c r="D1301" s="236"/>
      <c r="E1301" s="236"/>
    </row>
    <row r="1302" spans="2:5" ht="12.75">
      <c r="B1302" s="236"/>
      <c r="C1302" s="296"/>
      <c r="D1302" s="236"/>
      <c r="E1302" s="236"/>
    </row>
    <row r="1303" spans="2:5" ht="12.75">
      <c r="B1303" s="236"/>
      <c r="C1303" s="296"/>
      <c r="D1303" s="236"/>
      <c r="E1303" s="236"/>
    </row>
    <row r="1304" spans="2:5" ht="12.75">
      <c r="B1304" s="236"/>
      <c r="C1304" s="296"/>
      <c r="D1304" s="236"/>
      <c r="E1304" s="236"/>
    </row>
    <row r="1305" spans="2:5" ht="12.75">
      <c r="B1305" s="236"/>
      <c r="C1305" s="296"/>
      <c r="D1305" s="236"/>
      <c r="E1305" s="236"/>
    </row>
    <row r="1306" spans="2:5" ht="12.75">
      <c r="B1306" s="236"/>
      <c r="C1306" s="296"/>
      <c r="D1306" s="236"/>
      <c r="E1306" s="236"/>
    </row>
    <row r="1307" spans="2:5" ht="12.75">
      <c r="B1307" s="236"/>
      <c r="C1307" s="296"/>
      <c r="D1307" s="236"/>
      <c r="E1307" s="236"/>
    </row>
    <row r="1308" spans="2:5" ht="12.75">
      <c r="B1308" s="236"/>
      <c r="C1308" s="296"/>
      <c r="D1308" s="236"/>
      <c r="E1308" s="236"/>
    </row>
    <row r="1309" spans="2:5" ht="12.75">
      <c r="B1309" s="236"/>
      <c r="C1309" s="296"/>
      <c r="D1309" s="236"/>
      <c r="E1309" s="236"/>
    </row>
    <row r="1310" spans="2:5" ht="12.75">
      <c r="B1310" s="236"/>
      <c r="C1310" s="296"/>
      <c r="D1310" s="236"/>
      <c r="E1310" s="236"/>
    </row>
    <row r="1311" spans="2:5" ht="12.75">
      <c r="B1311" s="236"/>
      <c r="C1311" s="296"/>
      <c r="D1311" s="236"/>
      <c r="E1311" s="236"/>
    </row>
    <row r="1312" spans="2:5" ht="12.75">
      <c r="B1312" s="236"/>
      <c r="C1312" s="296"/>
      <c r="D1312" s="236"/>
      <c r="E1312" s="236"/>
    </row>
    <row r="1313" spans="2:5" ht="12.75">
      <c r="B1313" s="236"/>
      <c r="C1313" s="296"/>
      <c r="D1313" s="236"/>
      <c r="E1313" s="236"/>
    </row>
    <row r="1314" spans="2:5" ht="12.75">
      <c r="B1314" s="236"/>
      <c r="C1314" s="296"/>
      <c r="D1314" s="236"/>
      <c r="E1314" s="236"/>
    </row>
    <row r="1315" spans="2:5" ht="12.75">
      <c r="B1315" s="236"/>
      <c r="C1315" s="296"/>
      <c r="D1315" s="236"/>
      <c r="E1315" s="236"/>
    </row>
    <row r="1316" spans="2:5" ht="12.75">
      <c r="B1316" s="236"/>
      <c r="C1316" s="296"/>
      <c r="D1316" s="236"/>
      <c r="E1316" s="236"/>
    </row>
    <row r="1317" spans="2:5" ht="12.75">
      <c r="B1317" s="236"/>
      <c r="C1317" s="296"/>
      <c r="D1317" s="236"/>
      <c r="E1317" s="236"/>
    </row>
    <row r="1318" spans="2:5" ht="12.75">
      <c r="B1318" s="236"/>
      <c r="C1318" s="296"/>
      <c r="D1318" s="236"/>
      <c r="E1318" s="236"/>
    </row>
    <row r="1319" spans="2:5" ht="12.75">
      <c r="B1319" s="236"/>
      <c r="C1319" s="296"/>
      <c r="D1319" s="236"/>
      <c r="E1319" s="236"/>
    </row>
    <row r="1320" spans="2:5" ht="12.75">
      <c r="B1320" s="236"/>
      <c r="C1320" s="296"/>
      <c r="D1320" s="236"/>
      <c r="E1320" s="236"/>
    </row>
    <row r="1321" spans="2:5" ht="12.75">
      <c r="B1321" s="236"/>
      <c r="C1321" s="296"/>
      <c r="D1321" s="236"/>
      <c r="E1321" s="236"/>
    </row>
    <row r="1322" spans="2:5" ht="12.75">
      <c r="B1322" s="236"/>
      <c r="C1322" s="296"/>
      <c r="D1322" s="236"/>
      <c r="E1322" s="236"/>
    </row>
    <row r="1323" spans="2:5" ht="12.75">
      <c r="B1323" s="236"/>
      <c r="C1323" s="296"/>
      <c r="D1323" s="236"/>
      <c r="E1323" s="236"/>
    </row>
    <row r="1324" spans="2:5" ht="12.75">
      <c r="B1324" s="236"/>
      <c r="C1324" s="296"/>
      <c r="D1324" s="236"/>
      <c r="E1324" s="236"/>
    </row>
    <row r="1325" spans="2:5" ht="12.75">
      <c r="B1325" s="236"/>
      <c r="C1325" s="296"/>
      <c r="D1325" s="236"/>
      <c r="E1325" s="236"/>
    </row>
    <row r="1326" spans="2:5" ht="12.75">
      <c r="B1326" s="236"/>
      <c r="C1326" s="296"/>
      <c r="D1326" s="236"/>
      <c r="E1326" s="236"/>
    </row>
    <row r="1327" spans="2:5" ht="12.75">
      <c r="B1327" s="236"/>
      <c r="C1327" s="296"/>
      <c r="D1327" s="236"/>
      <c r="E1327" s="236"/>
    </row>
    <row r="1328" spans="2:5" ht="12.75">
      <c r="B1328" s="236"/>
      <c r="C1328" s="296"/>
      <c r="D1328" s="236"/>
      <c r="E1328" s="236"/>
    </row>
    <row r="1329" spans="2:5" ht="12.75">
      <c r="B1329" s="236"/>
      <c r="C1329" s="296"/>
      <c r="D1329" s="236"/>
      <c r="E1329" s="236"/>
    </row>
    <row r="1330" spans="2:5" ht="12.75">
      <c r="B1330" s="236"/>
      <c r="C1330" s="296"/>
      <c r="D1330" s="236"/>
      <c r="E1330" s="236"/>
    </row>
    <row r="1331" spans="2:5" ht="12.75">
      <c r="B1331" s="236"/>
      <c r="C1331" s="296"/>
      <c r="D1331" s="236"/>
      <c r="E1331" s="236"/>
    </row>
    <row r="1332" spans="2:5" ht="12.75">
      <c r="B1332" s="236"/>
      <c r="C1332" s="296"/>
      <c r="D1332" s="236"/>
      <c r="E1332" s="236"/>
    </row>
    <row r="1333" spans="2:5" ht="12.75">
      <c r="B1333" s="236"/>
      <c r="C1333" s="296"/>
      <c r="D1333" s="236"/>
      <c r="E1333" s="236"/>
    </row>
    <row r="1334" spans="2:5" ht="12.75">
      <c r="B1334" s="236"/>
      <c r="C1334" s="296"/>
      <c r="D1334" s="236"/>
      <c r="E1334" s="236"/>
    </row>
    <row r="1335" spans="2:5" ht="12.75">
      <c r="B1335" s="236"/>
      <c r="C1335" s="296"/>
      <c r="D1335" s="236"/>
      <c r="E1335" s="236"/>
    </row>
    <row r="1336" spans="2:5" ht="12.75">
      <c r="B1336" s="236"/>
      <c r="C1336" s="296"/>
      <c r="D1336" s="236"/>
      <c r="E1336" s="236"/>
    </row>
    <row r="1337" spans="2:5" ht="12.75">
      <c r="B1337" s="236"/>
      <c r="C1337" s="296"/>
      <c r="D1337" s="236"/>
      <c r="E1337" s="236"/>
    </row>
    <row r="1338" spans="2:5" ht="12.75">
      <c r="B1338" s="236"/>
      <c r="C1338" s="296"/>
      <c r="D1338" s="236"/>
      <c r="E1338" s="236"/>
    </row>
    <row r="1339" spans="2:5" ht="12.75">
      <c r="B1339" s="236"/>
      <c r="C1339" s="296"/>
      <c r="D1339" s="236"/>
      <c r="E1339" s="236"/>
    </row>
    <row r="1340" spans="2:5" ht="12.75">
      <c r="B1340" s="236"/>
      <c r="C1340" s="296"/>
      <c r="D1340" s="236"/>
      <c r="E1340" s="236"/>
    </row>
    <row r="1341" spans="2:5" ht="12.75">
      <c r="B1341" s="236"/>
      <c r="C1341" s="296"/>
      <c r="D1341" s="236"/>
      <c r="E1341" s="236"/>
    </row>
    <row r="1342" spans="2:5" ht="12.75">
      <c r="B1342" s="236"/>
      <c r="C1342" s="296"/>
      <c r="D1342" s="236"/>
      <c r="E1342" s="236"/>
    </row>
    <row r="1343" spans="2:5" ht="12.75">
      <c r="B1343" s="236"/>
      <c r="C1343" s="296"/>
      <c r="D1343" s="236"/>
      <c r="E1343" s="236"/>
    </row>
    <row r="1344" spans="2:5" ht="12.75">
      <c r="B1344" s="236"/>
      <c r="C1344" s="296"/>
      <c r="D1344" s="236"/>
      <c r="E1344" s="236"/>
    </row>
    <row r="1345" spans="2:5" ht="12.75">
      <c r="B1345" s="236"/>
      <c r="C1345" s="296"/>
      <c r="D1345" s="236"/>
      <c r="E1345" s="236"/>
    </row>
    <row r="1346" spans="2:5" ht="12.75">
      <c r="B1346" s="236"/>
      <c r="C1346" s="296"/>
      <c r="D1346" s="236"/>
      <c r="E1346" s="236"/>
    </row>
    <row r="1347" spans="2:5" ht="12.75">
      <c r="B1347" s="236"/>
      <c r="C1347" s="296"/>
      <c r="D1347" s="236"/>
      <c r="E1347" s="236"/>
    </row>
    <row r="1348" spans="2:5" ht="12.75">
      <c r="B1348" s="236"/>
      <c r="C1348" s="296"/>
      <c r="D1348" s="236"/>
      <c r="E1348" s="236"/>
    </row>
    <row r="1349" spans="2:5" ht="12.75">
      <c r="B1349" s="236"/>
      <c r="C1349" s="296"/>
      <c r="D1349" s="236"/>
      <c r="E1349" s="236"/>
    </row>
    <row r="1350" spans="2:5" ht="12.75">
      <c r="B1350" s="236"/>
      <c r="C1350" s="296"/>
      <c r="D1350" s="236"/>
      <c r="E1350" s="236"/>
    </row>
    <row r="1351" spans="2:5" ht="12.75">
      <c r="B1351" s="236"/>
      <c r="C1351" s="296"/>
      <c r="D1351" s="236"/>
      <c r="E1351" s="236"/>
    </row>
    <row r="1352" spans="2:5" ht="12.75">
      <c r="B1352" s="236"/>
      <c r="C1352" s="296"/>
      <c r="D1352" s="236"/>
      <c r="E1352" s="236"/>
    </row>
    <row r="1353" spans="2:5" ht="12.75">
      <c r="B1353" s="236"/>
      <c r="C1353" s="296"/>
      <c r="D1353" s="236"/>
      <c r="E1353" s="236"/>
    </row>
    <row r="1354" spans="2:5" ht="12.75">
      <c r="B1354" s="236"/>
      <c r="C1354" s="296"/>
      <c r="D1354" s="236"/>
      <c r="E1354" s="236"/>
    </row>
    <row r="1355" spans="2:5" ht="12.75">
      <c r="B1355" s="236"/>
      <c r="C1355" s="296"/>
      <c r="D1355" s="236"/>
      <c r="E1355" s="236"/>
    </row>
    <row r="1356" spans="2:5" ht="12.75">
      <c r="B1356" s="236"/>
      <c r="C1356" s="296"/>
      <c r="D1356" s="236"/>
      <c r="E1356" s="236"/>
    </row>
    <row r="1357" spans="2:5" ht="12.75">
      <c r="B1357" s="236"/>
      <c r="C1357" s="296"/>
      <c r="D1357" s="236"/>
      <c r="E1357" s="236"/>
    </row>
    <row r="1358" spans="2:5" ht="12.75">
      <c r="B1358" s="236"/>
      <c r="C1358" s="296"/>
      <c r="D1358" s="236"/>
      <c r="E1358" s="236"/>
    </row>
    <row r="1359" spans="2:5" ht="12.75">
      <c r="B1359" s="236"/>
      <c r="C1359" s="296"/>
      <c r="D1359" s="236"/>
      <c r="E1359" s="236"/>
    </row>
    <row r="1360" spans="2:5" ht="12.75">
      <c r="B1360" s="236"/>
      <c r="C1360" s="296"/>
      <c r="D1360" s="236"/>
      <c r="E1360" s="236"/>
    </row>
    <row r="1361" spans="2:5" ht="12.75">
      <c r="B1361" s="236"/>
      <c r="C1361" s="296"/>
      <c r="D1361" s="236"/>
      <c r="E1361" s="236"/>
    </row>
    <row r="1362" spans="2:5" ht="12.75">
      <c r="B1362" s="236"/>
      <c r="C1362" s="296"/>
      <c r="D1362" s="236"/>
      <c r="E1362" s="236"/>
    </row>
    <row r="1363" spans="2:5" ht="12.75">
      <c r="B1363" s="236"/>
      <c r="C1363" s="296"/>
      <c r="D1363" s="236"/>
      <c r="E1363" s="236"/>
    </row>
    <row r="1364" spans="2:5" ht="12.75">
      <c r="B1364" s="236"/>
      <c r="C1364" s="296"/>
      <c r="D1364" s="236"/>
      <c r="E1364" s="236"/>
    </row>
    <row r="1365" spans="2:5" ht="12.75">
      <c r="B1365" s="236"/>
      <c r="C1365" s="296"/>
      <c r="D1365" s="236"/>
      <c r="E1365" s="236"/>
    </row>
    <row r="1366" spans="2:5" ht="12.75">
      <c r="B1366" s="236"/>
      <c r="C1366" s="296"/>
      <c r="D1366" s="236"/>
      <c r="E1366" s="236"/>
    </row>
    <row r="1367" spans="2:5" ht="12.75">
      <c r="B1367" s="236"/>
      <c r="C1367" s="296"/>
      <c r="D1367" s="236"/>
      <c r="E1367" s="236"/>
    </row>
    <row r="1368" spans="2:5" ht="12.75">
      <c r="B1368" s="236"/>
      <c r="C1368" s="296"/>
      <c r="D1368" s="236"/>
      <c r="E1368" s="236"/>
    </row>
    <row r="1369" spans="2:5" ht="12.75">
      <c r="B1369" s="236"/>
      <c r="C1369" s="296"/>
      <c r="D1369" s="236"/>
      <c r="E1369" s="236"/>
    </row>
    <row r="1370" spans="2:5" ht="12.75">
      <c r="B1370" s="236"/>
      <c r="C1370" s="296"/>
      <c r="D1370" s="236"/>
      <c r="E1370" s="236"/>
    </row>
    <row r="1371" spans="2:5" ht="12.75">
      <c r="B1371" s="236"/>
      <c r="C1371" s="296"/>
      <c r="D1371" s="236"/>
      <c r="E1371" s="236"/>
    </row>
    <row r="1372" spans="2:5" ht="12.75">
      <c r="B1372" s="236"/>
      <c r="C1372" s="296"/>
      <c r="D1372" s="236"/>
      <c r="E1372" s="236"/>
    </row>
    <row r="1373" spans="2:5" ht="12.75">
      <c r="B1373" s="236"/>
      <c r="C1373" s="296"/>
      <c r="D1373" s="236"/>
      <c r="E1373" s="236"/>
    </row>
    <row r="1374" spans="2:5" ht="12.75">
      <c r="B1374" s="236"/>
      <c r="C1374" s="296"/>
      <c r="D1374" s="236"/>
      <c r="E1374" s="236"/>
    </row>
    <row r="1375" spans="2:5" ht="12.75">
      <c r="B1375" s="236"/>
      <c r="C1375" s="296"/>
      <c r="D1375" s="236"/>
      <c r="E1375" s="236"/>
    </row>
    <row r="1376" spans="2:5" ht="12.75">
      <c r="B1376" s="236"/>
      <c r="C1376" s="296"/>
      <c r="D1376" s="236"/>
      <c r="E1376" s="236"/>
    </row>
    <row r="1377" spans="2:5" ht="12.75">
      <c r="B1377" s="236"/>
      <c r="C1377" s="296"/>
      <c r="D1377" s="236"/>
      <c r="E1377" s="236"/>
    </row>
    <row r="1378" spans="2:5" ht="12.75">
      <c r="B1378" s="236"/>
      <c r="C1378" s="296"/>
      <c r="D1378" s="236"/>
      <c r="E1378" s="236"/>
    </row>
    <row r="1379" spans="2:5" ht="12.75">
      <c r="B1379" s="236"/>
      <c r="C1379" s="296"/>
      <c r="D1379" s="236"/>
      <c r="E1379" s="236"/>
    </row>
    <row r="1380" spans="2:5" ht="12.75">
      <c r="B1380" s="236"/>
      <c r="C1380" s="296"/>
      <c r="D1380" s="236"/>
      <c r="E1380" s="236"/>
    </row>
    <row r="1381" spans="2:5" ht="12.75">
      <c r="B1381" s="236"/>
      <c r="C1381" s="296"/>
      <c r="D1381" s="236"/>
      <c r="E1381" s="236"/>
    </row>
    <row r="1382" spans="2:5" ht="12.75">
      <c r="B1382" s="236"/>
      <c r="C1382" s="296"/>
      <c r="D1382" s="236"/>
      <c r="E1382" s="236"/>
    </row>
    <row r="1383" spans="2:5" ht="12.75">
      <c r="B1383" s="236"/>
      <c r="C1383" s="296"/>
      <c r="D1383" s="236"/>
      <c r="E1383" s="236"/>
    </row>
    <row r="1384" spans="2:5" ht="12.75">
      <c r="B1384" s="236"/>
      <c r="C1384" s="296"/>
      <c r="D1384" s="236"/>
      <c r="E1384" s="236"/>
    </row>
    <row r="1385" spans="2:5" ht="12.75">
      <c r="B1385" s="236"/>
      <c r="C1385" s="296"/>
      <c r="D1385" s="236"/>
      <c r="E1385" s="236"/>
    </row>
    <row r="1386" spans="2:5" ht="12.75">
      <c r="B1386" s="236"/>
      <c r="C1386" s="296"/>
      <c r="D1386" s="236"/>
      <c r="E1386" s="236"/>
    </row>
    <row r="1387" spans="2:5" ht="12.75">
      <c r="B1387" s="236"/>
      <c r="C1387" s="296"/>
      <c r="D1387" s="236"/>
      <c r="E1387" s="236"/>
    </row>
    <row r="1388" spans="2:5" ht="12.75">
      <c r="B1388" s="236"/>
      <c r="C1388" s="296"/>
      <c r="D1388" s="236"/>
      <c r="E1388" s="236"/>
    </row>
    <row r="1389" spans="2:5" ht="12.75">
      <c r="B1389" s="236"/>
      <c r="C1389" s="296"/>
      <c r="D1389" s="236"/>
      <c r="E1389" s="236"/>
    </row>
    <row r="1390" spans="2:5" ht="12.75">
      <c r="B1390" s="236"/>
      <c r="C1390" s="296"/>
      <c r="D1390" s="236"/>
      <c r="E1390" s="236"/>
    </row>
  </sheetData>
  <mergeCells count="11">
    <mergeCell ref="E8:E10"/>
    <mergeCell ref="A6:H6"/>
    <mergeCell ref="A7:H7"/>
    <mergeCell ref="H8:H10"/>
    <mergeCell ref="A257:D257"/>
    <mergeCell ref="F8:F10"/>
    <mergeCell ref="G8:G10"/>
    <mergeCell ref="A8:A10"/>
    <mergeCell ref="B8:B10"/>
    <mergeCell ref="C8:C10"/>
    <mergeCell ref="D8:D10"/>
  </mergeCells>
  <printOptions horizontalCentered="1"/>
  <pageMargins left="0.71" right="0.2362204724409449" top="0.2362204724409449" bottom="0.32" header="0.2362204724409449" footer="0.26"/>
  <pageSetup fitToHeight="4" fitToWidth="4" horizontalDpi="600" verticalDpi="600" orientation="portrait" paperSize="9" scale="84" r:id="rId1"/>
  <rowBreaks count="2" manualBreakCount="2">
    <brk id="68" max="7" man="1"/>
    <brk id="178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4"/>
  <sheetViews>
    <sheetView workbookViewId="0" topLeftCell="A106">
      <selection activeCell="E24" sqref="E24"/>
    </sheetView>
  </sheetViews>
  <sheetFormatPr defaultColWidth="9.00390625" defaultRowHeight="12.75"/>
  <cols>
    <col min="1" max="1" width="6.25390625" style="171" customWidth="1"/>
    <col min="2" max="2" width="7.125" style="171" customWidth="1"/>
    <col min="3" max="3" width="6.00390625" style="171" customWidth="1"/>
    <col min="4" max="4" width="49.00390625" style="171" customWidth="1"/>
    <col min="5" max="5" width="13.625" style="171" customWidth="1"/>
    <col min="6" max="6" width="14.00390625" style="171" customWidth="1"/>
    <col min="7" max="16384" width="9.125" style="171" customWidth="1"/>
  </cols>
  <sheetData>
    <row r="1" spans="5:6" ht="12">
      <c r="E1" s="172" t="s">
        <v>578</v>
      </c>
      <c r="F1" s="367"/>
    </row>
    <row r="2" spans="5:6" ht="12">
      <c r="E2" s="172" t="s">
        <v>402</v>
      </c>
      <c r="F2" s="367"/>
    </row>
    <row r="3" spans="4:6" ht="12">
      <c r="D3" s="173"/>
      <c r="E3" s="172" t="s">
        <v>216</v>
      </c>
      <c r="F3" s="367"/>
    </row>
    <row r="4" spans="4:6" ht="12">
      <c r="D4" s="173"/>
      <c r="E4" s="172" t="s">
        <v>722</v>
      </c>
      <c r="F4" s="367"/>
    </row>
    <row r="5" spans="4:6" ht="8.25" customHeight="1">
      <c r="D5" s="173"/>
      <c r="E5" s="172"/>
      <c r="F5" s="172"/>
    </row>
    <row r="6" spans="1:6" ht="15.75">
      <c r="A6" s="1042" t="s">
        <v>403</v>
      </c>
      <c r="B6" s="1042"/>
      <c r="C6" s="1042"/>
      <c r="D6" s="1042"/>
      <c r="E6" s="1042"/>
      <c r="F6" s="1042"/>
    </row>
    <row r="7" spans="1:6" ht="15.75">
      <c r="A7" s="1042" t="s">
        <v>404</v>
      </c>
      <c r="B7" s="1042"/>
      <c r="C7" s="1042"/>
      <c r="D7" s="1042"/>
      <c r="E7" s="1042"/>
      <c r="F7" s="1042"/>
    </row>
    <row r="8" spans="1:6" ht="12.75" customHeight="1">
      <c r="A8" s="1042" t="s">
        <v>405</v>
      </c>
      <c r="B8" s="1042"/>
      <c r="C8" s="1042"/>
      <c r="D8" s="1042"/>
      <c r="E8" s="1042"/>
      <c r="F8" s="1042"/>
    </row>
    <row r="9" spans="1:6" ht="8.25" customHeight="1" thickBot="1">
      <c r="A9" s="173"/>
      <c r="B9" s="173"/>
      <c r="C9" s="173"/>
      <c r="D9" s="173"/>
      <c r="E9" s="173"/>
      <c r="F9" s="174" t="s">
        <v>406</v>
      </c>
    </row>
    <row r="10" spans="1:6" ht="12.75" customHeight="1">
      <c r="A10" s="1051" t="s">
        <v>218</v>
      </c>
      <c r="B10" s="1052"/>
      <c r="C10" s="1053"/>
      <c r="D10" s="892" t="s">
        <v>407</v>
      </c>
      <c r="E10" s="892" t="s">
        <v>371</v>
      </c>
      <c r="F10" s="1045" t="s">
        <v>592</v>
      </c>
    </row>
    <row r="11" spans="1:6" ht="11.25" customHeight="1" thickBot="1">
      <c r="A11" s="1048" t="s">
        <v>70</v>
      </c>
      <c r="B11" s="1049" t="s">
        <v>623</v>
      </c>
      <c r="C11" s="1049" t="s">
        <v>588</v>
      </c>
      <c r="D11" s="893"/>
      <c r="E11" s="893"/>
      <c r="F11" s="1046"/>
    </row>
    <row r="12" spans="1:6" ht="0.75" customHeight="1" hidden="1" thickBot="1">
      <c r="A12" s="891"/>
      <c r="B12" s="888"/>
      <c r="C12" s="888"/>
      <c r="D12" s="888"/>
      <c r="E12" s="888"/>
      <c r="F12" s="1047"/>
    </row>
    <row r="13" spans="1:6" ht="10.5" thickBot="1">
      <c r="A13" s="368">
        <v>1</v>
      </c>
      <c r="B13" s="369">
        <v>2</v>
      </c>
      <c r="C13" s="370">
        <v>3</v>
      </c>
      <c r="D13" s="370">
        <v>4</v>
      </c>
      <c r="E13" s="370">
        <v>5</v>
      </c>
      <c r="F13" s="371">
        <v>6</v>
      </c>
    </row>
    <row r="14" spans="1:6" ht="12" customHeight="1" thickBot="1">
      <c r="A14" s="1054" t="s">
        <v>408</v>
      </c>
      <c r="B14" s="1057"/>
      <c r="C14" s="1057"/>
      <c r="D14" s="1057"/>
      <c r="E14" s="1057"/>
      <c r="F14" s="1058"/>
    </row>
    <row r="15" spans="1:6" ht="12" customHeight="1" thickBot="1">
      <c r="A15" s="422">
        <v>801</v>
      </c>
      <c r="B15" s="423"/>
      <c r="C15" s="423"/>
      <c r="D15" s="430" t="s">
        <v>140</v>
      </c>
      <c r="E15" s="589">
        <f>E16</f>
        <v>10000</v>
      </c>
      <c r="F15" s="434">
        <f>F16</f>
        <v>10000</v>
      </c>
    </row>
    <row r="16" spans="1:6" ht="12" customHeight="1">
      <c r="A16" s="879"/>
      <c r="B16" s="425">
        <v>80130</v>
      </c>
      <c r="C16" s="880"/>
      <c r="D16" s="431" t="s">
        <v>147</v>
      </c>
      <c r="E16" s="588">
        <f>E17</f>
        <v>10000</v>
      </c>
      <c r="F16" s="433">
        <f>F19</f>
        <v>10000</v>
      </c>
    </row>
    <row r="17" spans="1:6" ht="12" customHeight="1">
      <c r="A17" s="424"/>
      <c r="B17" s="426"/>
      <c r="C17" s="426">
        <v>6610</v>
      </c>
      <c r="D17" s="875" t="s">
        <v>792</v>
      </c>
      <c r="E17" s="586">
        <f>'Dochody-ukł.wykon.'!H135</f>
        <v>10000</v>
      </c>
      <c r="F17" s="876"/>
    </row>
    <row r="18" spans="1:6" ht="12" customHeight="1">
      <c r="A18" s="424"/>
      <c r="B18" s="426"/>
      <c r="C18" s="426"/>
      <c r="D18" s="875" t="s">
        <v>793</v>
      </c>
      <c r="E18" s="587"/>
      <c r="F18" s="876"/>
    </row>
    <row r="19" spans="1:6" ht="12" customHeight="1">
      <c r="A19" s="424"/>
      <c r="B19" s="426"/>
      <c r="C19" s="426">
        <v>6060</v>
      </c>
      <c r="D19" s="875" t="s">
        <v>102</v>
      </c>
      <c r="E19" s="587"/>
      <c r="F19" s="432">
        <f>'WYDATKI ukł.wyk.'!H304</f>
        <v>10000</v>
      </c>
    </row>
    <row r="20" spans="1:6" ht="12" customHeight="1" thickBot="1">
      <c r="A20" s="427"/>
      <c r="B20" s="428"/>
      <c r="C20" s="428"/>
      <c r="D20" s="428"/>
      <c r="E20" s="877"/>
      <c r="F20" s="878"/>
    </row>
    <row r="21" spans="1:6" ht="12" customHeight="1" thickBot="1">
      <c r="A21" s="422">
        <v>803</v>
      </c>
      <c r="B21" s="423"/>
      <c r="C21" s="423"/>
      <c r="D21" s="72" t="s">
        <v>151</v>
      </c>
      <c r="E21" s="589">
        <f>E22</f>
        <v>506019</v>
      </c>
      <c r="F21" s="434">
        <f>F22</f>
        <v>571098</v>
      </c>
    </row>
    <row r="22" spans="1:6" ht="12" customHeight="1">
      <c r="A22" s="424"/>
      <c r="B22" s="425">
        <v>80309</v>
      </c>
      <c r="C22" s="425"/>
      <c r="D22" s="64" t="s">
        <v>152</v>
      </c>
      <c r="E22" s="588">
        <f>SUM(E23:E34)</f>
        <v>506019</v>
      </c>
      <c r="F22" s="433">
        <f>SUM(F23:F36)</f>
        <v>571098</v>
      </c>
    </row>
    <row r="23" spans="1:6" ht="12" customHeight="1">
      <c r="A23" s="424"/>
      <c r="B23" s="426"/>
      <c r="C23" s="426">
        <v>2338</v>
      </c>
      <c r="D23" s="119" t="s">
        <v>462</v>
      </c>
      <c r="E23" s="586">
        <f>'Dochody-ukł.wykon.'!H151</f>
        <v>379514</v>
      </c>
      <c r="F23" s="585"/>
    </row>
    <row r="24" spans="1:6" ht="12" customHeight="1">
      <c r="A24" s="424"/>
      <c r="B24" s="426"/>
      <c r="C24" s="426"/>
      <c r="D24" s="119" t="s">
        <v>463</v>
      </c>
      <c r="E24" s="587"/>
      <c r="F24" s="585"/>
    </row>
    <row r="25" spans="1:6" ht="12" customHeight="1">
      <c r="A25" s="424"/>
      <c r="B25" s="426"/>
      <c r="C25" s="426">
        <v>2339</v>
      </c>
      <c r="D25" s="119" t="s">
        <v>462</v>
      </c>
      <c r="E25" s="586">
        <f>'Dochody-ukł.wykon.'!H153</f>
        <v>126505</v>
      </c>
      <c r="F25" s="585"/>
    </row>
    <row r="26" spans="1:6" ht="12" customHeight="1">
      <c r="A26" s="424"/>
      <c r="B26" s="426"/>
      <c r="C26" s="426"/>
      <c r="D26" s="119" t="s">
        <v>463</v>
      </c>
      <c r="E26" s="587"/>
      <c r="F26" s="585"/>
    </row>
    <row r="27" spans="1:6" ht="12" customHeight="1">
      <c r="A27" s="424"/>
      <c r="B27" s="426"/>
      <c r="C27" s="277">
        <v>3218</v>
      </c>
      <c r="D27" s="125" t="s">
        <v>153</v>
      </c>
      <c r="E27" s="587"/>
      <c r="F27" s="432">
        <f>'WYDATKI ukł.wyk.'!H332</f>
        <v>399877</v>
      </c>
    </row>
    <row r="28" spans="1:6" ht="12" customHeight="1">
      <c r="A28" s="424"/>
      <c r="B28" s="426"/>
      <c r="C28" s="277">
        <v>3219</v>
      </c>
      <c r="D28" s="125" t="s">
        <v>153</v>
      </c>
      <c r="E28" s="587"/>
      <c r="F28" s="432">
        <f>'WYDATKI ukł.wyk.'!H333</f>
        <v>133292</v>
      </c>
    </row>
    <row r="29" spans="1:6" ht="12" customHeight="1">
      <c r="A29" s="424"/>
      <c r="B29" s="426"/>
      <c r="C29" s="277">
        <v>4178</v>
      </c>
      <c r="D29" s="125" t="s">
        <v>84</v>
      </c>
      <c r="E29" s="587"/>
      <c r="F29" s="432">
        <f>'WYDATKI ukł.wyk.'!H335</f>
        <v>17507</v>
      </c>
    </row>
    <row r="30" spans="1:6" ht="12" customHeight="1">
      <c r="A30" s="424"/>
      <c r="B30" s="426"/>
      <c r="C30" s="277">
        <v>4179</v>
      </c>
      <c r="D30" s="125" t="s">
        <v>84</v>
      </c>
      <c r="E30" s="587"/>
      <c r="F30" s="432">
        <f>'WYDATKI ukł.wyk.'!H336</f>
        <v>5836</v>
      </c>
    </row>
    <row r="31" spans="1:6" ht="12" customHeight="1">
      <c r="A31" s="424"/>
      <c r="B31" s="426"/>
      <c r="C31" s="277">
        <v>4218</v>
      </c>
      <c r="D31" s="125" t="s">
        <v>85</v>
      </c>
      <c r="E31" s="587"/>
      <c r="F31" s="432">
        <f>'WYDATKI ukł.wyk.'!H338</f>
        <v>2179</v>
      </c>
    </row>
    <row r="32" spans="1:6" ht="12" customHeight="1">
      <c r="A32" s="424"/>
      <c r="B32" s="426"/>
      <c r="C32" s="277">
        <v>4219</v>
      </c>
      <c r="D32" s="125" t="s">
        <v>85</v>
      </c>
      <c r="E32" s="587"/>
      <c r="F32" s="432">
        <f>'WYDATKI ukł.wyk.'!H339</f>
        <v>726</v>
      </c>
    </row>
    <row r="33" spans="1:6" ht="12" customHeight="1">
      <c r="A33" s="424"/>
      <c r="B33" s="426"/>
      <c r="C33" s="277">
        <v>4308</v>
      </c>
      <c r="D33" s="125" t="s">
        <v>74</v>
      </c>
      <c r="E33" s="587"/>
      <c r="F33" s="432">
        <f>'WYDATKI ukł.wyk.'!H341</f>
        <v>8321</v>
      </c>
    </row>
    <row r="34" spans="1:6" ht="12" customHeight="1">
      <c r="A34" s="424"/>
      <c r="B34" s="426"/>
      <c r="C34" s="277">
        <v>4309</v>
      </c>
      <c r="D34" s="125" t="s">
        <v>74</v>
      </c>
      <c r="E34" s="426"/>
      <c r="F34" s="432">
        <f>'WYDATKI ukł.wyk.'!H342</f>
        <v>2773</v>
      </c>
    </row>
    <row r="35" spans="1:6" ht="12" customHeight="1">
      <c r="A35" s="424"/>
      <c r="B35" s="426"/>
      <c r="C35" s="277">
        <v>4748</v>
      </c>
      <c r="D35" s="108" t="s">
        <v>415</v>
      </c>
      <c r="E35" s="426"/>
      <c r="F35" s="432">
        <f>'WYDATKI ukł.wyk.'!H344</f>
        <v>440</v>
      </c>
    </row>
    <row r="36" spans="1:6" ht="12" customHeight="1">
      <c r="A36" s="424"/>
      <c r="B36" s="426"/>
      <c r="C36" s="277">
        <v>4749</v>
      </c>
      <c r="D36" s="108" t="s">
        <v>415</v>
      </c>
      <c r="E36" s="426"/>
      <c r="F36" s="432">
        <f>'WYDATKI ukł.wyk.'!H345</f>
        <v>147</v>
      </c>
    </row>
    <row r="37" spans="1:6" ht="12" customHeight="1" thickBot="1">
      <c r="A37" s="427"/>
      <c r="B37" s="428"/>
      <c r="C37" s="428"/>
      <c r="D37" s="428"/>
      <c r="E37" s="428"/>
      <c r="F37" s="429"/>
    </row>
    <row r="38" spans="1:6" ht="12.75" thickBot="1">
      <c r="A38" s="372">
        <v>851</v>
      </c>
      <c r="B38" s="373"/>
      <c r="C38" s="374"/>
      <c r="D38" s="375" t="s">
        <v>154</v>
      </c>
      <c r="E38" s="376">
        <f>SUM(E39)</f>
        <v>13925</v>
      </c>
      <c r="F38" s="377">
        <f>SUM(F39)</f>
        <v>13925</v>
      </c>
    </row>
    <row r="39" spans="1:6" ht="12">
      <c r="A39" s="378"/>
      <c r="B39" s="379">
        <v>85154</v>
      </c>
      <c r="C39" s="380"/>
      <c r="D39" s="381" t="s">
        <v>314</v>
      </c>
      <c r="E39" s="382">
        <f>E40</f>
        <v>13925</v>
      </c>
      <c r="F39" s="383">
        <f>SUM(F43:F45)</f>
        <v>13925</v>
      </c>
    </row>
    <row r="40" spans="1:6" ht="12">
      <c r="A40" s="378"/>
      <c r="B40" s="384"/>
      <c r="C40" s="385">
        <v>2330</v>
      </c>
      <c r="D40" s="386" t="s">
        <v>409</v>
      </c>
      <c r="E40" s="388">
        <f>'Dochody-ukł.wykon.'!H163</f>
        <v>13925</v>
      </c>
      <c r="F40" s="387"/>
    </row>
    <row r="41" spans="1:6" ht="12">
      <c r="A41" s="378"/>
      <c r="B41" s="384"/>
      <c r="C41" s="385"/>
      <c r="D41" s="386" t="s">
        <v>410</v>
      </c>
      <c r="E41" s="384"/>
      <c r="F41" s="387"/>
    </row>
    <row r="42" spans="1:6" ht="12">
      <c r="A42" s="378"/>
      <c r="B42" s="384"/>
      <c r="C42" s="385"/>
      <c r="D42" s="386" t="s">
        <v>411</v>
      </c>
      <c r="E42" s="388"/>
      <c r="F42" s="387"/>
    </row>
    <row r="43" spans="1:6" ht="12.75">
      <c r="A43" s="378"/>
      <c r="B43" s="384"/>
      <c r="C43" s="385">
        <v>4110</v>
      </c>
      <c r="D43" s="108" t="s">
        <v>82</v>
      </c>
      <c r="E43" s="388"/>
      <c r="F43" s="390">
        <f>'WYDATKI ukł.wyk.'!H357</f>
        <v>846</v>
      </c>
    </row>
    <row r="44" spans="1:6" ht="12.75">
      <c r="A44" s="378"/>
      <c r="B44" s="384"/>
      <c r="C44" s="385">
        <v>4170</v>
      </c>
      <c r="D44" s="108" t="s">
        <v>84</v>
      </c>
      <c r="E44" s="388"/>
      <c r="F44" s="390">
        <f>'WYDATKI ukł.wyk.'!H358</f>
        <v>2704</v>
      </c>
    </row>
    <row r="45" spans="1:6" ht="12">
      <c r="A45" s="378"/>
      <c r="B45" s="384"/>
      <c r="C45" s="385">
        <v>4300</v>
      </c>
      <c r="D45" s="389" t="s">
        <v>74</v>
      </c>
      <c r="E45" s="384"/>
      <c r="F45" s="390">
        <f>'WYDATKI ukł.wyk.'!H359</f>
        <v>10375</v>
      </c>
    </row>
    <row r="46" spans="1:6" ht="12.75" thickBot="1">
      <c r="A46" s="378"/>
      <c r="B46" s="384"/>
      <c r="C46" s="385"/>
      <c r="D46" s="172"/>
      <c r="E46" s="384"/>
      <c r="F46" s="390"/>
    </row>
    <row r="47" spans="1:6" ht="13.5" thickBot="1">
      <c r="A47" s="742">
        <v>854</v>
      </c>
      <c r="B47" s="743"/>
      <c r="C47" s="439"/>
      <c r="D47" s="443" t="s">
        <v>178</v>
      </c>
      <c r="E47" s="744">
        <f>E48</f>
        <v>153880</v>
      </c>
      <c r="F47" s="745">
        <f>F48</f>
        <v>156235</v>
      </c>
    </row>
    <row r="48" spans="1:6" ht="12.75">
      <c r="A48" s="378"/>
      <c r="B48" s="401">
        <v>85415</v>
      </c>
      <c r="C48" s="437"/>
      <c r="D48" s="64" t="s">
        <v>183</v>
      </c>
      <c r="E48" s="590">
        <f>SUM(E49:E64)</f>
        <v>153880</v>
      </c>
      <c r="F48" s="824">
        <f>SUM(F49:F67)</f>
        <v>156235</v>
      </c>
    </row>
    <row r="49" spans="1:6" ht="12">
      <c r="A49" s="378"/>
      <c r="B49" s="384"/>
      <c r="C49" s="385">
        <v>2338</v>
      </c>
      <c r="D49" s="119" t="s">
        <v>462</v>
      </c>
      <c r="E49" s="388">
        <f>'Dochody-ukł.wykon.'!F241</f>
        <v>104638</v>
      </c>
      <c r="F49" s="390"/>
    </row>
    <row r="50" spans="1:6" ht="12">
      <c r="A50" s="378"/>
      <c r="B50" s="384"/>
      <c r="C50" s="385"/>
      <c r="D50" s="119" t="s">
        <v>463</v>
      </c>
      <c r="E50" s="591"/>
      <c r="F50" s="390"/>
    </row>
    <row r="51" spans="1:6" ht="12">
      <c r="A51" s="378"/>
      <c r="B51" s="384"/>
      <c r="C51" s="385">
        <v>2339</v>
      </c>
      <c r="D51" s="119" t="s">
        <v>462</v>
      </c>
      <c r="E51" s="388">
        <f>'Dochody-ukł.wykon.'!F243</f>
        <v>49242</v>
      </c>
      <c r="F51" s="390"/>
    </row>
    <row r="52" spans="1:6" ht="12">
      <c r="A52" s="378"/>
      <c r="B52" s="384"/>
      <c r="C52" s="385"/>
      <c r="D52" s="119" t="s">
        <v>463</v>
      </c>
      <c r="E52" s="591"/>
      <c r="F52" s="390"/>
    </row>
    <row r="53" spans="1:6" ht="12.75">
      <c r="A53" s="378"/>
      <c r="B53" s="384"/>
      <c r="C53" s="106">
        <v>3248</v>
      </c>
      <c r="D53" s="108" t="s">
        <v>185</v>
      </c>
      <c r="E53" s="591"/>
      <c r="F53" s="390">
        <f>'WYDATKI ukł.wyk.'!H595</f>
        <v>98736</v>
      </c>
    </row>
    <row r="54" spans="1:6" ht="12.75">
      <c r="A54" s="378"/>
      <c r="B54" s="384"/>
      <c r="C54" s="106">
        <v>3249</v>
      </c>
      <c r="D54" s="108" t="s">
        <v>185</v>
      </c>
      <c r="E54" s="591"/>
      <c r="F54" s="390">
        <f>'WYDATKI ukł.wyk.'!H596</f>
        <v>46464</v>
      </c>
    </row>
    <row r="55" spans="1:6" ht="12.75">
      <c r="A55" s="378"/>
      <c r="B55" s="384"/>
      <c r="C55" s="106">
        <v>4118</v>
      </c>
      <c r="D55" s="108" t="s">
        <v>82</v>
      </c>
      <c r="E55" s="591"/>
      <c r="F55" s="390">
        <f>'WYDATKI ukł.wyk.'!H597</f>
        <v>119</v>
      </c>
    </row>
    <row r="56" spans="1:6" ht="12.75">
      <c r="A56" s="378"/>
      <c r="B56" s="384"/>
      <c r="C56" s="106">
        <v>4119</v>
      </c>
      <c r="D56" s="108" t="s">
        <v>82</v>
      </c>
      <c r="E56" s="591"/>
      <c r="F56" s="390">
        <f>'WYDATKI ukł.wyk.'!H598</f>
        <v>56</v>
      </c>
    </row>
    <row r="57" spans="1:6" ht="12.75">
      <c r="A57" s="378"/>
      <c r="B57" s="384"/>
      <c r="C57" s="106">
        <v>4128</v>
      </c>
      <c r="D57" s="108" t="s">
        <v>83</v>
      </c>
      <c r="E57" s="591"/>
      <c r="F57" s="390">
        <f>'WYDATKI ukł.wyk.'!H599</f>
        <v>17</v>
      </c>
    </row>
    <row r="58" spans="1:6" ht="12.75">
      <c r="A58" s="378"/>
      <c r="B58" s="384"/>
      <c r="C58" s="106">
        <v>4129</v>
      </c>
      <c r="D58" s="108" t="s">
        <v>83</v>
      </c>
      <c r="E58" s="591"/>
      <c r="F58" s="390">
        <f>'WYDATKI ukł.wyk.'!H600</f>
        <v>8</v>
      </c>
    </row>
    <row r="59" spans="1:6" ht="12.75">
      <c r="A59" s="378"/>
      <c r="B59" s="384"/>
      <c r="C59" s="106">
        <v>4178</v>
      </c>
      <c r="D59" s="108" t="s">
        <v>84</v>
      </c>
      <c r="E59" s="591"/>
      <c r="F59" s="390">
        <f>'WYDATKI ukł.wyk.'!H601</f>
        <v>2312</v>
      </c>
    </row>
    <row r="60" spans="1:6" ht="12.75">
      <c r="A60" s="378"/>
      <c r="B60" s="384"/>
      <c r="C60" s="106">
        <v>4179</v>
      </c>
      <c r="D60" s="108" t="s">
        <v>84</v>
      </c>
      <c r="E60" s="591"/>
      <c r="F60" s="390">
        <f>'WYDATKI ukł.wyk.'!H602</f>
        <v>1088</v>
      </c>
    </row>
    <row r="61" spans="1:6" ht="12.75">
      <c r="A61" s="378"/>
      <c r="B61" s="384"/>
      <c r="C61" s="106">
        <v>4218</v>
      </c>
      <c r="D61" s="125" t="s">
        <v>85</v>
      </c>
      <c r="E61" s="591"/>
      <c r="F61" s="390">
        <f>'WYDATKI ukł.wyk.'!H603</f>
        <v>3218</v>
      </c>
    </row>
    <row r="62" spans="1:6" ht="12.75">
      <c r="A62" s="378"/>
      <c r="B62" s="384"/>
      <c r="C62" s="106">
        <v>4219</v>
      </c>
      <c r="D62" s="125" t="s">
        <v>85</v>
      </c>
      <c r="E62" s="591"/>
      <c r="F62" s="390">
        <f>'WYDATKI ukł.wyk.'!H604</f>
        <v>1514</v>
      </c>
    </row>
    <row r="63" spans="1:6" ht="12.75">
      <c r="A63" s="378"/>
      <c r="B63" s="384"/>
      <c r="C63" s="106">
        <v>4308</v>
      </c>
      <c r="D63" s="108" t="s">
        <v>74</v>
      </c>
      <c r="E63" s="591"/>
      <c r="F63" s="390">
        <f>'WYDATKI ukł.wyk.'!H606</f>
        <v>1659</v>
      </c>
    </row>
    <row r="64" spans="1:6" ht="12.75">
      <c r="A64" s="378"/>
      <c r="B64" s="384"/>
      <c r="C64" s="106">
        <v>4309</v>
      </c>
      <c r="D64" s="108" t="s">
        <v>74</v>
      </c>
      <c r="E64" s="591"/>
      <c r="F64" s="390">
        <f>'WYDATKI ukł.wyk.'!H607</f>
        <v>781</v>
      </c>
    </row>
    <row r="65" spans="1:6" ht="12.75">
      <c r="A65" s="378"/>
      <c r="B65" s="384"/>
      <c r="C65" s="106">
        <v>4748</v>
      </c>
      <c r="D65" s="108" t="s">
        <v>415</v>
      </c>
      <c r="E65" s="591"/>
      <c r="F65" s="390">
        <f>'WYDATKI ukł.wyk.'!H608</f>
        <v>179</v>
      </c>
    </row>
    <row r="66" spans="1:6" ht="12.75">
      <c r="A66" s="378"/>
      <c r="B66" s="384"/>
      <c r="C66" s="106">
        <v>4749</v>
      </c>
      <c r="D66" s="108" t="s">
        <v>415</v>
      </c>
      <c r="E66" s="591"/>
      <c r="F66" s="390">
        <f>'WYDATKI ukł.wyk.'!H609</f>
        <v>84</v>
      </c>
    </row>
    <row r="67" spans="1:6" ht="12">
      <c r="A67" s="378"/>
      <c r="B67" s="391"/>
      <c r="C67" s="384"/>
      <c r="D67" s="172"/>
      <c r="E67" s="384"/>
      <c r="F67" s="390"/>
    </row>
    <row r="68" spans="1:6" ht="5.25" customHeight="1" thickBot="1">
      <c r="A68" s="392"/>
      <c r="B68" s="393"/>
      <c r="C68" s="394"/>
      <c r="D68" s="395"/>
      <c r="E68" s="394"/>
      <c r="F68" s="396"/>
    </row>
    <row r="69" spans="1:6" ht="12" customHeight="1" thickBot="1">
      <c r="A69" s="1054" t="s">
        <v>412</v>
      </c>
      <c r="B69" s="1055"/>
      <c r="C69" s="1055"/>
      <c r="D69" s="1055"/>
      <c r="E69" s="1055"/>
      <c r="F69" s="1056"/>
    </row>
    <row r="70" spans="1:6" ht="12" customHeight="1" thickBot="1">
      <c r="A70" s="422">
        <v>600</v>
      </c>
      <c r="B70" s="423"/>
      <c r="C70" s="423"/>
      <c r="D70" s="430" t="s">
        <v>64</v>
      </c>
      <c r="E70" s="423"/>
      <c r="F70" s="434">
        <f>F71</f>
        <v>0</v>
      </c>
    </row>
    <row r="71" spans="1:6" ht="12" customHeight="1">
      <c r="A71" s="424"/>
      <c r="B71" s="425">
        <v>60014</v>
      </c>
      <c r="C71" s="425"/>
      <c r="D71" s="431" t="s">
        <v>66</v>
      </c>
      <c r="E71" s="425"/>
      <c r="F71" s="433">
        <f>F72</f>
        <v>0</v>
      </c>
    </row>
    <row r="72" spans="1:6" ht="12" customHeight="1">
      <c r="A72" s="424"/>
      <c r="B72" s="426"/>
      <c r="C72" s="426">
        <v>2310</v>
      </c>
      <c r="D72" s="408" t="s">
        <v>416</v>
      </c>
      <c r="E72" s="426"/>
      <c r="F72" s="432">
        <f>'WYDATKI ukł.wyk.'!H32</f>
        <v>0</v>
      </c>
    </row>
    <row r="73" spans="1:6" ht="12" customHeight="1">
      <c r="A73" s="424"/>
      <c r="B73" s="426"/>
      <c r="C73" s="426"/>
      <c r="D73" s="408" t="s">
        <v>417</v>
      </c>
      <c r="E73" s="426"/>
      <c r="F73" s="585"/>
    </row>
    <row r="74" spans="1:6" ht="12" customHeight="1">
      <c r="A74" s="424"/>
      <c r="B74" s="785"/>
      <c r="C74" s="785"/>
      <c r="D74" s="408"/>
      <c r="E74" s="785"/>
      <c r="F74" s="786"/>
    </row>
    <row r="75" spans="1:6" ht="12" customHeight="1" thickBot="1">
      <c r="A75" s="830">
        <v>750</v>
      </c>
      <c r="B75" s="783"/>
      <c r="C75" s="783"/>
      <c r="D75" s="582" t="s">
        <v>120</v>
      </c>
      <c r="E75" s="783"/>
      <c r="F75" s="831">
        <f>F76</f>
        <v>70000</v>
      </c>
    </row>
    <row r="76" spans="1:6" ht="12" customHeight="1">
      <c r="A76" s="424"/>
      <c r="B76" s="425">
        <v>75020</v>
      </c>
      <c r="C76" s="788"/>
      <c r="D76" s="436" t="s">
        <v>127</v>
      </c>
      <c r="E76" s="788"/>
      <c r="F76" s="795">
        <f>F77</f>
        <v>70000</v>
      </c>
    </row>
    <row r="77" spans="1:6" ht="12" customHeight="1">
      <c r="A77" s="424"/>
      <c r="B77" s="785"/>
      <c r="C77" s="785">
        <v>6630</v>
      </c>
      <c r="D77" s="125" t="s">
        <v>750</v>
      </c>
      <c r="E77" s="785"/>
      <c r="F77" s="793">
        <f>'WYDATKI ukł.wyk.'!H163</f>
        <v>70000</v>
      </c>
    </row>
    <row r="78" spans="1:6" ht="12" customHeight="1">
      <c r="A78" s="424"/>
      <c r="B78" s="785"/>
      <c r="C78" s="785"/>
      <c r="D78" s="125" t="s">
        <v>752</v>
      </c>
      <c r="E78" s="785"/>
      <c r="F78" s="786"/>
    </row>
    <row r="79" spans="1:6" ht="12" customHeight="1" thickBot="1">
      <c r="A79" s="424"/>
      <c r="B79" s="785"/>
      <c r="C79" s="785"/>
      <c r="D79" s="408"/>
      <c r="E79" s="785"/>
      <c r="F79" s="786"/>
    </row>
    <row r="80" spans="1:6" ht="12" customHeight="1" thickBot="1">
      <c r="A80" s="422">
        <v>851</v>
      </c>
      <c r="B80" s="787"/>
      <c r="C80" s="787"/>
      <c r="D80" s="435" t="s">
        <v>154</v>
      </c>
      <c r="E80" s="796">
        <f>E81</f>
        <v>13000</v>
      </c>
      <c r="F80" s="434">
        <f>F81</f>
        <v>13000</v>
      </c>
    </row>
    <row r="81" spans="1:6" ht="12" customHeight="1">
      <c r="A81" s="424"/>
      <c r="B81" s="425">
        <v>85111</v>
      </c>
      <c r="C81" s="788"/>
      <c r="D81" s="436" t="s">
        <v>701</v>
      </c>
      <c r="E81" s="794">
        <f>E82</f>
        <v>13000</v>
      </c>
      <c r="F81" s="795">
        <f>F85</f>
        <v>13000</v>
      </c>
    </row>
    <row r="82" spans="1:6" ht="12" customHeight="1">
      <c r="A82" s="424"/>
      <c r="B82" s="785"/>
      <c r="C82" s="237">
        <v>6610</v>
      </c>
      <c r="D82" s="789" t="s">
        <v>706</v>
      </c>
      <c r="E82" s="790">
        <f>'Dochody-ukł.wykon.'!H158</f>
        <v>13000</v>
      </c>
      <c r="F82" s="791"/>
    </row>
    <row r="83" spans="1:6" ht="12" customHeight="1">
      <c r="A83" s="424"/>
      <c r="B83" s="785"/>
      <c r="C83" s="237"/>
      <c r="D83" s="241" t="s">
        <v>707</v>
      </c>
      <c r="E83" s="792"/>
      <c r="F83" s="791"/>
    </row>
    <row r="84" spans="1:6" ht="12" customHeight="1">
      <c r="A84" s="424"/>
      <c r="B84" s="785"/>
      <c r="C84" s="237"/>
      <c r="D84" s="119" t="s">
        <v>708</v>
      </c>
      <c r="E84" s="792"/>
      <c r="F84" s="791"/>
    </row>
    <row r="85" spans="1:6" ht="12" customHeight="1">
      <c r="A85" s="424"/>
      <c r="B85" s="785"/>
      <c r="C85" s="277">
        <v>6220</v>
      </c>
      <c r="D85" s="241" t="s">
        <v>702</v>
      </c>
      <c r="E85" s="792"/>
      <c r="F85" s="793">
        <f>'WYDATKI ukł.wyk.'!H349</f>
        <v>13000</v>
      </c>
    </row>
    <row r="86" spans="1:6" ht="12" customHeight="1">
      <c r="A86" s="424"/>
      <c r="B86" s="785"/>
      <c r="C86" s="277"/>
      <c r="D86" s="241" t="s">
        <v>703</v>
      </c>
      <c r="E86" s="792"/>
      <c r="F86" s="791"/>
    </row>
    <row r="87" spans="1:6" ht="12" customHeight="1">
      <c r="A87" s="424"/>
      <c r="B87" s="785"/>
      <c r="C87" s="277"/>
      <c r="D87" s="241" t="s">
        <v>704</v>
      </c>
      <c r="E87" s="792"/>
      <c r="F87" s="791"/>
    </row>
    <row r="88" spans="1:6" ht="12" customHeight="1" thickBot="1">
      <c r="A88" s="427"/>
      <c r="B88" s="783"/>
      <c r="C88" s="783"/>
      <c r="D88" s="417"/>
      <c r="E88" s="783"/>
      <c r="F88" s="784"/>
    </row>
    <row r="89" spans="1:7" ht="12.75" thickBot="1">
      <c r="A89" s="372">
        <v>852</v>
      </c>
      <c r="B89" s="374"/>
      <c r="C89" s="397"/>
      <c r="D89" s="435" t="s">
        <v>160</v>
      </c>
      <c r="E89" s="398">
        <f>E102+E90+E109</f>
        <v>526523</v>
      </c>
      <c r="F89" s="399">
        <f>F102+F90+F109</f>
        <v>1069972</v>
      </c>
      <c r="G89" s="175"/>
    </row>
    <row r="90" spans="1:7" ht="12">
      <c r="A90" s="400"/>
      <c r="B90" s="401">
        <v>85201</v>
      </c>
      <c r="C90" s="402"/>
      <c r="D90" s="402" t="s">
        <v>161</v>
      </c>
      <c r="E90" s="403">
        <f>E91</f>
        <v>311304</v>
      </c>
      <c r="F90" s="404">
        <f>SUM(F94:F100)</f>
        <v>763783</v>
      </c>
      <c r="G90" s="175"/>
    </row>
    <row r="91" spans="1:7" ht="12">
      <c r="A91" s="400"/>
      <c r="B91" s="405"/>
      <c r="C91" s="385">
        <v>2310</v>
      </c>
      <c r="D91" s="389" t="s">
        <v>413</v>
      </c>
      <c r="E91" s="406">
        <f>'Dochody-ukł.wykon.'!F177</f>
        <v>311304</v>
      </c>
      <c r="F91" s="407"/>
      <c r="G91" s="175"/>
    </row>
    <row r="92" spans="1:7" ht="12">
      <c r="A92" s="400"/>
      <c r="B92" s="405"/>
      <c r="C92" s="385"/>
      <c r="D92" s="408" t="s">
        <v>313</v>
      </c>
      <c r="E92" s="406"/>
      <c r="F92" s="409"/>
      <c r="G92" s="175"/>
    </row>
    <row r="93" spans="1:7" ht="12">
      <c r="A93" s="400"/>
      <c r="B93" s="405"/>
      <c r="C93" s="385">
        <v>2310</v>
      </c>
      <c r="D93" s="389" t="s">
        <v>416</v>
      </c>
      <c r="E93" s="406"/>
      <c r="F93" s="409"/>
      <c r="G93" s="175"/>
    </row>
    <row r="94" spans="1:7" ht="12">
      <c r="A94" s="400"/>
      <c r="B94" s="405"/>
      <c r="C94" s="385"/>
      <c r="D94" s="389" t="s">
        <v>417</v>
      </c>
      <c r="E94" s="406"/>
      <c r="F94" s="409">
        <f>'WYDATKI ukł.wyk.'!H367</f>
        <v>452479</v>
      </c>
      <c r="G94" s="175"/>
    </row>
    <row r="95" spans="1:7" ht="12">
      <c r="A95" s="400"/>
      <c r="B95" s="405"/>
      <c r="C95" s="385">
        <v>4010</v>
      </c>
      <c r="D95" s="389" t="s">
        <v>80</v>
      </c>
      <c r="E95" s="406"/>
      <c r="F95" s="409">
        <v>200000</v>
      </c>
      <c r="G95" s="175"/>
    </row>
    <row r="96" spans="1:7" ht="12">
      <c r="A96" s="400"/>
      <c r="B96" s="405"/>
      <c r="C96" s="385">
        <v>4110</v>
      </c>
      <c r="D96" s="389" t="s">
        <v>414</v>
      </c>
      <c r="E96" s="406"/>
      <c r="F96" s="409">
        <v>33093</v>
      </c>
      <c r="G96" s="175"/>
    </row>
    <row r="97" spans="1:7" ht="12">
      <c r="A97" s="400"/>
      <c r="B97" s="405"/>
      <c r="C97" s="385">
        <v>4120</v>
      </c>
      <c r="D97" s="408" t="s">
        <v>83</v>
      </c>
      <c r="E97" s="406"/>
      <c r="F97" s="409">
        <v>4992</v>
      </c>
      <c r="G97" s="175"/>
    </row>
    <row r="98" spans="1:7" ht="12">
      <c r="A98" s="400"/>
      <c r="B98" s="405"/>
      <c r="C98" s="385">
        <v>4210</v>
      </c>
      <c r="D98" s="389" t="s">
        <v>85</v>
      </c>
      <c r="E98" s="406"/>
      <c r="F98" s="409">
        <v>27440</v>
      </c>
      <c r="G98" s="175"/>
    </row>
    <row r="99" spans="1:7" ht="12">
      <c r="A99" s="400"/>
      <c r="B99" s="405"/>
      <c r="C99" s="385">
        <v>4300</v>
      </c>
      <c r="D99" s="389" t="s">
        <v>74</v>
      </c>
      <c r="E99" s="406"/>
      <c r="F99" s="409">
        <v>45179</v>
      </c>
      <c r="G99" s="175"/>
    </row>
    <row r="100" spans="1:7" ht="12.75">
      <c r="A100" s="400"/>
      <c r="B100" s="405"/>
      <c r="C100" s="385">
        <v>4740</v>
      </c>
      <c r="D100" s="108" t="s">
        <v>415</v>
      </c>
      <c r="E100" s="406"/>
      <c r="F100" s="409">
        <v>600</v>
      </c>
      <c r="G100" s="175"/>
    </row>
    <row r="101" spans="1:7" ht="12">
      <c r="A101" s="400"/>
      <c r="B101" s="405"/>
      <c r="C101" s="410"/>
      <c r="D101" s="410"/>
      <c r="E101" s="411"/>
      <c r="F101" s="407"/>
      <c r="G101" s="175"/>
    </row>
    <row r="102" spans="1:6" ht="12">
      <c r="A102" s="378"/>
      <c r="B102" s="379">
        <v>85204</v>
      </c>
      <c r="C102" s="412"/>
      <c r="D102" s="412" t="s">
        <v>169</v>
      </c>
      <c r="E102" s="413">
        <f>E103</f>
        <v>75219</v>
      </c>
      <c r="F102" s="414">
        <f>F107+F105</f>
        <v>166189</v>
      </c>
    </row>
    <row r="103" spans="1:6" ht="12">
      <c r="A103" s="415"/>
      <c r="B103" s="408"/>
      <c r="C103" s="385">
        <v>2310</v>
      </c>
      <c r="D103" s="389" t="s">
        <v>413</v>
      </c>
      <c r="E103" s="406">
        <f>'Dochody-ukł.wykon.'!H195</f>
        <v>75219</v>
      </c>
      <c r="F103" s="409"/>
    </row>
    <row r="104" spans="1:6" ht="12">
      <c r="A104" s="415"/>
      <c r="B104" s="408"/>
      <c r="C104" s="385"/>
      <c r="D104" s="408" t="s">
        <v>313</v>
      </c>
      <c r="E104" s="406"/>
      <c r="F104" s="409"/>
    </row>
    <row r="105" spans="1:6" ht="12">
      <c r="A105" s="415"/>
      <c r="B105" s="408"/>
      <c r="C105" s="385">
        <v>2310</v>
      </c>
      <c r="D105" s="389" t="s">
        <v>416</v>
      </c>
      <c r="E105" s="406"/>
      <c r="F105" s="409">
        <f>'WYDATKI ukł.wyk.'!H451</f>
        <v>90970</v>
      </c>
    </row>
    <row r="106" spans="1:6" ht="12">
      <c r="A106" s="415"/>
      <c r="B106" s="408"/>
      <c r="C106" s="385"/>
      <c r="D106" s="389" t="s">
        <v>417</v>
      </c>
      <c r="E106" s="406"/>
      <c r="F106" s="409"/>
    </row>
    <row r="107" spans="1:6" ht="12">
      <c r="A107" s="415"/>
      <c r="B107" s="408"/>
      <c r="C107" s="385">
        <v>3110</v>
      </c>
      <c r="D107" s="408" t="s">
        <v>162</v>
      </c>
      <c r="E107" s="406"/>
      <c r="F107" s="409">
        <v>75219</v>
      </c>
    </row>
    <row r="108" spans="1:6" ht="12">
      <c r="A108" s="415"/>
      <c r="B108" s="408"/>
      <c r="C108" s="385"/>
      <c r="D108" s="389"/>
      <c r="E108" s="406"/>
      <c r="F108" s="409"/>
    </row>
    <row r="109" spans="1:6" ht="12">
      <c r="A109" s="415"/>
      <c r="B109" s="777">
        <v>85295</v>
      </c>
      <c r="C109" s="380"/>
      <c r="D109" s="412" t="s">
        <v>58</v>
      </c>
      <c r="E109" s="413">
        <f>E110</f>
        <v>140000</v>
      </c>
      <c r="F109" s="414">
        <f>SUM(F112:F112)</f>
        <v>140000</v>
      </c>
    </row>
    <row r="110" spans="1:6" ht="12">
      <c r="A110" s="415"/>
      <c r="B110" s="408"/>
      <c r="C110" s="385">
        <v>2310</v>
      </c>
      <c r="D110" s="389" t="s">
        <v>413</v>
      </c>
      <c r="E110" s="406">
        <f>'Dochody-ukł.wykon.'!H211</f>
        <v>140000</v>
      </c>
      <c r="F110" s="409"/>
    </row>
    <row r="111" spans="1:6" ht="12">
      <c r="A111" s="415"/>
      <c r="B111" s="408"/>
      <c r="C111" s="385"/>
      <c r="D111" s="408" t="s">
        <v>313</v>
      </c>
      <c r="E111" s="406"/>
      <c r="F111" s="409"/>
    </row>
    <row r="112" spans="1:6" ht="12">
      <c r="A112" s="415"/>
      <c r="B112" s="408"/>
      <c r="C112" s="385">
        <v>4270</v>
      </c>
      <c r="D112" s="389" t="s">
        <v>87</v>
      </c>
      <c r="E112" s="406"/>
      <c r="F112" s="409">
        <f>140000</f>
        <v>140000</v>
      </c>
    </row>
    <row r="113" spans="1:6" ht="12.75" thickBot="1">
      <c r="A113" s="415"/>
      <c r="B113" s="408"/>
      <c r="C113" s="385"/>
      <c r="D113" s="389"/>
      <c r="E113" s="406"/>
      <c r="F113" s="409"/>
    </row>
    <row r="114" spans="1:6" ht="13.5" thickBot="1">
      <c r="A114" s="438">
        <v>853</v>
      </c>
      <c r="B114" s="435"/>
      <c r="C114" s="439"/>
      <c r="D114" s="443" t="s">
        <v>174</v>
      </c>
      <c r="E114" s="440"/>
      <c r="F114" s="441">
        <f>F115</f>
        <v>616103</v>
      </c>
    </row>
    <row r="115" spans="1:6" ht="12">
      <c r="A115" s="415"/>
      <c r="B115" s="436">
        <v>85333</v>
      </c>
      <c r="C115" s="437"/>
      <c r="D115" s="584" t="s">
        <v>176</v>
      </c>
      <c r="E115" s="403"/>
      <c r="F115" s="404">
        <f>F116</f>
        <v>616103</v>
      </c>
    </row>
    <row r="116" spans="1:6" ht="12">
      <c r="A116" s="415"/>
      <c r="B116" s="408"/>
      <c r="C116" s="385">
        <v>2310</v>
      </c>
      <c r="D116" s="389" t="s">
        <v>416</v>
      </c>
      <c r="E116" s="406"/>
      <c r="F116" s="409">
        <f>'WYDATKI ukł.wyk.'!H527</f>
        <v>616103</v>
      </c>
    </row>
    <row r="117" spans="1:6" ht="12">
      <c r="A117" s="415"/>
      <c r="B117" s="408"/>
      <c r="C117" s="385"/>
      <c r="D117" s="389" t="s">
        <v>417</v>
      </c>
      <c r="E117" s="406"/>
      <c r="F117" s="409"/>
    </row>
    <row r="118" spans="1:6" ht="12.75" thickBot="1">
      <c r="A118" s="415"/>
      <c r="B118" s="408"/>
      <c r="C118" s="385"/>
      <c r="D118" s="172"/>
      <c r="E118" s="406"/>
      <c r="F118" s="409"/>
    </row>
    <row r="119" spans="1:6" ht="13.5" thickBot="1">
      <c r="A119" s="438">
        <v>854</v>
      </c>
      <c r="B119" s="435"/>
      <c r="C119" s="439"/>
      <c r="D119" s="443" t="s">
        <v>178</v>
      </c>
      <c r="E119" s="440"/>
      <c r="F119" s="441">
        <f>F120</f>
        <v>128400</v>
      </c>
    </row>
    <row r="120" spans="1:6" ht="12.75">
      <c r="A120" s="415"/>
      <c r="B120" s="436">
        <v>85406</v>
      </c>
      <c r="C120" s="437"/>
      <c r="D120" s="64" t="s">
        <v>180</v>
      </c>
      <c r="E120" s="403"/>
      <c r="F120" s="404">
        <f>F121</f>
        <v>128400</v>
      </c>
    </row>
    <row r="121" spans="1:6" ht="12">
      <c r="A121" s="415"/>
      <c r="B121" s="408"/>
      <c r="C121" s="385">
        <v>2310</v>
      </c>
      <c r="D121" s="389" t="s">
        <v>416</v>
      </c>
      <c r="E121" s="406"/>
      <c r="F121" s="409">
        <f>'WYDATKI ukł.wyk.'!H552</f>
        <v>128400</v>
      </c>
    </row>
    <row r="122" spans="1:6" ht="12">
      <c r="A122" s="415"/>
      <c r="B122" s="408"/>
      <c r="C122" s="385"/>
      <c r="D122" s="389" t="s">
        <v>417</v>
      </c>
      <c r="E122" s="406"/>
      <c r="F122" s="409"/>
    </row>
    <row r="123" spans="1:6" ht="12.75" thickBot="1">
      <c r="A123" s="415"/>
      <c r="B123" s="408"/>
      <c r="C123" s="385"/>
      <c r="D123" s="389"/>
      <c r="E123" s="406"/>
      <c r="F123" s="409"/>
    </row>
    <row r="124" spans="1:6" ht="13.5" thickBot="1">
      <c r="A124" s="438">
        <v>921</v>
      </c>
      <c r="B124" s="435"/>
      <c r="C124" s="439"/>
      <c r="D124" s="442" t="s">
        <v>187</v>
      </c>
      <c r="E124" s="440"/>
      <c r="F124" s="441">
        <f>F125</f>
        <v>35000</v>
      </c>
    </row>
    <row r="125" spans="1:6" ht="12.75">
      <c r="A125" s="415"/>
      <c r="B125" s="436">
        <v>92116</v>
      </c>
      <c r="C125" s="437"/>
      <c r="D125" s="88" t="s">
        <v>189</v>
      </c>
      <c r="E125" s="403"/>
      <c r="F125" s="404">
        <f>F126</f>
        <v>35000</v>
      </c>
    </row>
    <row r="126" spans="1:6" ht="12">
      <c r="A126" s="415"/>
      <c r="B126" s="408"/>
      <c r="C126" s="385">
        <v>2310</v>
      </c>
      <c r="D126" s="389" t="s">
        <v>416</v>
      </c>
      <c r="E126" s="406"/>
      <c r="F126" s="409">
        <f>'WYDATKI ukł.wyk.'!H656</f>
        <v>35000</v>
      </c>
    </row>
    <row r="127" spans="1:6" ht="12.75" thickBot="1">
      <c r="A127" s="416"/>
      <c r="B127" s="417"/>
      <c r="C127" s="418"/>
      <c r="D127" s="419" t="s">
        <v>417</v>
      </c>
      <c r="E127" s="420"/>
      <c r="F127" s="421"/>
    </row>
    <row r="128" spans="1:7" ht="13.5" thickBot="1">
      <c r="A128" s="367"/>
      <c r="B128" s="367"/>
      <c r="C128" s="367"/>
      <c r="D128" s="444" t="s">
        <v>396</v>
      </c>
      <c r="E128" s="445">
        <f>E124+E119+E114+E89+E47+E21+E38+E80+E15</f>
        <v>1223347</v>
      </c>
      <c r="F128" s="896">
        <f>F124+F119+F114+F89+F47+F21+F38+F80+F15+F75+F70</f>
        <v>2683733</v>
      </c>
      <c r="G128" s="367"/>
    </row>
    <row r="129" spans="1:7" ht="12.75">
      <c r="A129" s="367"/>
      <c r="B129" s="367"/>
      <c r="C129" s="367"/>
      <c r="D129" s="354" t="s">
        <v>397</v>
      </c>
      <c r="E129" s="355"/>
      <c r="F129" s="356">
        <f>SUM(F27:F36,F43:F45,F53:F66,F72,F94:F100,F105:F107,F112,F116,F121,F126)</f>
        <v>2590733</v>
      </c>
      <c r="G129" s="367"/>
    </row>
    <row r="130" spans="1:7" ht="12.75">
      <c r="A130" s="367"/>
      <c r="B130" s="367"/>
      <c r="C130" s="367"/>
      <c r="D130" s="357" t="s">
        <v>398</v>
      </c>
      <c r="E130" s="358"/>
      <c r="F130" s="359">
        <f>F95+F59+F60+F44+F29+F30</f>
        <v>229447</v>
      </c>
      <c r="G130" s="367"/>
    </row>
    <row r="131" spans="1:7" ht="12.75">
      <c r="A131" s="367"/>
      <c r="B131" s="367"/>
      <c r="C131" s="367"/>
      <c r="D131" s="357" t="s">
        <v>399</v>
      </c>
      <c r="E131" s="358"/>
      <c r="F131" s="359">
        <f>F97+F96+F43</f>
        <v>38931</v>
      </c>
      <c r="G131" s="367"/>
    </row>
    <row r="132" spans="1:7" ht="12.75">
      <c r="A132" s="367"/>
      <c r="B132" s="367"/>
      <c r="C132" s="367"/>
      <c r="D132" s="357" t="s">
        <v>400</v>
      </c>
      <c r="E132" s="358"/>
      <c r="F132" s="359">
        <f>F107</f>
        <v>75219</v>
      </c>
      <c r="G132" s="367"/>
    </row>
    <row r="133" spans="1:7" ht="12.75">
      <c r="A133" s="367"/>
      <c r="B133" s="367"/>
      <c r="C133" s="367"/>
      <c r="D133" s="360" t="s">
        <v>418</v>
      </c>
      <c r="E133" s="361"/>
      <c r="F133" s="446">
        <f>F126+F121+F105+F94+F72+F116</f>
        <v>1322952</v>
      </c>
      <c r="G133" s="367"/>
    </row>
    <row r="134" spans="1:7" ht="13.5" thickBot="1">
      <c r="A134" s="367"/>
      <c r="B134" s="367"/>
      <c r="C134" s="367"/>
      <c r="D134" s="362" t="s">
        <v>401</v>
      </c>
      <c r="E134" s="363"/>
      <c r="F134" s="364">
        <f>F85+F77+F19</f>
        <v>93000</v>
      </c>
      <c r="G134" s="367"/>
    </row>
    <row r="135" spans="1:7" ht="12">
      <c r="A135" s="367"/>
      <c r="B135" s="367"/>
      <c r="C135" s="367"/>
      <c r="D135" s="367"/>
      <c r="E135" s="367"/>
      <c r="F135" s="367"/>
      <c r="G135" s="367"/>
    </row>
    <row r="136" spans="1:7" ht="12">
      <c r="A136" s="367"/>
      <c r="B136" s="367"/>
      <c r="C136" s="367"/>
      <c r="D136" s="367"/>
      <c r="E136" s="367"/>
      <c r="F136" s="367"/>
      <c r="G136" s="367"/>
    </row>
    <row r="137" spans="1:7" ht="12">
      <c r="A137" s="367" t="s">
        <v>759</v>
      </c>
      <c r="B137" s="367"/>
      <c r="C137" s="367"/>
      <c r="D137" s="367"/>
      <c r="E137" s="367"/>
      <c r="F137" s="367"/>
      <c r="G137" s="367"/>
    </row>
    <row r="138" spans="1:7" ht="12">
      <c r="A138" s="367" t="s">
        <v>761</v>
      </c>
      <c r="B138" s="367"/>
      <c r="C138" s="367"/>
      <c r="D138" s="367"/>
      <c r="E138" s="367"/>
      <c r="F138" s="367"/>
      <c r="G138" s="367"/>
    </row>
    <row r="139" spans="1:7" ht="12">
      <c r="A139" s="367" t="s">
        <v>760</v>
      </c>
      <c r="B139" s="367"/>
      <c r="C139" s="367"/>
      <c r="D139" s="367"/>
      <c r="E139" s="367"/>
      <c r="F139" s="367"/>
      <c r="G139" s="367"/>
    </row>
    <row r="140" spans="1:7" ht="12">
      <c r="A140" s="367"/>
      <c r="B140" s="367"/>
      <c r="C140" s="367"/>
      <c r="D140" s="367"/>
      <c r="E140" s="367"/>
      <c r="F140" s="367"/>
      <c r="G140" s="367"/>
    </row>
    <row r="141" spans="1:7" ht="12">
      <c r="A141" s="367"/>
      <c r="B141" s="367"/>
      <c r="C141" s="367"/>
      <c r="D141" s="367"/>
      <c r="E141" s="367"/>
      <c r="F141" s="367"/>
      <c r="G141" s="367"/>
    </row>
    <row r="142" spans="1:7" ht="12">
      <c r="A142" s="367"/>
      <c r="B142" s="367"/>
      <c r="C142" s="367"/>
      <c r="D142" s="367"/>
      <c r="E142" s="367"/>
      <c r="F142" s="367"/>
      <c r="G142" s="367"/>
    </row>
    <row r="143" spans="1:7" ht="12">
      <c r="A143" s="367"/>
      <c r="B143" s="367"/>
      <c r="C143" s="367"/>
      <c r="D143" s="367"/>
      <c r="E143" s="367"/>
      <c r="F143" s="367"/>
      <c r="G143" s="367"/>
    </row>
    <row r="144" spans="1:7" ht="12">
      <c r="A144" s="367"/>
      <c r="B144" s="367"/>
      <c r="C144" s="367"/>
      <c r="D144" s="367"/>
      <c r="E144" s="367"/>
      <c r="F144" s="367"/>
      <c r="G144" s="367"/>
    </row>
    <row r="145" spans="1:7" ht="12">
      <c r="A145" s="367"/>
      <c r="B145" s="367"/>
      <c r="C145" s="367"/>
      <c r="D145" s="367"/>
      <c r="E145" s="367"/>
      <c r="F145" s="367"/>
      <c r="G145" s="367"/>
    </row>
    <row r="146" spans="1:7" ht="12">
      <c r="A146" s="367"/>
      <c r="B146" s="367"/>
      <c r="C146" s="367"/>
      <c r="D146" s="367"/>
      <c r="E146" s="367"/>
      <c r="F146" s="367"/>
      <c r="G146" s="367"/>
    </row>
    <row r="147" spans="1:7" ht="12">
      <c r="A147" s="367"/>
      <c r="B147" s="367"/>
      <c r="C147" s="367"/>
      <c r="D147" s="367"/>
      <c r="E147" s="367"/>
      <c r="F147" s="367"/>
      <c r="G147" s="367"/>
    </row>
    <row r="148" spans="1:7" ht="12">
      <c r="A148" s="367"/>
      <c r="B148" s="367"/>
      <c r="C148" s="367"/>
      <c r="D148" s="367"/>
      <c r="E148" s="367"/>
      <c r="F148" s="367"/>
      <c r="G148" s="367"/>
    </row>
    <row r="149" spans="1:7" ht="12">
      <c r="A149" s="367"/>
      <c r="B149" s="367"/>
      <c r="C149" s="367"/>
      <c r="D149" s="367"/>
      <c r="E149" s="367"/>
      <c r="F149" s="367"/>
      <c r="G149" s="367"/>
    </row>
    <row r="150" spans="1:7" ht="12">
      <c r="A150" s="367"/>
      <c r="B150" s="367"/>
      <c r="C150" s="367"/>
      <c r="D150" s="367"/>
      <c r="E150" s="367"/>
      <c r="F150" s="367"/>
      <c r="G150" s="367"/>
    </row>
    <row r="151" spans="1:7" ht="12">
      <c r="A151" s="367"/>
      <c r="B151" s="367"/>
      <c r="C151" s="367"/>
      <c r="D151" s="367"/>
      <c r="E151" s="367"/>
      <c r="F151" s="367"/>
      <c r="G151" s="367"/>
    </row>
    <row r="152" spans="1:7" ht="12">
      <c r="A152" s="367"/>
      <c r="B152" s="367"/>
      <c r="C152" s="367"/>
      <c r="D152" s="367"/>
      <c r="E152" s="367"/>
      <c r="F152" s="367"/>
      <c r="G152" s="367"/>
    </row>
    <row r="153" spans="1:7" ht="12">
      <c r="A153" s="367"/>
      <c r="B153" s="367"/>
      <c r="C153" s="367"/>
      <c r="D153" s="367"/>
      <c r="E153" s="367"/>
      <c r="F153" s="367"/>
      <c r="G153" s="367"/>
    </row>
    <row r="154" spans="1:7" ht="12">
      <c r="A154" s="367"/>
      <c r="B154" s="367"/>
      <c r="C154" s="367"/>
      <c r="D154" s="367"/>
      <c r="E154" s="367"/>
      <c r="F154" s="367"/>
      <c r="G154" s="367"/>
    </row>
    <row r="155" spans="1:7" ht="12">
      <c r="A155" s="367"/>
      <c r="B155" s="367"/>
      <c r="C155" s="367"/>
      <c r="D155" s="367"/>
      <c r="E155" s="367"/>
      <c r="F155" s="367"/>
      <c r="G155" s="367"/>
    </row>
    <row r="156" spans="1:7" ht="12">
      <c r="A156" s="367"/>
      <c r="B156" s="367"/>
      <c r="C156" s="367"/>
      <c r="D156" s="367"/>
      <c r="E156" s="367"/>
      <c r="F156" s="367"/>
      <c r="G156" s="367"/>
    </row>
    <row r="157" spans="1:7" ht="12">
      <c r="A157" s="367"/>
      <c r="B157" s="367"/>
      <c r="C157" s="367"/>
      <c r="D157" s="367"/>
      <c r="E157" s="367"/>
      <c r="F157" s="367"/>
      <c r="G157" s="367"/>
    </row>
    <row r="158" spans="1:7" ht="12">
      <c r="A158" s="367"/>
      <c r="B158" s="367"/>
      <c r="C158" s="367"/>
      <c r="D158" s="367"/>
      <c r="E158" s="367"/>
      <c r="F158" s="367"/>
      <c r="G158" s="367"/>
    </row>
    <row r="159" spans="1:7" ht="12">
      <c r="A159" s="367"/>
      <c r="B159" s="367"/>
      <c r="C159" s="367"/>
      <c r="D159" s="367"/>
      <c r="E159" s="367"/>
      <c r="F159" s="367"/>
      <c r="G159" s="367"/>
    </row>
    <row r="160" spans="1:7" ht="12">
      <c r="A160" s="367"/>
      <c r="B160" s="367"/>
      <c r="C160" s="367"/>
      <c r="D160" s="367"/>
      <c r="E160" s="367"/>
      <c r="F160" s="367"/>
      <c r="G160" s="367"/>
    </row>
    <row r="161" spans="1:7" ht="12">
      <c r="A161" s="367"/>
      <c r="B161" s="367"/>
      <c r="C161" s="367"/>
      <c r="D161" s="367"/>
      <c r="E161" s="367"/>
      <c r="F161" s="367"/>
      <c r="G161" s="367"/>
    </row>
    <row r="162" spans="1:7" ht="12">
      <c r="A162" s="367"/>
      <c r="B162" s="367"/>
      <c r="C162" s="367"/>
      <c r="D162" s="367"/>
      <c r="E162" s="367"/>
      <c r="F162" s="367"/>
      <c r="G162" s="367"/>
    </row>
    <row r="163" spans="1:7" ht="12">
      <c r="A163" s="367"/>
      <c r="B163" s="367"/>
      <c r="C163" s="367"/>
      <c r="D163" s="367"/>
      <c r="E163" s="367"/>
      <c r="F163" s="367"/>
      <c r="G163" s="367"/>
    </row>
    <row r="164" spans="1:7" ht="12">
      <c r="A164" s="367"/>
      <c r="B164" s="367"/>
      <c r="C164" s="367"/>
      <c r="D164" s="367"/>
      <c r="E164" s="367"/>
      <c r="F164" s="367"/>
      <c r="G164" s="367"/>
    </row>
    <row r="165" spans="1:7" ht="12">
      <c r="A165" s="367"/>
      <c r="B165" s="367"/>
      <c r="C165" s="367"/>
      <c r="D165" s="367"/>
      <c r="E165" s="367"/>
      <c r="F165" s="367"/>
      <c r="G165" s="367"/>
    </row>
    <row r="166" spans="1:7" ht="12">
      <c r="A166" s="367"/>
      <c r="B166" s="367"/>
      <c r="C166" s="367"/>
      <c r="D166" s="367"/>
      <c r="E166" s="367"/>
      <c r="F166" s="367"/>
      <c r="G166" s="367"/>
    </row>
    <row r="167" spans="1:7" ht="12">
      <c r="A167" s="367"/>
      <c r="B167" s="367"/>
      <c r="C167" s="367"/>
      <c r="D167" s="367"/>
      <c r="E167" s="367"/>
      <c r="F167" s="367"/>
      <c r="G167" s="367"/>
    </row>
    <row r="168" spans="1:7" ht="12">
      <c r="A168" s="367"/>
      <c r="B168" s="367"/>
      <c r="C168" s="367"/>
      <c r="D168" s="367"/>
      <c r="E168" s="367"/>
      <c r="F168" s="367"/>
      <c r="G168" s="367"/>
    </row>
    <row r="169" spans="1:7" ht="12">
      <c r="A169" s="367"/>
      <c r="B169" s="367"/>
      <c r="C169" s="367"/>
      <c r="D169" s="367"/>
      <c r="E169" s="367"/>
      <c r="F169" s="367"/>
      <c r="G169" s="367"/>
    </row>
    <row r="170" spans="1:7" ht="12">
      <c r="A170" s="367"/>
      <c r="B170" s="367"/>
      <c r="C170" s="367"/>
      <c r="D170" s="367"/>
      <c r="E170" s="367"/>
      <c r="F170" s="367"/>
      <c r="G170" s="367"/>
    </row>
    <row r="171" spans="1:7" ht="12">
      <c r="A171" s="367"/>
      <c r="B171" s="367"/>
      <c r="C171" s="367"/>
      <c r="D171" s="367"/>
      <c r="E171" s="367"/>
      <c r="F171" s="367"/>
      <c r="G171" s="367"/>
    </row>
    <row r="172" spans="1:7" ht="12">
      <c r="A172" s="367"/>
      <c r="B172" s="367"/>
      <c r="C172" s="367"/>
      <c r="D172" s="367"/>
      <c r="E172" s="367"/>
      <c r="F172" s="367"/>
      <c r="G172" s="367"/>
    </row>
    <row r="173" spans="1:7" ht="12">
      <c r="A173" s="367"/>
      <c r="B173" s="367"/>
      <c r="C173" s="367"/>
      <c r="D173" s="367"/>
      <c r="E173" s="367"/>
      <c r="F173" s="367"/>
      <c r="G173" s="367"/>
    </row>
    <row r="174" spans="1:7" ht="12">
      <c r="A174" s="367"/>
      <c r="B174" s="367"/>
      <c r="C174" s="367"/>
      <c r="D174" s="367"/>
      <c r="E174" s="367"/>
      <c r="F174" s="367"/>
      <c r="G174" s="367"/>
    </row>
    <row r="175" spans="1:7" ht="12">
      <c r="A175" s="367"/>
      <c r="B175" s="367"/>
      <c r="C175" s="367"/>
      <c r="D175" s="367"/>
      <c r="E175" s="367"/>
      <c r="F175" s="367"/>
      <c r="G175" s="367"/>
    </row>
    <row r="176" spans="1:7" ht="12">
      <c r="A176" s="367"/>
      <c r="B176" s="367"/>
      <c r="C176" s="367"/>
      <c r="D176" s="367"/>
      <c r="E176" s="367"/>
      <c r="F176" s="367"/>
      <c r="G176" s="367"/>
    </row>
    <row r="177" spans="1:7" ht="12">
      <c r="A177" s="367"/>
      <c r="B177" s="367"/>
      <c r="C177" s="367"/>
      <c r="D177" s="367"/>
      <c r="E177" s="367"/>
      <c r="F177" s="367"/>
      <c r="G177" s="367"/>
    </row>
    <row r="178" spans="1:7" ht="12">
      <c r="A178" s="367"/>
      <c r="B178" s="367"/>
      <c r="C178" s="367"/>
      <c r="D178" s="367"/>
      <c r="E178" s="367"/>
      <c r="F178" s="367"/>
      <c r="G178" s="367"/>
    </row>
    <row r="179" spans="1:7" ht="12">
      <c r="A179" s="367"/>
      <c r="B179" s="367"/>
      <c r="C179" s="367"/>
      <c r="D179" s="367"/>
      <c r="E179" s="367"/>
      <c r="F179" s="367"/>
      <c r="G179" s="367"/>
    </row>
    <row r="180" spans="1:7" ht="12">
      <c r="A180" s="367"/>
      <c r="B180" s="367"/>
      <c r="C180" s="367"/>
      <c r="D180" s="367"/>
      <c r="E180" s="367"/>
      <c r="F180" s="367"/>
      <c r="G180" s="367"/>
    </row>
    <row r="181" spans="1:7" ht="12">
      <c r="A181" s="367"/>
      <c r="B181" s="367"/>
      <c r="C181" s="367"/>
      <c r="D181" s="367"/>
      <c r="E181" s="367"/>
      <c r="F181" s="367"/>
      <c r="G181" s="367"/>
    </row>
    <row r="182" spans="1:7" ht="12">
      <c r="A182" s="367"/>
      <c r="B182" s="367"/>
      <c r="C182" s="367"/>
      <c r="D182" s="367"/>
      <c r="E182" s="367"/>
      <c r="F182" s="367"/>
      <c r="G182" s="367"/>
    </row>
    <row r="183" spans="1:7" ht="12">
      <c r="A183" s="367"/>
      <c r="B183" s="367"/>
      <c r="C183" s="367"/>
      <c r="D183" s="367"/>
      <c r="E183" s="367"/>
      <c r="F183" s="367"/>
      <c r="G183" s="367"/>
    </row>
    <row r="184" spans="1:7" ht="12">
      <c r="A184" s="367"/>
      <c r="B184" s="367"/>
      <c r="C184" s="367"/>
      <c r="D184" s="367"/>
      <c r="E184" s="367"/>
      <c r="F184" s="367"/>
      <c r="G184" s="367"/>
    </row>
    <row r="185" spans="1:7" ht="12">
      <c r="A185" s="367"/>
      <c r="B185" s="367"/>
      <c r="C185" s="367"/>
      <c r="D185" s="367"/>
      <c r="E185" s="367"/>
      <c r="F185" s="367"/>
      <c r="G185" s="367"/>
    </row>
    <row r="186" spans="1:7" ht="12">
      <c r="A186" s="367"/>
      <c r="B186" s="367"/>
      <c r="C186" s="367"/>
      <c r="D186" s="367"/>
      <c r="E186" s="367"/>
      <c r="F186" s="367"/>
      <c r="G186" s="367"/>
    </row>
    <row r="187" spans="1:7" ht="12">
      <c r="A187" s="367"/>
      <c r="B187" s="367"/>
      <c r="C187" s="367"/>
      <c r="D187" s="367"/>
      <c r="E187" s="367"/>
      <c r="F187" s="367"/>
      <c r="G187" s="367"/>
    </row>
    <row r="188" spans="1:7" ht="12">
      <c r="A188" s="367"/>
      <c r="B188" s="367"/>
      <c r="C188" s="367"/>
      <c r="D188" s="367"/>
      <c r="E188" s="367"/>
      <c r="F188" s="367"/>
      <c r="G188" s="367"/>
    </row>
    <row r="189" spans="1:7" ht="12">
      <c r="A189" s="367"/>
      <c r="B189" s="367"/>
      <c r="C189" s="367"/>
      <c r="D189" s="367"/>
      <c r="E189" s="367"/>
      <c r="F189" s="367"/>
      <c r="G189" s="367"/>
    </row>
    <row r="190" spans="1:7" ht="12">
      <c r="A190" s="367"/>
      <c r="B190" s="367"/>
      <c r="C190" s="367"/>
      <c r="D190" s="367"/>
      <c r="E190" s="367"/>
      <c r="F190" s="367"/>
      <c r="G190" s="367"/>
    </row>
    <row r="191" spans="1:7" ht="12">
      <c r="A191" s="367"/>
      <c r="B191" s="367"/>
      <c r="C191" s="367"/>
      <c r="D191" s="367"/>
      <c r="E191" s="367"/>
      <c r="F191" s="367"/>
      <c r="G191" s="367"/>
    </row>
    <row r="192" spans="1:7" ht="12">
      <c r="A192" s="367"/>
      <c r="B192" s="367"/>
      <c r="C192" s="367"/>
      <c r="D192" s="367"/>
      <c r="E192" s="367"/>
      <c r="F192" s="367"/>
      <c r="G192" s="367"/>
    </row>
    <row r="193" spans="1:7" ht="12">
      <c r="A193" s="367"/>
      <c r="B193" s="367"/>
      <c r="C193" s="367"/>
      <c r="D193" s="367"/>
      <c r="E193" s="367"/>
      <c r="F193" s="367"/>
      <c r="G193" s="367"/>
    </row>
    <row r="194" spans="1:7" ht="12">
      <c r="A194" s="367"/>
      <c r="B194" s="367"/>
      <c r="C194" s="367"/>
      <c r="D194" s="367"/>
      <c r="E194" s="367"/>
      <c r="F194" s="367"/>
      <c r="G194" s="367"/>
    </row>
    <row r="195" spans="1:7" ht="12">
      <c r="A195" s="367"/>
      <c r="B195" s="367"/>
      <c r="C195" s="367"/>
      <c r="D195" s="367"/>
      <c r="E195" s="367"/>
      <c r="F195" s="367"/>
      <c r="G195" s="367"/>
    </row>
    <row r="196" spans="1:7" ht="12">
      <c r="A196" s="367"/>
      <c r="B196" s="367"/>
      <c r="C196" s="367"/>
      <c r="D196" s="367"/>
      <c r="E196" s="367"/>
      <c r="F196" s="367"/>
      <c r="G196" s="367"/>
    </row>
    <row r="197" spans="1:7" ht="12">
      <c r="A197" s="367"/>
      <c r="B197" s="367"/>
      <c r="C197" s="367"/>
      <c r="D197" s="367"/>
      <c r="E197" s="367"/>
      <c r="F197" s="367"/>
      <c r="G197" s="367"/>
    </row>
    <row r="198" spans="1:7" ht="12">
      <c r="A198" s="367"/>
      <c r="B198" s="367"/>
      <c r="C198" s="367"/>
      <c r="D198" s="367"/>
      <c r="E198" s="367"/>
      <c r="F198" s="367"/>
      <c r="G198" s="367"/>
    </row>
    <row r="199" spans="1:7" ht="12">
      <c r="A199" s="367"/>
      <c r="B199" s="367"/>
      <c r="C199" s="367"/>
      <c r="D199" s="367"/>
      <c r="E199" s="367"/>
      <c r="F199" s="367"/>
      <c r="G199" s="367"/>
    </row>
    <row r="200" spans="1:7" ht="12">
      <c r="A200" s="367"/>
      <c r="B200" s="367"/>
      <c r="C200" s="367"/>
      <c r="D200" s="367"/>
      <c r="E200" s="367"/>
      <c r="F200" s="367"/>
      <c r="G200" s="367"/>
    </row>
    <row r="201" spans="1:7" ht="12">
      <c r="A201" s="367"/>
      <c r="B201" s="367"/>
      <c r="C201" s="367"/>
      <c r="D201" s="367"/>
      <c r="E201" s="367"/>
      <c r="F201" s="367"/>
      <c r="G201" s="367"/>
    </row>
    <row r="202" spans="1:7" ht="12">
      <c r="A202" s="367"/>
      <c r="B202" s="367"/>
      <c r="C202" s="367"/>
      <c r="D202" s="367"/>
      <c r="E202" s="367"/>
      <c r="F202" s="367"/>
      <c r="G202" s="367"/>
    </row>
    <row r="203" spans="1:7" ht="12">
      <c r="A203" s="367"/>
      <c r="B203" s="367"/>
      <c r="C203" s="367"/>
      <c r="D203" s="367"/>
      <c r="E203" s="367"/>
      <c r="F203" s="367"/>
      <c r="G203" s="367"/>
    </row>
    <row r="204" spans="1:7" ht="12">
      <c r="A204" s="367"/>
      <c r="B204" s="367"/>
      <c r="C204" s="367"/>
      <c r="D204" s="367"/>
      <c r="E204" s="367"/>
      <c r="F204" s="367"/>
      <c r="G204" s="367"/>
    </row>
    <row r="205" spans="1:7" ht="12">
      <c r="A205" s="367"/>
      <c r="B205" s="367"/>
      <c r="C205" s="367"/>
      <c r="D205" s="367"/>
      <c r="E205" s="367"/>
      <c r="F205" s="367"/>
      <c r="G205" s="367"/>
    </row>
    <row r="206" spans="1:7" ht="12">
      <c r="A206" s="367"/>
      <c r="B206" s="367"/>
      <c r="C206" s="367"/>
      <c r="D206" s="367"/>
      <c r="E206" s="367"/>
      <c r="F206" s="367"/>
      <c r="G206" s="367"/>
    </row>
    <row r="207" spans="1:7" ht="12">
      <c r="A207" s="367"/>
      <c r="B207" s="367"/>
      <c r="C207" s="367"/>
      <c r="D207" s="367"/>
      <c r="E207" s="367"/>
      <c r="F207" s="367"/>
      <c r="G207" s="367"/>
    </row>
    <row r="208" spans="1:7" ht="12">
      <c r="A208" s="367"/>
      <c r="B208" s="367"/>
      <c r="C208" s="367"/>
      <c r="D208" s="367"/>
      <c r="E208" s="367"/>
      <c r="F208" s="367"/>
      <c r="G208" s="367"/>
    </row>
    <row r="209" spans="1:7" ht="12">
      <c r="A209" s="367"/>
      <c r="B209" s="367"/>
      <c r="C209" s="367"/>
      <c r="D209" s="367"/>
      <c r="E209" s="367"/>
      <c r="F209" s="367"/>
      <c r="G209" s="367"/>
    </row>
    <row r="210" spans="1:7" ht="12">
      <c r="A210" s="367"/>
      <c r="B210" s="367"/>
      <c r="C210" s="367"/>
      <c r="D210" s="367"/>
      <c r="E210" s="367"/>
      <c r="F210" s="367"/>
      <c r="G210" s="367"/>
    </row>
    <row r="211" spans="1:7" ht="12">
      <c r="A211" s="367"/>
      <c r="B211" s="367"/>
      <c r="C211" s="367"/>
      <c r="D211" s="367"/>
      <c r="E211" s="367"/>
      <c r="F211" s="367"/>
      <c r="G211" s="367"/>
    </row>
    <row r="212" spans="1:7" ht="12">
      <c r="A212" s="367"/>
      <c r="B212" s="367"/>
      <c r="C212" s="367"/>
      <c r="D212" s="367"/>
      <c r="E212" s="367"/>
      <c r="F212" s="367"/>
      <c r="G212" s="367"/>
    </row>
    <row r="213" spans="1:7" ht="12">
      <c r="A213" s="367"/>
      <c r="B213" s="367"/>
      <c r="C213" s="367"/>
      <c r="D213" s="367"/>
      <c r="E213" s="367"/>
      <c r="F213" s="367"/>
      <c r="G213" s="367"/>
    </row>
    <row r="214" spans="1:7" ht="12">
      <c r="A214" s="367"/>
      <c r="B214" s="367"/>
      <c r="C214" s="367"/>
      <c r="D214" s="367"/>
      <c r="E214" s="367"/>
      <c r="F214" s="367"/>
      <c r="G214" s="367"/>
    </row>
    <row r="215" spans="1:7" ht="12">
      <c r="A215" s="367"/>
      <c r="B215" s="367"/>
      <c r="C215" s="367"/>
      <c r="D215" s="367"/>
      <c r="E215" s="367"/>
      <c r="F215" s="367"/>
      <c r="G215" s="367"/>
    </row>
    <row r="216" spans="1:7" ht="12">
      <c r="A216" s="367"/>
      <c r="B216" s="367"/>
      <c r="C216" s="367"/>
      <c r="D216" s="367"/>
      <c r="E216" s="367"/>
      <c r="F216" s="367"/>
      <c r="G216" s="367"/>
    </row>
    <row r="217" spans="1:7" ht="12">
      <c r="A217" s="367"/>
      <c r="B217" s="367"/>
      <c r="C217" s="367"/>
      <c r="D217" s="367"/>
      <c r="E217" s="367"/>
      <c r="F217" s="367"/>
      <c r="G217" s="367"/>
    </row>
    <row r="218" spans="1:7" ht="12">
      <c r="A218" s="367"/>
      <c r="B218" s="367"/>
      <c r="C218" s="367"/>
      <c r="D218" s="367"/>
      <c r="E218" s="367"/>
      <c r="F218" s="367"/>
      <c r="G218" s="367"/>
    </row>
    <row r="219" spans="1:7" ht="12">
      <c r="A219" s="367"/>
      <c r="B219" s="367"/>
      <c r="C219" s="367"/>
      <c r="D219" s="367"/>
      <c r="E219" s="367"/>
      <c r="F219" s="367"/>
      <c r="G219" s="367"/>
    </row>
    <row r="220" spans="1:7" ht="12">
      <c r="A220" s="367"/>
      <c r="B220" s="367"/>
      <c r="C220" s="367"/>
      <c r="D220" s="367"/>
      <c r="E220" s="367"/>
      <c r="F220" s="367"/>
      <c r="G220" s="367"/>
    </row>
    <row r="221" spans="1:7" ht="12">
      <c r="A221" s="367"/>
      <c r="B221" s="367"/>
      <c r="C221" s="367"/>
      <c r="D221" s="367"/>
      <c r="E221" s="367"/>
      <c r="F221" s="367"/>
      <c r="G221" s="367"/>
    </row>
    <row r="222" spans="1:7" ht="12">
      <c r="A222" s="367"/>
      <c r="B222" s="367"/>
      <c r="C222" s="367"/>
      <c r="D222" s="367"/>
      <c r="E222" s="367"/>
      <c r="F222" s="367"/>
      <c r="G222" s="367"/>
    </row>
    <row r="223" spans="1:7" ht="12">
      <c r="A223" s="367"/>
      <c r="B223" s="367"/>
      <c r="C223" s="367"/>
      <c r="D223" s="367"/>
      <c r="E223" s="367"/>
      <c r="F223" s="367"/>
      <c r="G223" s="367"/>
    </row>
    <row r="224" spans="1:7" ht="12">
      <c r="A224" s="367"/>
      <c r="B224" s="367"/>
      <c r="C224" s="367"/>
      <c r="D224" s="367"/>
      <c r="E224" s="367"/>
      <c r="F224" s="367"/>
      <c r="G224" s="367"/>
    </row>
    <row r="225" spans="1:7" ht="12">
      <c r="A225" s="367"/>
      <c r="B225" s="367"/>
      <c r="C225" s="367"/>
      <c r="D225" s="367"/>
      <c r="E225" s="367"/>
      <c r="F225" s="367"/>
      <c r="G225" s="367"/>
    </row>
    <row r="226" spans="1:7" ht="12">
      <c r="A226" s="367"/>
      <c r="B226" s="367"/>
      <c r="C226" s="367"/>
      <c r="D226" s="367"/>
      <c r="E226" s="367"/>
      <c r="F226" s="367"/>
      <c r="G226" s="367"/>
    </row>
    <row r="227" spans="1:7" ht="12">
      <c r="A227" s="367"/>
      <c r="B227" s="367"/>
      <c r="C227" s="367"/>
      <c r="D227" s="367"/>
      <c r="E227" s="367"/>
      <c r="F227" s="367"/>
      <c r="G227" s="367"/>
    </row>
    <row r="228" spans="1:7" ht="12">
      <c r="A228" s="367"/>
      <c r="B228" s="367"/>
      <c r="C228" s="367"/>
      <c r="D228" s="367"/>
      <c r="E228" s="367"/>
      <c r="F228" s="367"/>
      <c r="G228" s="367"/>
    </row>
    <row r="229" spans="1:7" ht="12">
      <c r="A229" s="367"/>
      <c r="B229" s="367"/>
      <c r="C229" s="367"/>
      <c r="D229" s="367"/>
      <c r="E229" s="367"/>
      <c r="F229" s="367"/>
      <c r="G229" s="367"/>
    </row>
    <row r="230" spans="1:7" ht="12">
      <c r="A230" s="367"/>
      <c r="B230" s="367"/>
      <c r="C230" s="367"/>
      <c r="D230" s="367"/>
      <c r="E230" s="367"/>
      <c r="F230" s="367"/>
      <c r="G230" s="367"/>
    </row>
    <row r="231" spans="1:7" ht="12">
      <c r="A231" s="367"/>
      <c r="B231" s="367"/>
      <c r="C231" s="367"/>
      <c r="D231" s="367"/>
      <c r="E231" s="367"/>
      <c r="F231" s="367"/>
      <c r="G231" s="367"/>
    </row>
    <row r="232" spans="1:7" ht="12">
      <c r="A232" s="367"/>
      <c r="B232" s="367"/>
      <c r="C232" s="367"/>
      <c r="D232" s="367"/>
      <c r="E232" s="367"/>
      <c r="F232" s="367"/>
      <c r="G232" s="367"/>
    </row>
    <row r="233" spans="1:7" ht="12">
      <c r="A233" s="367"/>
      <c r="B233" s="367"/>
      <c r="C233" s="367"/>
      <c r="D233" s="367"/>
      <c r="E233" s="367"/>
      <c r="F233" s="367"/>
      <c r="G233" s="367"/>
    </row>
    <row r="234" spans="1:7" ht="12">
      <c r="A234" s="367"/>
      <c r="B234" s="367"/>
      <c r="C234" s="367"/>
      <c r="D234" s="367"/>
      <c r="E234" s="367"/>
      <c r="F234" s="367"/>
      <c r="G234" s="367"/>
    </row>
    <row r="235" spans="1:7" ht="12">
      <c r="A235" s="367"/>
      <c r="B235" s="367"/>
      <c r="C235" s="367"/>
      <c r="D235" s="367"/>
      <c r="E235" s="367"/>
      <c r="F235" s="367"/>
      <c r="G235" s="367"/>
    </row>
    <row r="236" spans="1:7" ht="12">
      <c r="A236" s="367"/>
      <c r="B236" s="367"/>
      <c r="C236" s="367"/>
      <c r="D236" s="367"/>
      <c r="E236" s="367"/>
      <c r="F236" s="367"/>
      <c r="G236" s="367"/>
    </row>
    <row r="237" spans="1:7" ht="12">
      <c r="A237" s="367"/>
      <c r="B237" s="367"/>
      <c r="C237" s="367"/>
      <c r="D237" s="367"/>
      <c r="E237" s="367"/>
      <c r="F237" s="367"/>
      <c r="G237" s="367"/>
    </row>
    <row r="238" spans="1:7" ht="12">
      <c r="A238" s="367"/>
      <c r="B238" s="367"/>
      <c r="C238" s="367"/>
      <c r="D238" s="367"/>
      <c r="E238" s="367"/>
      <c r="F238" s="367"/>
      <c r="G238" s="367"/>
    </row>
    <row r="239" spans="1:7" ht="12">
      <c r="A239" s="367"/>
      <c r="B239" s="367"/>
      <c r="C239" s="367"/>
      <c r="D239" s="367"/>
      <c r="E239" s="367"/>
      <c r="F239" s="367"/>
      <c r="G239" s="367"/>
    </row>
    <row r="240" spans="1:7" ht="12">
      <c r="A240" s="367"/>
      <c r="B240" s="367"/>
      <c r="C240" s="367"/>
      <c r="D240" s="367"/>
      <c r="E240" s="367"/>
      <c r="F240" s="367"/>
      <c r="G240" s="367"/>
    </row>
    <row r="241" spans="1:7" ht="12">
      <c r="A241" s="367"/>
      <c r="B241" s="367"/>
      <c r="C241" s="367"/>
      <c r="D241" s="367"/>
      <c r="E241" s="367"/>
      <c r="F241" s="367"/>
      <c r="G241" s="367"/>
    </row>
    <row r="242" spans="1:7" ht="12">
      <c r="A242" s="367"/>
      <c r="B242" s="367"/>
      <c r="C242" s="367"/>
      <c r="D242" s="367"/>
      <c r="E242" s="367"/>
      <c r="F242" s="367"/>
      <c r="G242" s="367"/>
    </row>
    <row r="243" spans="1:7" ht="12">
      <c r="A243" s="367"/>
      <c r="B243" s="367"/>
      <c r="C243" s="367"/>
      <c r="D243" s="367"/>
      <c r="E243" s="367"/>
      <c r="F243" s="367"/>
      <c r="G243" s="367"/>
    </row>
    <row r="244" spans="1:7" ht="12">
      <c r="A244" s="367"/>
      <c r="B244" s="367"/>
      <c r="C244" s="367"/>
      <c r="D244" s="367"/>
      <c r="E244" s="367"/>
      <c r="F244" s="367"/>
      <c r="G244" s="367"/>
    </row>
    <row r="245" spans="1:7" ht="12">
      <c r="A245" s="367"/>
      <c r="B245" s="367"/>
      <c r="C245" s="367"/>
      <c r="D245" s="367"/>
      <c r="E245" s="367"/>
      <c r="F245" s="367"/>
      <c r="G245" s="367"/>
    </row>
    <row r="246" spans="1:7" ht="12">
      <c r="A246" s="367"/>
      <c r="B246" s="367"/>
      <c r="C246" s="367"/>
      <c r="D246" s="367"/>
      <c r="E246" s="367"/>
      <c r="F246" s="367"/>
      <c r="G246" s="367"/>
    </row>
    <row r="247" spans="1:7" ht="12">
      <c r="A247" s="367"/>
      <c r="B247" s="367"/>
      <c r="C247" s="367"/>
      <c r="D247" s="367"/>
      <c r="E247" s="367"/>
      <c r="F247" s="367"/>
      <c r="G247" s="367"/>
    </row>
    <row r="248" spans="1:7" ht="12">
      <c r="A248" s="367"/>
      <c r="B248" s="367"/>
      <c r="C248" s="367"/>
      <c r="D248" s="367"/>
      <c r="E248" s="367"/>
      <c r="F248" s="367"/>
      <c r="G248" s="367"/>
    </row>
    <row r="249" spans="1:7" ht="12">
      <c r="A249" s="367"/>
      <c r="B249" s="367"/>
      <c r="C249" s="367"/>
      <c r="D249" s="367"/>
      <c r="E249" s="367"/>
      <c r="F249" s="367"/>
      <c r="G249" s="367"/>
    </row>
    <row r="250" spans="1:7" ht="12">
      <c r="A250" s="367"/>
      <c r="B250" s="367"/>
      <c r="C250" s="367"/>
      <c r="D250" s="367"/>
      <c r="E250" s="367"/>
      <c r="F250" s="367"/>
      <c r="G250" s="367"/>
    </row>
    <row r="251" spans="1:7" ht="12">
      <c r="A251" s="367"/>
      <c r="B251" s="367"/>
      <c r="C251" s="367"/>
      <c r="D251" s="367"/>
      <c r="E251" s="367"/>
      <c r="F251" s="367"/>
      <c r="G251" s="367"/>
    </row>
    <row r="252" spans="1:7" ht="12">
      <c r="A252" s="367"/>
      <c r="B252" s="367"/>
      <c r="C252" s="367"/>
      <c r="D252" s="367"/>
      <c r="E252" s="367"/>
      <c r="F252" s="367"/>
      <c r="G252" s="367"/>
    </row>
    <row r="253" spans="1:7" ht="12">
      <c r="A253" s="367"/>
      <c r="B253" s="367"/>
      <c r="C253" s="367"/>
      <c r="D253" s="367"/>
      <c r="E253" s="367"/>
      <c r="F253" s="367"/>
      <c r="G253" s="367"/>
    </row>
    <row r="254" spans="1:7" ht="12">
      <c r="A254" s="367"/>
      <c r="B254" s="367"/>
      <c r="C254" s="367"/>
      <c r="D254" s="367"/>
      <c r="E254" s="367"/>
      <c r="F254" s="367"/>
      <c r="G254" s="367"/>
    </row>
    <row r="255" spans="1:7" ht="12">
      <c r="A255" s="367"/>
      <c r="B255" s="367"/>
      <c r="C255" s="367"/>
      <c r="D255" s="367"/>
      <c r="E255" s="367"/>
      <c r="F255" s="367"/>
      <c r="G255" s="367"/>
    </row>
    <row r="256" spans="1:7" ht="12">
      <c r="A256" s="367"/>
      <c r="B256" s="367"/>
      <c r="C256" s="367"/>
      <c r="D256" s="367"/>
      <c r="E256" s="367"/>
      <c r="F256" s="367"/>
      <c r="G256" s="367"/>
    </row>
    <row r="257" spans="1:7" ht="12">
      <c r="A257" s="367"/>
      <c r="B257" s="367"/>
      <c r="C257" s="367"/>
      <c r="D257" s="367"/>
      <c r="E257" s="367"/>
      <c r="F257" s="367"/>
      <c r="G257" s="367"/>
    </row>
    <row r="258" spans="1:7" ht="12">
      <c r="A258" s="367"/>
      <c r="B258" s="367"/>
      <c r="C258" s="367"/>
      <c r="D258" s="367"/>
      <c r="E258" s="367"/>
      <c r="F258" s="367"/>
      <c r="G258" s="367"/>
    </row>
    <row r="259" spans="1:7" ht="12">
      <c r="A259" s="367"/>
      <c r="B259" s="367"/>
      <c r="C259" s="367"/>
      <c r="D259" s="367"/>
      <c r="E259" s="367"/>
      <c r="F259" s="367"/>
      <c r="G259" s="367"/>
    </row>
    <row r="260" spans="1:7" ht="12">
      <c r="A260" s="367"/>
      <c r="B260" s="367"/>
      <c r="C260" s="367"/>
      <c r="D260" s="367"/>
      <c r="E260" s="367"/>
      <c r="F260" s="367"/>
      <c r="G260" s="367"/>
    </row>
    <row r="261" spans="1:7" ht="12">
      <c r="A261" s="367"/>
      <c r="B261" s="367"/>
      <c r="C261" s="367"/>
      <c r="D261" s="367"/>
      <c r="E261" s="367"/>
      <c r="F261" s="367"/>
      <c r="G261" s="367"/>
    </row>
    <row r="262" spans="1:7" ht="12">
      <c r="A262" s="367"/>
      <c r="B262" s="367"/>
      <c r="C262" s="367"/>
      <c r="D262" s="367"/>
      <c r="E262" s="367"/>
      <c r="F262" s="367"/>
      <c r="G262" s="367"/>
    </row>
    <row r="263" spans="1:7" ht="12">
      <c r="A263" s="367"/>
      <c r="B263" s="367"/>
      <c r="C263" s="367"/>
      <c r="D263" s="367"/>
      <c r="E263" s="367"/>
      <c r="F263" s="367"/>
      <c r="G263" s="367"/>
    </row>
    <row r="264" spans="1:7" ht="12">
      <c r="A264" s="367"/>
      <c r="B264" s="367"/>
      <c r="C264" s="367"/>
      <c r="D264" s="367"/>
      <c r="E264" s="367"/>
      <c r="F264" s="367"/>
      <c r="G264" s="367"/>
    </row>
    <row r="265" spans="1:7" ht="12">
      <c r="A265" s="367"/>
      <c r="B265" s="367"/>
      <c r="C265" s="367"/>
      <c r="D265" s="367"/>
      <c r="E265" s="367"/>
      <c r="F265" s="367"/>
      <c r="G265" s="367"/>
    </row>
    <row r="266" spans="1:7" ht="12">
      <c r="A266" s="367"/>
      <c r="B266" s="367"/>
      <c r="C266" s="367"/>
      <c r="D266" s="367"/>
      <c r="E266" s="367"/>
      <c r="F266" s="367"/>
      <c r="G266" s="367"/>
    </row>
    <row r="267" spans="1:7" ht="12">
      <c r="A267" s="367"/>
      <c r="B267" s="367"/>
      <c r="C267" s="367"/>
      <c r="D267" s="367"/>
      <c r="E267" s="367"/>
      <c r="F267" s="367"/>
      <c r="G267" s="367"/>
    </row>
    <row r="268" spans="1:7" ht="12">
      <c r="A268" s="367"/>
      <c r="B268" s="367"/>
      <c r="C268" s="367"/>
      <c r="D268" s="367"/>
      <c r="E268" s="367"/>
      <c r="F268" s="367"/>
      <c r="G268" s="367"/>
    </row>
    <row r="269" spans="1:7" ht="12">
      <c r="A269" s="367"/>
      <c r="B269" s="367"/>
      <c r="C269" s="367"/>
      <c r="D269" s="367"/>
      <c r="E269" s="367"/>
      <c r="F269" s="367"/>
      <c r="G269" s="367"/>
    </row>
    <row r="270" spans="1:7" ht="12">
      <c r="A270" s="367"/>
      <c r="B270" s="367"/>
      <c r="C270" s="367"/>
      <c r="D270" s="367"/>
      <c r="E270" s="367"/>
      <c r="F270" s="367"/>
      <c r="G270" s="367"/>
    </row>
    <row r="271" spans="1:7" ht="12">
      <c r="A271" s="367"/>
      <c r="B271" s="367"/>
      <c r="C271" s="367"/>
      <c r="D271" s="367"/>
      <c r="E271" s="367"/>
      <c r="F271" s="367"/>
      <c r="G271" s="367"/>
    </row>
    <row r="272" spans="1:7" ht="12">
      <c r="A272" s="367"/>
      <c r="B272" s="367"/>
      <c r="C272" s="367"/>
      <c r="D272" s="367"/>
      <c r="E272" s="367"/>
      <c r="F272" s="367"/>
      <c r="G272" s="367"/>
    </row>
    <row r="273" spans="1:7" ht="12">
      <c r="A273" s="367"/>
      <c r="B273" s="367"/>
      <c r="C273" s="367"/>
      <c r="D273" s="367"/>
      <c r="E273" s="367"/>
      <c r="F273" s="367"/>
      <c r="G273" s="367"/>
    </row>
    <row r="274" spans="1:7" ht="12">
      <c r="A274" s="367"/>
      <c r="B274" s="367"/>
      <c r="C274" s="367"/>
      <c r="D274" s="367"/>
      <c r="E274" s="367"/>
      <c r="F274" s="367"/>
      <c r="G274" s="367"/>
    </row>
    <row r="275" spans="1:7" ht="12">
      <c r="A275" s="367"/>
      <c r="B275" s="367"/>
      <c r="C275" s="367"/>
      <c r="D275" s="367"/>
      <c r="E275" s="367"/>
      <c r="F275" s="367"/>
      <c r="G275" s="367"/>
    </row>
    <row r="276" spans="1:7" ht="12">
      <c r="A276" s="367"/>
      <c r="B276" s="367"/>
      <c r="C276" s="367"/>
      <c r="D276" s="367"/>
      <c r="E276" s="367"/>
      <c r="F276" s="367"/>
      <c r="G276" s="367"/>
    </row>
    <row r="277" spans="1:7" ht="12">
      <c r="A277" s="367"/>
      <c r="B277" s="367"/>
      <c r="C277" s="367"/>
      <c r="D277" s="367"/>
      <c r="E277" s="367"/>
      <c r="F277" s="367"/>
      <c r="G277" s="367"/>
    </row>
    <row r="278" spans="1:7" ht="12">
      <c r="A278" s="367"/>
      <c r="B278" s="367"/>
      <c r="C278" s="367"/>
      <c r="D278" s="367"/>
      <c r="E278" s="367"/>
      <c r="F278" s="367"/>
      <c r="G278" s="367"/>
    </row>
    <row r="279" spans="1:7" ht="12">
      <c r="A279" s="367"/>
      <c r="B279" s="367"/>
      <c r="C279" s="367"/>
      <c r="D279" s="367"/>
      <c r="E279" s="367"/>
      <c r="F279" s="367"/>
      <c r="G279" s="367"/>
    </row>
    <row r="280" spans="1:7" ht="12">
      <c r="A280" s="367"/>
      <c r="B280" s="367"/>
      <c r="C280" s="367"/>
      <c r="D280" s="367"/>
      <c r="E280" s="367"/>
      <c r="F280" s="367"/>
      <c r="G280" s="367"/>
    </row>
    <row r="281" spans="1:7" ht="12">
      <c r="A281" s="367"/>
      <c r="B281" s="367"/>
      <c r="C281" s="367"/>
      <c r="D281" s="367"/>
      <c r="E281" s="367"/>
      <c r="F281" s="367"/>
      <c r="G281" s="367"/>
    </row>
    <row r="282" spans="1:7" ht="12">
      <c r="A282" s="367"/>
      <c r="B282" s="367"/>
      <c r="C282" s="367"/>
      <c r="D282" s="367"/>
      <c r="E282" s="367"/>
      <c r="F282" s="367"/>
      <c r="G282" s="367"/>
    </row>
    <row r="283" spans="1:7" ht="12">
      <c r="A283" s="367"/>
      <c r="B283" s="367"/>
      <c r="C283" s="367"/>
      <c r="D283" s="367"/>
      <c r="E283" s="367"/>
      <c r="F283" s="367"/>
      <c r="G283" s="367"/>
    </row>
    <row r="284" spans="1:7" ht="12">
      <c r="A284" s="367"/>
      <c r="B284" s="367"/>
      <c r="C284" s="367"/>
      <c r="D284" s="367"/>
      <c r="E284" s="367"/>
      <c r="F284" s="367"/>
      <c r="G284" s="367"/>
    </row>
    <row r="285" spans="1:7" ht="12">
      <c r="A285" s="367"/>
      <c r="B285" s="367"/>
      <c r="C285" s="367"/>
      <c r="D285" s="367"/>
      <c r="E285" s="367"/>
      <c r="F285" s="367"/>
      <c r="G285" s="367"/>
    </row>
    <row r="286" spans="1:7" ht="12">
      <c r="A286" s="367"/>
      <c r="B286" s="367"/>
      <c r="C286" s="367"/>
      <c r="D286" s="367"/>
      <c r="E286" s="367"/>
      <c r="F286" s="367"/>
      <c r="G286" s="367"/>
    </row>
    <row r="287" spans="1:7" ht="12">
      <c r="A287" s="367"/>
      <c r="B287" s="367"/>
      <c r="C287" s="367"/>
      <c r="D287" s="367"/>
      <c r="E287" s="367"/>
      <c r="F287" s="367"/>
      <c r="G287" s="367"/>
    </row>
    <row r="288" spans="1:7" ht="12">
      <c r="A288" s="367"/>
      <c r="B288" s="367"/>
      <c r="C288" s="367"/>
      <c r="D288" s="367"/>
      <c r="E288" s="367"/>
      <c r="F288" s="367"/>
      <c r="G288" s="367"/>
    </row>
    <row r="289" spans="1:7" ht="12">
      <c r="A289" s="367"/>
      <c r="B289" s="367"/>
      <c r="C289" s="367"/>
      <c r="D289" s="367"/>
      <c r="E289" s="367"/>
      <c r="F289" s="367"/>
      <c r="G289" s="367"/>
    </row>
    <row r="290" spans="1:7" ht="12">
      <c r="A290" s="367"/>
      <c r="B290" s="367"/>
      <c r="C290" s="367"/>
      <c r="D290" s="367"/>
      <c r="E290" s="367"/>
      <c r="F290" s="367"/>
      <c r="G290" s="367"/>
    </row>
    <row r="291" spans="1:7" ht="12">
      <c r="A291" s="367"/>
      <c r="B291" s="367"/>
      <c r="C291" s="367"/>
      <c r="D291" s="367"/>
      <c r="E291" s="367"/>
      <c r="F291" s="367"/>
      <c r="G291" s="367"/>
    </row>
    <row r="292" spans="1:7" ht="12">
      <c r="A292" s="367"/>
      <c r="B292" s="367"/>
      <c r="C292" s="367"/>
      <c r="D292" s="367"/>
      <c r="E292" s="367"/>
      <c r="F292" s="367"/>
      <c r="G292" s="367"/>
    </row>
    <row r="293" spans="1:7" ht="12">
      <c r="A293" s="367"/>
      <c r="B293" s="367"/>
      <c r="C293" s="367"/>
      <c r="D293" s="367"/>
      <c r="E293" s="367"/>
      <c r="F293" s="367"/>
      <c r="G293" s="367"/>
    </row>
    <row r="294" spans="1:7" ht="12">
      <c r="A294" s="367"/>
      <c r="B294" s="367"/>
      <c r="C294" s="367"/>
      <c r="D294" s="367"/>
      <c r="E294" s="367"/>
      <c r="F294" s="367"/>
      <c r="G294" s="367"/>
    </row>
    <row r="295" spans="1:7" ht="12">
      <c r="A295" s="367"/>
      <c r="B295" s="367"/>
      <c r="C295" s="367"/>
      <c r="D295" s="367"/>
      <c r="E295" s="367"/>
      <c r="F295" s="367"/>
      <c r="G295" s="367"/>
    </row>
    <row r="296" spans="1:7" ht="12">
      <c r="A296" s="367"/>
      <c r="B296" s="367"/>
      <c r="C296" s="367"/>
      <c r="D296" s="367"/>
      <c r="E296" s="367"/>
      <c r="F296" s="367"/>
      <c r="G296" s="367"/>
    </row>
    <row r="297" spans="1:7" ht="12">
      <c r="A297" s="367"/>
      <c r="B297" s="367"/>
      <c r="C297" s="367"/>
      <c r="D297" s="367"/>
      <c r="E297" s="367"/>
      <c r="F297" s="367"/>
      <c r="G297" s="367"/>
    </row>
    <row r="298" spans="1:7" ht="12">
      <c r="A298" s="367"/>
      <c r="B298" s="367"/>
      <c r="C298" s="367"/>
      <c r="D298" s="367"/>
      <c r="E298" s="367"/>
      <c r="F298" s="367"/>
      <c r="G298" s="367"/>
    </row>
    <row r="299" spans="1:7" ht="12">
      <c r="A299" s="367"/>
      <c r="B299" s="367"/>
      <c r="C299" s="367"/>
      <c r="D299" s="367"/>
      <c r="E299" s="367"/>
      <c r="F299" s="367"/>
      <c r="G299" s="367"/>
    </row>
    <row r="300" spans="1:7" ht="12">
      <c r="A300" s="367"/>
      <c r="B300" s="367"/>
      <c r="C300" s="367"/>
      <c r="D300" s="367"/>
      <c r="E300" s="367"/>
      <c r="F300" s="367"/>
      <c r="G300" s="367"/>
    </row>
    <row r="301" spans="1:7" ht="12">
      <c r="A301" s="367"/>
      <c r="B301" s="367"/>
      <c r="C301" s="367"/>
      <c r="D301" s="367"/>
      <c r="E301" s="367"/>
      <c r="F301" s="367"/>
      <c r="G301" s="367"/>
    </row>
    <row r="302" spans="1:7" ht="12">
      <c r="A302" s="367"/>
      <c r="B302" s="367"/>
      <c r="C302" s="367"/>
      <c r="D302" s="367"/>
      <c r="E302" s="367"/>
      <c r="F302" s="367"/>
      <c r="G302" s="367"/>
    </row>
    <row r="303" spans="1:7" ht="12">
      <c r="A303" s="367"/>
      <c r="B303" s="367"/>
      <c r="C303" s="367"/>
      <c r="D303" s="367"/>
      <c r="E303" s="367"/>
      <c r="F303" s="367"/>
      <c r="G303" s="367"/>
    </row>
    <row r="304" spans="1:7" ht="12">
      <c r="A304" s="367"/>
      <c r="B304" s="367"/>
      <c r="C304" s="367"/>
      <c r="D304" s="367"/>
      <c r="E304" s="367"/>
      <c r="F304" s="367"/>
      <c r="G304" s="367"/>
    </row>
    <row r="305" spans="1:7" ht="12">
      <c r="A305" s="367"/>
      <c r="B305" s="367"/>
      <c r="C305" s="367"/>
      <c r="D305" s="367"/>
      <c r="E305" s="367"/>
      <c r="F305" s="367"/>
      <c r="G305" s="367"/>
    </row>
    <row r="306" spans="1:7" ht="12">
      <c r="A306" s="367"/>
      <c r="B306" s="367"/>
      <c r="C306" s="367"/>
      <c r="D306" s="367"/>
      <c r="E306" s="367"/>
      <c r="F306" s="367"/>
      <c r="G306" s="367"/>
    </row>
    <row r="307" spans="1:7" ht="12">
      <c r="A307" s="367"/>
      <c r="B307" s="367"/>
      <c r="C307" s="367"/>
      <c r="D307" s="367"/>
      <c r="E307" s="367"/>
      <c r="F307" s="367"/>
      <c r="G307" s="367"/>
    </row>
    <row r="308" spans="1:7" ht="12">
      <c r="A308" s="367"/>
      <c r="B308" s="367"/>
      <c r="C308" s="367"/>
      <c r="D308" s="367"/>
      <c r="E308" s="367"/>
      <c r="F308" s="367"/>
      <c r="G308" s="367"/>
    </row>
    <row r="309" spans="1:7" ht="12">
      <c r="A309" s="367"/>
      <c r="B309" s="367"/>
      <c r="C309" s="367"/>
      <c r="D309" s="367"/>
      <c r="E309" s="367"/>
      <c r="F309" s="367"/>
      <c r="G309" s="367"/>
    </row>
    <row r="310" spans="1:7" ht="12">
      <c r="A310" s="367"/>
      <c r="B310" s="367"/>
      <c r="C310" s="367"/>
      <c r="D310" s="367"/>
      <c r="E310" s="367"/>
      <c r="F310" s="367"/>
      <c r="G310" s="367"/>
    </row>
    <row r="311" spans="1:7" ht="12">
      <c r="A311" s="367"/>
      <c r="B311" s="367"/>
      <c r="C311" s="367"/>
      <c r="D311" s="367"/>
      <c r="E311" s="367"/>
      <c r="F311" s="367"/>
      <c r="G311" s="367"/>
    </row>
    <row r="312" spans="1:7" ht="12">
      <c r="A312" s="367"/>
      <c r="B312" s="367"/>
      <c r="C312" s="367"/>
      <c r="D312" s="367"/>
      <c r="E312" s="367"/>
      <c r="F312" s="367"/>
      <c r="G312" s="367"/>
    </row>
    <row r="313" spans="1:7" ht="12">
      <c r="A313" s="367"/>
      <c r="B313" s="367"/>
      <c r="C313" s="367"/>
      <c r="D313" s="367"/>
      <c r="E313" s="367"/>
      <c r="F313" s="367"/>
      <c r="G313" s="367"/>
    </row>
    <row r="314" spans="1:7" ht="12">
      <c r="A314" s="367"/>
      <c r="B314" s="367"/>
      <c r="C314" s="367"/>
      <c r="D314" s="367"/>
      <c r="E314" s="367"/>
      <c r="F314" s="367"/>
      <c r="G314" s="367"/>
    </row>
    <row r="315" spans="1:7" ht="12">
      <c r="A315" s="367"/>
      <c r="B315" s="367"/>
      <c r="C315" s="367"/>
      <c r="D315" s="367"/>
      <c r="E315" s="367"/>
      <c r="F315" s="367"/>
      <c r="G315" s="367"/>
    </row>
    <row r="316" spans="1:7" ht="12">
      <c r="A316" s="367"/>
      <c r="B316" s="367"/>
      <c r="C316" s="367"/>
      <c r="D316" s="367"/>
      <c r="E316" s="367"/>
      <c r="F316" s="367"/>
      <c r="G316" s="367"/>
    </row>
    <row r="317" spans="1:7" ht="12">
      <c r="A317" s="367"/>
      <c r="B317" s="367"/>
      <c r="C317" s="367"/>
      <c r="D317" s="367"/>
      <c r="E317" s="367"/>
      <c r="F317" s="367"/>
      <c r="G317" s="367"/>
    </row>
    <row r="318" spans="1:7" ht="12">
      <c r="A318" s="367"/>
      <c r="B318" s="367"/>
      <c r="C318" s="367"/>
      <c r="D318" s="367"/>
      <c r="E318" s="367"/>
      <c r="F318" s="367"/>
      <c r="G318" s="367"/>
    </row>
    <row r="319" spans="1:7" ht="12">
      <c r="A319" s="367"/>
      <c r="B319" s="367"/>
      <c r="C319" s="367"/>
      <c r="D319" s="367"/>
      <c r="E319" s="367"/>
      <c r="F319" s="367"/>
      <c r="G319" s="367"/>
    </row>
    <row r="320" spans="1:7" ht="12">
      <c r="A320" s="367"/>
      <c r="B320" s="367"/>
      <c r="C320" s="367"/>
      <c r="D320" s="367"/>
      <c r="E320" s="367"/>
      <c r="F320" s="367"/>
      <c r="G320" s="367"/>
    </row>
    <row r="321" spans="1:7" ht="12">
      <c r="A321" s="367"/>
      <c r="B321" s="367"/>
      <c r="C321" s="367"/>
      <c r="D321" s="367"/>
      <c r="E321" s="367"/>
      <c r="F321" s="367"/>
      <c r="G321" s="367"/>
    </row>
    <row r="322" spans="1:7" ht="12">
      <c r="A322" s="367"/>
      <c r="B322" s="367"/>
      <c r="C322" s="367"/>
      <c r="D322" s="367"/>
      <c r="E322" s="367"/>
      <c r="F322" s="367"/>
      <c r="G322" s="367"/>
    </row>
    <row r="323" spans="1:7" ht="12">
      <c r="A323" s="367"/>
      <c r="B323" s="367"/>
      <c r="C323" s="367"/>
      <c r="D323" s="367"/>
      <c r="E323" s="367"/>
      <c r="F323" s="367"/>
      <c r="G323" s="367"/>
    </row>
    <row r="324" spans="1:7" ht="12">
      <c r="A324" s="367"/>
      <c r="B324" s="367"/>
      <c r="C324" s="367"/>
      <c r="D324" s="367"/>
      <c r="E324" s="367"/>
      <c r="F324" s="367"/>
      <c r="G324" s="367"/>
    </row>
    <row r="325" spans="1:7" ht="12">
      <c r="A325" s="367"/>
      <c r="B325" s="367"/>
      <c r="C325" s="367"/>
      <c r="D325" s="367"/>
      <c r="E325" s="367"/>
      <c r="F325" s="367"/>
      <c r="G325" s="367"/>
    </row>
    <row r="326" spans="1:7" ht="12">
      <c r="A326" s="367"/>
      <c r="B326" s="367"/>
      <c r="C326" s="367"/>
      <c r="D326" s="367"/>
      <c r="E326" s="367"/>
      <c r="F326" s="367"/>
      <c r="G326" s="367"/>
    </row>
    <row r="327" spans="1:7" ht="12">
      <c r="A327" s="367"/>
      <c r="B327" s="367"/>
      <c r="C327" s="367"/>
      <c r="D327" s="367"/>
      <c r="E327" s="367"/>
      <c r="F327" s="367"/>
      <c r="G327" s="367"/>
    </row>
    <row r="328" spans="1:7" ht="12">
      <c r="A328" s="367"/>
      <c r="B328" s="367"/>
      <c r="C328" s="367"/>
      <c r="D328" s="367"/>
      <c r="E328" s="367"/>
      <c r="F328" s="367"/>
      <c r="G328" s="367"/>
    </row>
    <row r="329" spans="1:7" ht="12">
      <c r="A329" s="367"/>
      <c r="B329" s="367"/>
      <c r="C329" s="367"/>
      <c r="D329" s="367"/>
      <c r="E329" s="367"/>
      <c r="F329" s="367"/>
      <c r="G329" s="367"/>
    </row>
    <row r="330" spans="1:7" ht="12">
      <c r="A330" s="367"/>
      <c r="B330" s="367"/>
      <c r="C330" s="367"/>
      <c r="D330" s="367"/>
      <c r="E330" s="367"/>
      <c r="F330" s="367"/>
      <c r="G330" s="367"/>
    </row>
    <row r="331" spans="1:7" ht="12">
      <c r="A331" s="367"/>
      <c r="B331" s="367"/>
      <c r="C331" s="367"/>
      <c r="D331" s="367"/>
      <c r="E331" s="367"/>
      <c r="F331" s="367"/>
      <c r="G331" s="367"/>
    </row>
    <row r="332" spans="1:7" ht="12">
      <c r="A332" s="367"/>
      <c r="B332" s="367"/>
      <c r="C332" s="367"/>
      <c r="D332" s="367"/>
      <c r="E332" s="367"/>
      <c r="F332" s="367"/>
      <c r="G332" s="367"/>
    </row>
    <row r="333" spans="1:7" ht="12">
      <c r="A333" s="367"/>
      <c r="B333" s="367"/>
      <c r="C333" s="367"/>
      <c r="D333" s="367"/>
      <c r="E333" s="367"/>
      <c r="F333" s="367"/>
      <c r="G333" s="367"/>
    </row>
    <row r="334" spans="1:7" ht="12">
      <c r="A334" s="367"/>
      <c r="B334" s="367"/>
      <c r="C334" s="367"/>
      <c r="D334" s="367"/>
      <c r="E334" s="367"/>
      <c r="F334" s="367"/>
      <c r="G334" s="367"/>
    </row>
    <row r="335" spans="1:7" ht="12">
      <c r="A335" s="367"/>
      <c r="B335" s="367"/>
      <c r="C335" s="367"/>
      <c r="D335" s="367"/>
      <c r="E335" s="367"/>
      <c r="F335" s="367"/>
      <c r="G335" s="367"/>
    </row>
    <row r="336" spans="1:7" ht="12">
      <c r="A336" s="367"/>
      <c r="B336" s="367"/>
      <c r="C336" s="367"/>
      <c r="D336" s="367"/>
      <c r="E336" s="367"/>
      <c r="F336" s="367"/>
      <c r="G336" s="367"/>
    </row>
    <row r="337" spans="1:7" ht="12">
      <c r="A337" s="367"/>
      <c r="B337" s="367"/>
      <c r="C337" s="367"/>
      <c r="D337" s="367"/>
      <c r="E337" s="367"/>
      <c r="F337" s="367"/>
      <c r="G337" s="367"/>
    </row>
    <row r="338" spans="1:7" ht="12">
      <c r="A338" s="367"/>
      <c r="B338" s="367"/>
      <c r="C338" s="367"/>
      <c r="D338" s="367"/>
      <c r="E338" s="367"/>
      <c r="F338" s="367"/>
      <c r="G338" s="367"/>
    </row>
    <row r="339" spans="1:7" ht="12">
      <c r="A339" s="367"/>
      <c r="B339" s="367"/>
      <c r="C339" s="367"/>
      <c r="D339" s="367"/>
      <c r="E339" s="367"/>
      <c r="F339" s="367"/>
      <c r="G339" s="367"/>
    </row>
    <row r="340" spans="1:7" ht="12">
      <c r="A340" s="367"/>
      <c r="B340" s="367"/>
      <c r="C340" s="367"/>
      <c r="D340" s="367"/>
      <c r="E340" s="367"/>
      <c r="F340" s="367"/>
      <c r="G340" s="367"/>
    </row>
    <row r="341" spans="1:7" ht="12">
      <c r="A341" s="367"/>
      <c r="B341" s="367"/>
      <c r="C341" s="367"/>
      <c r="D341" s="367"/>
      <c r="E341" s="367"/>
      <c r="F341" s="367"/>
      <c r="G341" s="367"/>
    </row>
    <row r="342" spans="1:7" ht="12">
      <c r="A342" s="367"/>
      <c r="B342" s="367"/>
      <c r="C342" s="367"/>
      <c r="D342" s="367"/>
      <c r="E342" s="367"/>
      <c r="F342" s="367"/>
      <c r="G342" s="367"/>
    </row>
    <row r="343" spans="1:7" ht="12">
      <c r="A343" s="367"/>
      <c r="B343" s="367"/>
      <c r="C343" s="367"/>
      <c r="D343" s="367"/>
      <c r="E343" s="367"/>
      <c r="F343" s="367"/>
      <c r="G343" s="367"/>
    </row>
    <row r="344" spans="1:7" ht="12">
      <c r="A344" s="367"/>
      <c r="B344" s="367"/>
      <c r="C344" s="367"/>
      <c r="D344" s="367"/>
      <c r="E344" s="367"/>
      <c r="F344" s="367"/>
      <c r="G344" s="367"/>
    </row>
    <row r="345" spans="1:7" ht="12">
      <c r="A345" s="367"/>
      <c r="B345" s="367"/>
      <c r="C345" s="367"/>
      <c r="D345" s="367"/>
      <c r="E345" s="367"/>
      <c r="F345" s="367"/>
      <c r="G345" s="367"/>
    </row>
    <row r="346" spans="1:7" ht="12">
      <c r="A346" s="367"/>
      <c r="B346" s="367"/>
      <c r="C346" s="367"/>
      <c r="D346" s="367"/>
      <c r="E346" s="367"/>
      <c r="F346" s="367"/>
      <c r="G346" s="367"/>
    </row>
    <row r="347" spans="1:7" ht="12">
      <c r="A347" s="367"/>
      <c r="B347" s="367"/>
      <c r="C347" s="367"/>
      <c r="D347" s="367"/>
      <c r="E347" s="367"/>
      <c r="F347" s="367"/>
      <c r="G347" s="367"/>
    </row>
    <row r="348" spans="1:7" ht="12">
      <c r="A348" s="367"/>
      <c r="B348" s="367"/>
      <c r="C348" s="367"/>
      <c r="D348" s="367"/>
      <c r="E348" s="367"/>
      <c r="F348" s="367"/>
      <c r="G348" s="367"/>
    </row>
    <row r="349" spans="1:7" ht="12">
      <c r="A349" s="367"/>
      <c r="B349" s="367"/>
      <c r="C349" s="367"/>
      <c r="D349" s="367"/>
      <c r="E349" s="367"/>
      <c r="F349" s="367"/>
      <c r="G349" s="367"/>
    </row>
    <row r="350" spans="1:7" ht="12">
      <c r="A350" s="367"/>
      <c r="B350" s="367"/>
      <c r="C350" s="367"/>
      <c r="D350" s="367"/>
      <c r="E350" s="367"/>
      <c r="F350" s="367"/>
      <c r="G350" s="367"/>
    </row>
    <row r="351" spans="1:7" ht="12">
      <c r="A351" s="367"/>
      <c r="B351" s="367"/>
      <c r="C351" s="367"/>
      <c r="D351" s="367"/>
      <c r="E351" s="367"/>
      <c r="F351" s="367"/>
      <c r="G351" s="367"/>
    </row>
    <row r="352" spans="1:7" ht="12">
      <c r="A352" s="367"/>
      <c r="B352" s="367"/>
      <c r="C352" s="367"/>
      <c r="D352" s="367"/>
      <c r="E352" s="367"/>
      <c r="F352" s="367"/>
      <c r="G352" s="367"/>
    </row>
    <row r="353" spans="1:7" ht="12">
      <c r="A353" s="367"/>
      <c r="B353" s="367"/>
      <c r="C353" s="367"/>
      <c r="D353" s="367"/>
      <c r="E353" s="367"/>
      <c r="F353" s="367"/>
      <c r="G353" s="367"/>
    </row>
    <row r="354" spans="1:7" ht="12">
      <c r="A354" s="367"/>
      <c r="B354" s="367"/>
      <c r="C354" s="367"/>
      <c r="D354" s="367"/>
      <c r="E354" s="367"/>
      <c r="F354" s="367"/>
      <c r="G354" s="367"/>
    </row>
    <row r="355" spans="1:7" ht="12">
      <c r="A355" s="367"/>
      <c r="B355" s="367"/>
      <c r="C355" s="367"/>
      <c r="D355" s="367"/>
      <c r="E355" s="367"/>
      <c r="F355" s="367"/>
      <c r="G355" s="367"/>
    </row>
    <row r="356" spans="1:7" ht="12">
      <c r="A356" s="367"/>
      <c r="B356" s="367"/>
      <c r="C356" s="367"/>
      <c r="D356" s="367"/>
      <c r="E356" s="367"/>
      <c r="F356" s="367"/>
      <c r="G356" s="367"/>
    </row>
    <row r="357" spans="1:7" ht="12">
      <c r="A357" s="367"/>
      <c r="B357" s="367"/>
      <c r="C357" s="367"/>
      <c r="D357" s="367"/>
      <c r="E357" s="367"/>
      <c r="F357" s="367"/>
      <c r="G357" s="367"/>
    </row>
    <row r="358" spans="1:7" ht="12">
      <c r="A358" s="367"/>
      <c r="B358" s="367"/>
      <c r="C358" s="367"/>
      <c r="D358" s="367"/>
      <c r="E358" s="367"/>
      <c r="F358" s="367"/>
      <c r="G358" s="367"/>
    </row>
    <row r="359" spans="1:7" ht="12">
      <c r="A359" s="367"/>
      <c r="B359" s="367"/>
      <c r="C359" s="367"/>
      <c r="D359" s="367"/>
      <c r="E359" s="367"/>
      <c r="F359" s="367"/>
      <c r="G359" s="367"/>
    </row>
    <row r="360" spans="1:7" ht="12">
      <c r="A360" s="367"/>
      <c r="B360" s="367"/>
      <c r="C360" s="367"/>
      <c r="D360" s="367"/>
      <c r="E360" s="367"/>
      <c r="F360" s="367"/>
      <c r="G360" s="367"/>
    </row>
    <row r="361" spans="1:7" ht="12">
      <c r="A361" s="367"/>
      <c r="B361" s="367"/>
      <c r="C361" s="367"/>
      <c r="D361" s="367"/>
      <c r="E361" s="367"/>
      <c r="F361" s="367"/>
      <c r="G361" s="367"/>
    </row>
    <row r="362" spans="1:7" ht="12">
      <c r="A362" s="367"/>
      <c r="B362" s="367"/>
      <c r="C362" s="367"/>
      <c r="D362" s="367"/>
      <c r="E362" s="367"/>
      <c r="F362" s="367"/>
      <c r="G362" s="367"/>
    </row>
    <row r="363" spans="1:7" ht="12">
      <c r="A363" s="367"/>
      <c r="B363" s="367"/>
      <c r="C363" s="367"/>
      <c r="D363" s="367"/>
      <c r="E363" s="367"/>
      <c r="F363" s="367"/>
      <c r="G363" s="367"/>
    </row>
    <row r="364" spans="1:7" ht="12">
      <c r="A364" s="367"/>
      <c r="B364" s="367"/>
      <c r="C364" s="367"/>
      <c r="D364" s="367"/>
      <c r="E364" s="367"/>
      <c r="F364" s="367"/>
      <c r="G364" s="367"/>
    </row>
    <row r="365" spans="1:7" ht="12">
      <c r="A365" s="367"/>
      <c r="B365" s="367"/>
      <c r="C365" s="367"/>
      <c r="D365" s="367"/>
      <c r="E365" s="367"/>
      <c r="F365" s="367"/>
      <c r="G365" s="367"/>
    </row>
    <row r="366" spans="1:7" ht="12">
      <c r="A366" s="367"/>
      <c r="B366" s="367"/>
      <c r="C366" s="367"/>
      <c r="D366" s="367"/>
      <c r="E366" s="367"/>
      <c r="F366" s="367"/>
      <c r="G366" s="367"/>
    </row>
    <row r="367" spans="1:7" ht="12">
      <c r="A367" s="367"/>
      <c r="B367" s="367"/>
      <c r="C367" s="367"/>
      <c r="D367" s="367"/>
      <c r="E367" s="367"/>
      <c r="F367" s="367"/>
      <c r="G367" s="367"/>
    </row>
    <row r="368" spans="1:7" ht="12">
      <c r="A368" s="367"/>
      <c r="B368" s="367"/>
      <c r="C368" s="367"/>
      <c r="D368" s="367"/>
      <c r="E368" s="367"/>
      <c r="F368" s="367"/>
      <c r="G368" s="367"/>
    </row>
    <row r="369" spans="1:7" ht="12">
      <c r="A369" s="367"/>
      <c r="B369" s="367"/>
      <c r="C369" s="367"/>
      <c r="D369" s="367"/>
      <c r="E369" s="367"/>
      <c r="F369" s="367"/>
      <c r="G369" s="367"/>
    </row>
    <row r="370" spans="1:7" ht="12">
      <c r="A370" s="367"/>
      <c r="B370" s="367"/>
      <c r="C370" s="367"/>
      <c r="D370" s="367"/>
      <c r="E370" s="367"/>
      <c r="F370" s="367"/>
      <c r="G370" s="367"/>
    </row>
    <row r="371" spans="1:7" ht="12">
      <c r="A371" s="367"/>
      <c r="B371" s="367"/>
      <c r="C371" s="367"/>
      <c r="D371" s="367"/>
      <c r="E371" s="367"/>
      <c r="F371" s="367"/>
      <c r="G371" s="367"/>
    </row>
    <row r="372" spans="1:7" ht="12">
      <c r="A372" s="367"/>
      <c r="B372" s="367"/>
      <c r="C372" s="367"/>
      <c r="D372" s="367"/>
      <c r="E372" s="367"/>
      <c r="F372" s="367"/>
      <c r="G372" s="367"/>
    </row>
    <row r="373" spans="1:7" ht="12">
      <c r="A373" s="367"/>
      <c r="B373" s="367"/>
      <c r="C373" s="367"/>
      <c r="D373" s="367"/>
      <c r="E373" s="367"/>
      <c r="F373" s="367"/>
      <c r="G373" s="367"/>
    </row>
    <row r="374" spans="1:7" ht="12">
      <c r="A374" s="367"/>
      <c r="B374" s="367"/>
      <c r="C374" s="367"/>
      <c r="D374" s="367"/>
      <c r="E374" s="367"/>
      <c r="F374" s="367"/>
      <c r="G374" s="367"/>
    </row>
    <row r="375" spans="1:7" ht="12">
      <c r="A375" s="367"/>
      <c r="B375" s="367"/>
      <c r="C375" s="367"/>
      <c r="D375" s="367"/>
      <c r="E375" s="367"/>
      <c r="F375" s="367"/>
      <c r="G375" s="367"/>
    </row>
    <row r="376" spans="1:7" ht="12">
      <c r="A376" s="367"/>
      <c r="B376" s="367"/>
      <c r="C376" s="367"/>
      <c r="D376" s="367"/>
      <c r="E376" s="367"/>
      <c r="F376" s="367"/>
      <c r="G376" s="367"/>
    </row>
    <row r="377" spans="1:7" ht="12">
      <c r="A377" s="367"/>
      <c r="B377" s="367"/>
      <c r="C377" s="367"/>
      <c r="D377" s="367"/>
      <c r="E377" s="367"/>
      <c r="F377" s="367"/>
      <c r="G377" s="367"/>
    </row>
    <row r="378" spans="1:7" ht="12">
      <c r="A378" s="367"/>
      <c r="B378" s="367"/>
      <c r="C378" s="367"/>
      <c r="D378" s="367"/>
      <c r="E378" s="367"/>
      <c r="F378" s="367"/>
      <c r="G378" s="367"/>
    </row>
    <row r="379" spans="1:7" ht="12">
      <c r="A379" s="367"/>
      <c r="B379" s="367"/>
      <c r="C379" s="367"/>
      <c r="D379" s="367"/>
      <c r="E379" s="367"/>
      <c r="F379" s="367"/>
      <c r="G379" s="367"/>
    </row>
    <row r="380" spans="1:7" ht="12">
      <c r="A380" s="367"/>
      <c r="B380" s="367"/>
      <c r="C380" s="367"/>
      <c r="D380" s="367"/>
      <c r="E380" s="367"/>
      <c r="F380" s="367"/>
      <c r="G380" s="367"/>
    </row>
    <row r="381" spans="1:7" ht="12">
      <c r="A381" s="367"/>
      <c r="B381" s="367"/>
      <c r="C381" s="367"/>
      <c r="D381" s="367"/>
      <c r="E381" s="367"/>
      <c r="F381" s="367"/>
      <c r="G381" s="367"/>
    </row>
    <row r="382" spans="1:7" ht="12">
      <c r="A382" s="367"/>
      <c r="B382" s="367"/>
      <c r="C382" s="367"/>
      <c r="D382" s="367"/>
      <c r="E382" s="367"/>
      <c r="F382" s="367"/>
      <c r="G382" s="367"/>
    </row>
    <row r="383" spans="1:7" ht="12">
      <c r="A383" s="367"/>
      <c r="B383" s="367"/>
      <c r="C383" s="367"/>
      <c r="D383" s="367"/>
      <c r="E383" s="367"/>
      <c r="F383" s="367"/>
      <c r="G383" s="367"/>
    </row>
    <row r="384" spans="1:7" ht="12">
      <c r="A384" s="367"/>
      <c r="B384" s="367"/>
      <c r="C384" s="367"/>
      <c r="D384" s="367"/>
      <c r="E384" s="367"/>
      <c r="F384" s="367"/>
      <c r="G384" s="367"/>
    </row>
    <row r="385" spans="1:7" ht="12">
      <c r="A385" s="367"/>
      <c r="B385" s="367"/>
      <c r="C385" s="367"/>
      <c r="D385" s="367"/>
      <c r="E385" s="367"/>
      <c r="F385" s="367"/>
      <c r="G385" s="367"/>
    </row>
    <row r="386" spans="1:7" ht="12">
      <c r="A386" s="367"/>
      <c r="B386" s="367"/>
      <c r="C386" s="367"/>
      <c r="D386" s="367"/>
      <c r="E386" s="367"/>
      <c r="F386" s="367"/>
      <c r="G386" s="367"/>
    </row>
    <row r="387" spans="1:7" ht="12">
      <c r="A387" s="367"/>
      <c r="B387" s="367"/>
      <c r="C387" s="367"/>
      <c r="D387" s="367"/>
      <c r="E387" s="367"/>
      <c r="F387" s="367"/>
      <c r="G387" s="367"/>
    </row>
    <row r="388" spans="1:7" ht="12">
      <c r="A388" s="367"/>
      <c r="B388" s="367"/>
      <c r="C388" s="367"/>
      <c r="D388" s="367"/>
      <c r="E388" s="367"/>
      <c r="F388" s="367"/>
      <c r="G388" s="367"/>
    </row>
    <row r="389" spans="1:7" ht="12">
      <c r="A389" s="367"/>
      <c r="B389" s="367"/>
      <c r="C389" s="367"/>
      <c r="D389" s="367"/>
      <c r="E389" s="367"/>
      <c r="F389" s="367"/>
      <c r="G389" s="367"/>
    </row>
    <row r="390" spans="1:7" ht="12">
      <c r="A390" s="367"/>
      <c r="B390" s="367"/>
      <c r="C390" s="367"/>
      <c r="D390" s="367"/>
      <c r="E390" s="367"/>
      <c r="F390" s="367"/>
      <c r="G390" s="367"/>
    </row>
    <row r="391" spans="1:7" ht="12">
      <c r="A391" s="367"/>
      <c r="B391" s="367"/>
      <c r="C391" s="367"/>
      <c r="D391" s="367"/>
      <c r="E391" s="367"/>
      <c r="F391" s="367"/>
      <c r="G391" s="367"/>
    </row>
    <row r="392" spans="1:7" ht="12">
      <c r="A392" s="367"/>
      <c r="B392" s="367"/>
      <c r="C392" s="367"/>
      <c r="D392" s="367"/>
      <c r="E392" s="367"/>
      <c r="F392" s="367"/>
      <c r="G392" s="367"/>
    </row>
    <row r="393" spans="1:7" ht="12">
      <c r="A393" s="367"/>
      <c r="B393" s="367"/>
      <c r="C393" s="367"/>
      <c r="D393" s="367"/>
      <c r="E393" s="367"/>
      <c r="F393" s="367"/>
      <c r="G393" s="367"/>
    </row>
    <row r="394" spans="1:7" ht="12">
      <c r="A394" s="367"/>
      <c r="B394" s="367"/>
      <c r="C394" s="367"/>
      <c r="D394" s="367"/>
      <c r="E394" s="367"/>
      <c r="F394" s="367"/>
      <c r="G394" s="367"/>
    </row>
    <row r="395" spans="1:7" ht="12">
      <c r="A395" s="367"/>
      <c r="B395" s="367"/>
      <c r="C395" s="367"/>
      <c r="D395" s="367"/>
      <c r="E395" s="367"/>
      <c r="F395" s="367"/>
      <c r="G395" s="367"/>
    </row>
    <row r="396" spans="1:7" ht="12">
      <c r="A396" s="367"/>
      <c r="B396" s="367"/>
      <c r="C396" s="367"/>
      <c r="D396" s="367"/>
      <c r="E396" s="367"/>
      <c r="F396" s="367"/>
      <c r="G396" s="367"/>
    </row>
    <row r="397" spans="1:7" ht="12">
      <c r="A397" s="367"/>
      <c r="B397" s="367"/>
      <c r="C397" s="367"/>
      <c r="D397" s="367"/>
      <c r="E397" s="367"/>
      <c r="F397" s="367"/>
      <c r="G397" s="367"/>
    </row>
    <row r="398" spans="1:7" ht="12">
      <c r="A398" s="367"/>
      <c r="B398" s="367"/>
      <c r="C398" s="367"/>
      <c r="D398" s="367"/>
      <c r="E398" s="367"/>
      <c r="F398" s="367"/>
      <c r="G398" s="367"/>
    </row>
    <row r="399" spans="1:7" ht="12">
      <c r="A399" s="367"/>
      <c r="B399" s="367"/>
      <c r="C399" s="367"/>
      <c r="D399" s="367"/>
      <c r="E399" s="367"/>
      <c r="F399" s="367"/>
      <c r="G399" s="367"/>
    </row>
    <row r="400" spans="1:7" ht="12">
      <c r="A400" s="367"/>
      <c r="B400" s="367"/>
      <c r="C400" s="367"/>
      <c r="D400" s="367"/>
      <c r="E400" s="367"/>
      <c r="F400" s="367"/>
      <c r="G400" s="367"/>
    </row>
    <row r="401" spans="1:7" ht="12">
      <c r="A401" s="367"/>
      <c r="B401" s="367"/>
      <c r="C401" s="367"/>
      <c r="D401" s="367"/>
      <c r="E401" s="367"/>
      <c r="F401" s="367"/>
      <c r="G401" s="367"/>
    </row>
    <row r="402" spans="1:7" ht="12">
      <c r="A402" s="367"/>
      <c r="B402" s="367"/>
      <c r="C402" s="367"/>
      <c r="D402" s="367"/>
      <c r="E402" s="367"/>
      <c r="F402" s="367"/>
      <c r="G402" s="367"/>
    </row>
    <row r="403" spans="1:7" ht="12">
      <c r="A403" s="367"/>
      <c r="B403" s="367"/>
      <c r="C403" s="367"/>
      <c r="D403" s="367"/>
      <c r="E403" s="367"/>
      <c r="F403" s="367"/>
      <c r="G403" s="367"/>
    </row>
    <row r="404" spans="1:7" ht="12">
      <c r="A404" s="367"/>
      <c r="B404" s="367"/>
      <c r="C404" s="367"/>
      <c r="D404" s="367"/>
      <c r="E404" s="367"/>
      <c r="F404" s="367"/>
      <c r="G404" s="367"/>
    </row>
    <row r="405" spans="1:7" ht="12">
      <c r="A405" s="367"/>
      <c r="B405" s="367"/>
      <c r="C405" s="367"/>
      <c r="D405" s="367"/>
      <c r="E405" s="367"/>
      <c r="F405" s="367"/>
      <c r="G405" s="367"/>
    </row>
    <row r="406" spans="1:7" ht="12">
      <c r="A406" s="367"/>
      <c r="B406" s="367"/>
      <c r="C406" s="367"/>
      <c r="D406" s="367"/>
      <c r="E406" s="367"/>
      <c r="F406" s="367"/>
      <c r="G406" s="367"/>
    </row>
    <row r="407" spans="1:7" ht="12">
      <c r="A407" s="367"/>
      <c r="B407" s="367"/>
      <c r="C407" s="367"/>
      <c r="D407" s="367"/>
      <c r="E407" s="367"/>
      <c r="F407" s="367"/>
      <c r="G407" s="367"/>
    </row>
    <row r="408" spans="1:7" ht="12">
      <c r="A408" s="367"/>
      <c r="B408" s="367"/>
      <c r="C408" s="367"/>
      <c r="D408" s="367"/>
      <c r="E408" s="367"/>
      <c r="F408" s="367"/>
      <c r="G408" s="367"/>
    </row>
    <row r="409" spans="1:7" ht="12">
      <c r="A409" s="367"/>
      <c r="B409" s="367"/>
      <c r="C409" s="367"/>
      <c r="D409" s="367"/>
      <c r="E409" s="367"/>
      <c r="F409" s="367"/>
      <c r="G409" s="367"/>
    </row>
    <row r="410" spans="1:7" ht="12">
      <c r="A410" s="367"/>
      <c r="B410" s="367"/>
      <c r="C410" s="367"/>
      <c r="D410" s="367"/>
      <c r="E410" s="367"/>
      <c r="F410" s="367"/>
      <c r="G410" s="367"/>
    </row>
    <row r="411" spans="1:7" ht="12">
      <c r="A411" s="367"/>
      <c r="B411" s="367"/>
      <c r="C411" s="367"/>
      <c r="D411" s="367"/>
      <c r="E411" s="367"/>
      <c r="F411" s="367"/>
      <c r="G411" s="367"/>
    </row>
    <row r="412" spans="1:7" ht="12">
      <c r="A412" s="367"/>
      <c r="B412" s="367"/>
      <c r="C412" s="367"/>
      <c r="D412" s="367"/>
      <c r="E412" s="367"/>
      <c r="F412" s="367"/>
      <c r="G412" s="367"/>
    </row>
    <row r="413" spans="1:7" ht="12">
      <c r="A413" s="367"/>
      <c r="B413" s="367"/>
      <c r="C413" s="367"/>
      <c r="D413" s="367"/>
      <c r="E413" s="367"/>
      <c r="F413" s="367"/>
      <c r="G413" s="367"/>
    </row>
    <row r="414" spans="1:7" ht="12">
      <c r="A414" s="367"/>
      <c r="B414" s="367"/>
      <c r="C414" s="367"/>
      <c r="D414" s="367"/>
      <c r="E414" s="367"/>
      <c r="F414" s="367"/>
      <c r="G414" s="367"/>
    </row>
    <row r="415" spans="1:7" ht="12">
      <c r="A415" s="367"/>
      <c r="B415" s="367"/>
      <c r="C415" s="367"/>
      <c r="D415" s="367"/>
      <c r="E415" s="367"/>
      <c r="F415" s="367"/>
      <c r="G415" s="367"/>
    </row>
    <row r="416" spans="1:7" ht="12">
      <c r="A416" s="367"/>
      <c r="B416" s="367"/>
      <c r="C416" s="367"/>
      <c r="D416" s="367"/>
      <c r="E416" s="367"/>
      <c r="F416" s="367"/>
      <c r="G416" s="367"/>
    </row>
    <row r="417" spans="1:7" ht="12">
      <c r="A417" s="367"/>
      <c r="B417" s="367"/>
      <c r="C417" s="367"/>
      <c r="D417" s="367"/>
      <c r="E417" s="367"/>
      <c r="F417" s="367"/>
      <c r="G417" s="367"/>
    </row>
    <row r="418" spans="1:7" ht="12">
      <c r="A418" s="367"/>
      <c r="B418" s="367"/>
      <c r="C418" s="367"/>
      <c r="D418" s="367"/>
      <c r="E418" s="367"/>
      <c r="F418" s="367"/>
      <c r="G418" s="367"/>
    </row>
    <row r="419" spans="1:7" ht="12">
      <c r="A419" s="367"/>
      <c r="B419" s="367"/>
      <c r="C419" s="367"/>
      <c r="D419" s="367"/>
      <c r="E419" s="367"/>
      <c r="F419" s="367"/>
      <c r="G419" s="367"/>
    </row>
    <row r="420" spans="1:7" ht="12">
      <c r="A420" s="367"/>
      <c r="B420" s="367"/>
      <c r="C420" s="367"/>
      <c r="D420" s="367"/>
      <c r="E420" s="367"/>
      <c r="F420" s="367"/>
      <c r="G420" s="367"/>
    </row>
    <row r="421" spans="1:7" ht="12">
      <c r="A421" s="367"/>
      <c r="B421" s="367"/>
      <c r="C421" s="367"/>
      <c r="D421" s="367"/>
      <c r="E421" s="367"/>
      <c r="F421" s="367"/>
      <c r="G421" s="367"/>
    </row>
    <row r="422" spans="1:7" ht="12">
      <c r="A422" s="367"/>
      <c r="B422" s="367"/>
      <c r="C422" s="367"/>
      <c r="D422" s="367"/>
      <c r="E422" s="367"/>
      <c r="F422" s="367"/>
      <c r="G422" s="367"/>
    </row>
    <row r="423" spans="1:7" ht="12">
      <c r="A423" s="367"/>
      <c r="B423" s="367"/>
      <c r="C423" s="367"/>
      <c r="D423" s="367"/>
      <c r="E423" s="367"/>
      <c r="F423" s="367"/>
      <c r="G423" s="367"/>
    </row>
    <row r="424" spans="1:7" ht="12">
      <c r="A424" s="367"/>
      <c r="B424" s="367"/>
      <c r="C424" s="367"/>
      <c r="D424" s="367"/>
      <c r="E424" s="367"/>
      <c r="F424" s="367"/>
      <c r="G424" s="367"/>
    </row>
    <row r="425" spans="1:7" ht="12">
      <c r="A425" s="367"/>
      <c r="B425" s="367"/>
      <c r="C425" s="367"/>
      <c r="D425" s="367"/>
      <c r="E425" s="367"/>
      <c r="F425" s="367"/>
      <c r="G425" s="367"/>
    </row>
    <row r="426" spans="1:7" ht="12">
      <c r="A426" s="367"/>
      <c r="B426" s="367"/>
      <c r="C426" s="367"/>
      <c r="D426" s="367"/>
      <c r="E426" s="367"/>
      <c r="F426" s="367"/>
      <c r="G426" s="367"/>
    </row>
    <row r="427" spans="1:7" ht="12">
      <c r="A427" s="367"/>
      <c r="B427" s="367"/>
      <c r="C427" s="367"/>
      <c r="D427" s="367"/>
      <c r="E427" s="367"/>
      <c r="F427" s="367"/>
      <c r="G427" s="367"/>
    </row>
    <row r="428" spans="1:7" ht="12">
      <c r="A428" s="367"/>
      <c r="B428" s="367"/>
      <c r="C428" s="367"/>
      <c r="D428" s="367"/>
      <c r="E428" s="367"/>
      <c r="F428" s="367"/>
      <c r="G428" s="367"/>
    </row>
    <row r="429" spans="1:7" ht="12">
      <c r="A429" s="367"/>
      <c r="B429" s="367"/>
      <c r="C429" s="367"/>
      <c r="D429" s="367"/>
      <c r="E429" s="367"/>
      <c r="F429" s="367"/>
      <c r="G429" s="367"/>
    </row>
    <row r="430" spans="1:7" ht="12">
      <c r="A430" s="367"/>
      <c r="B430" s="367"/>
      <c r="C430" s="367"/>
      <c r="D430" s="367"/>
      <c r="E430" s="367"/>
      <c r="F430" s="367"/>
      <c r="G430" s="367"/>
    </row>
    <row r="431" spans="1:7" ht="12">
      <c r="A431" s="367"/>
      <c r="B431" s="367"/>
      <c r="C431" s="367"/>
      <c r="D431" s="367"/>
      <c r="E431" s="367"/>
      <c r="F431" s="367"/>
      <c r="G431" s="367"/>
    </row>
    <row r="432" spans="1:7" ht="12">
      <c r="A432" s="367"/>
      <c r="B432" s="367"/>
      <c r="C432" s="367"/>
      <c r="D432" s="367"/>
      <c r="E432" s="367"/>
      <c r="F432" s="367"/>
      <c r="G432" s="367"/>
    </row>
    <row r="433" spans="1:7" ht="12">
      <c r="A433" s="367"/>
      <c r="B433" s="367"/>
      <c r="C433" s="367"/>
      <c r="D433" s="367"/>
      <c r="E433" s="367"/>
      <c r="F433" s="367"/>
      <c r="G433" s="367"/>
    </row>
    <row r="434" spans="1:7" ht="12">
      <c r="A434" s="367"/>
      <c r="B434" s="367"/>
      <c r="C434" s="367"/>
      <c r="D434" s="367"/>
      <c r="E434" s="367"/>
      <c r="F434" s="367"/>
      <c r="G434" s="367"/>
    </row>
  </sheetData>
  <mergeCells count="12">
    <mergeCell ref="A69:F69"/>
    <mergeCell ref="A14:F14"/>
    <mergeCell ref="A11:A12"/>
    <mergeCell ref="B11:B12"/>
    <mergeCell ref="C11:C12"/>
    <mergeCell ref="D10:D12"/>
    <mergeCell ref="E10:E12"/>
    <mergeCell ref="F10:F12"/>
    <mergeCell ref="A6:F6"/>
    <mergeCell ref="A7:F7"/>
    <mergeCell ref="A8:F8"/>
    <mergeCell ref="A10:C10"/>
  </mergeCells>
  <printOptions/>
  <pageMargins left="0.3937007874015748" right="0.3937007874015748" top="0.27" bottom="0.2" header="0.11811023622047245" footer="0.11811023622047245"/>
  <pageSetup fitToHeight="2" fitToWidth="2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I16" sqref="I1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ht="12.75">
      <c r="J1" s="367" t="s">
        <v>352</v>
      </c>
    </row>
    <row r="2" ht="12.75">
      <c r="J2" s="367" t="s">
        <v>353</v>
      </c>
    </row>
    <row r="3" ht="12.75">
      <c r="J3" s="367" t="s">
        <v>216</v>
      </c>
    </row>
    <row r="4" ht="12.75">
      <c r="J4" s="367" t="s">
        <v>712</v>
      </c>
    </row>
    <row r="5" spans="1:10" ht="16.5">
      <c r="A5" s="1064" t="s">
        <v>642</v>
      </c>
      <c r="B5" s="1064"/>
      <c r="C5" s="1064"/>
      <c r="D5" s="1064"/>
      <c r="E5" s="1064"/>
      <c r="F5" s="1064"/>
      <c r="G5" s="1064"/>
      <c r="H5" s="1064"/>
      <c r="I5" s="1064"/>
      <c r="J5" s="1064"/>
    </row>
    <row r="6" spans="1:10" ht="16.5">
      <c r="A6" s="1064" t="s">
        <v>459</v>
      </c>
      <c r="B6" s="1064"/>
      <c r="C6" s="1064"/>
      <c r="D6" s="1064"/>
      <c r="E6" s="1064"/>
      <c r="F6" s="1064"/>
      <c r="G6" s="1064"/>
      <c r="H6" s="1064"/>
      <c r="I6" s="1064"/>
      <c r="J6" s="1064"/>
    </row>
    <row r="7" spans="1:10" ht="6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K8" s="9" t="s">
        <v>624</v>
      </c>
    </row>
    <row r="9" spans="1:11" ht="15" customHeight="1">
      <c r="A9" s="957" t="s">
        <v>643</v>
      </c>
      <c r="B9" s="959" t="s">
        <v>584</v>
      </c>
      <c r="C9" s="952" t="s">
        <v>31</v>
      </c>
      <c r="D9" s="1065" t="s">
        <v>656</v>
      </c>
      <c r="E9" s="1066"/>
      <c r="F9" s="1066"/>
      <c r="G9" s="1067"/>
      <c r="H9" s="952" t="s">
        <v>592</v>
      </c>
      <c r="I9" s="952"/>
      <c r="J9" s="952" t="s">
        <v>32</v>
      </c>
      <c r="K9" s="961" t="s">
        <v>39</v>
      </c>
    </row>
    <row r="10" spans="1:11" ht="15" customHeight="1">
      <c r="A10" s="958"/>
      <c r="B10" s="960"/>
      <c r="C10" s="953"/>
      <c r="D10" s="953" t="s">
        <v>591</v>
      </c>
      <c r="E10" s="1059" t="s">
        <v>590</v>
      </c>
      <c r="F10" s="1060"/>
      <c r="G10" s="1061"/>
      <c r="H10" s="953" t="s">
        <v>591</v>
      </c>
      <c r="I10" s="953" t="s">
        <v>647</v>
      </c>
      <c r="J10" s="953"/>
      <c r="K10" s="962"/>
    </row>
    <row r="11" spans="1:11" ht="18" customHeight="1">
      <c r="A11" s="958"/>
      <c r="B11" s="960"/>
      <c r="C11" s="953"/>
      <c r="D11" s="953"/>
      <c r="E11" s="1068" t="s">
        <v>33</v>
      </c>
      <c r="F11" s="1059" t="s">
        <v>590</v>
      </c>
      <c r="G11" s="1061"/>
      <c r="H11" s="953"/>
      <c r="I11" s="953"/>
      <c r="J11" s="953"/>
      <c r="K11" s="962"/>
    </row>
    <row r="12" spans="1:11" ht="42" customHeight="1">
      <c r="A12" s="958"/>
      <c r="B12" s="960"/>
      <c r="C12" s="953"/>
      <c r="D12" s="953"/>
      <c r="E12" s="1040"/>
      <c r="F12" s="56" t="s">
        <v>30</v>
      </c>
      <c r="G12" s="56" t="s">
        <v>29</v>
      </c>
      <c r="H12" s="953"/>
      <c r="I12" s="953"/>
      <c r="J12" s="953"/>
      <c r="K12" s="962"/>
    </row>
    <row r="13" spans="1:11" ht="7.5" customHeight="1">
      <c r="A13" s="17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8">
        <v>11</v>
      </c>
    </row>
    <row r="14" spans="1:11" ht="19.5" customHeight="1">
      <c r="A14" s="152" t="s">
        <v>594</v>
      </c>
      <c r="B14" s="18" t="s">
        <v>598</v>
      </c>
      <c r="C14" s="18"/>
      <c r="D14" s="18"/>
      <c r="E14" s="18"/>
      <c r="F14" s="19" t="s">
        <v>629</v>
      </c>
      <c r="G14" s="18"/>
      <c r="H14" s="18"/>
      <c r="I14" s="18"/>
      <c r="J14" s="18"/>
      <c r="K14" s="317" t="s">
        <v>629</v>
      </c>
    </row>
    <row r="15" spans="1:11" ht="19.5" customHeight="1">
      <c r="A15" s="318"/>
      <c r="B15" s="312" t="s">
        <v>664</v>
      </c>
      <c r="C15" s="313"/>
      <c r="D15" s="313"/>
      <c r="E15" s="313"/>
      <c r="F15" s="311"/>
      <c r="G15" s="313"/>
      <c r="H15" s="313"/>
      <c r="I15" s="313"/>
      <c r="J15" s="313"/>
      <c r="K15" s="319"/>
    </row>
    <row r="16" spans="1:11" ht="39" customHeight="1">
      <c r="A16" s="325"/>
      <c r="B16" s="314" t="s">
        <v>243</v>
      </c>
      <c r="C16" s="315">
        <v>129184</v>
      </c>
      <c r="D16" s="315">
        <v>290800</v>
      </c>
      <c r="E16" s="315">
        <v>0</v>
      </c>
      <c r="F16" s="316" t="s">
        <v>629</v>
      </c>
      <c r="G16" s="315">
        <v>0</v>
      </c>
      <c r="H16" s="315">
        <v>260800</v>
      </c>
      <c r="I16" s="315">
        <v>30000</v>
      </c>
      <c r="J16" s="315">
        <f>C16+D16-H16</f>
        <v>159184</v>
      </c>
      <c r="K16" s="320" t="s">
        <v>629</v>
      </c>
    </row>
    <row r="17" spans="1:11" ht="39.75" customHeight="1">
      <c r="A17" s="326"/>
      <c r="B17" s="308" t="s">
        <v>244</v>
      </c>
      <c r="C17" s="309">
        <v>0</v>
      </c>
      <c r="D17" s="309">
        <v>155196</v>
      </c>
      <c r="E17" s="309">
        <v>0</v>
      </c>
      <c r="F17" s="310" t="s">
        <v>629</v>
      </c>
      <c r="G17" s="309">
        <v>0</v>
      </c>
      <c r="H17" s="309">
        <v>155196</v>
      </c>
      <c r="I17" s="309">
        <v>0</v>
      </c>
      <c r="J17" s="315">
        <f>C17+D17-H17</f>
        <v>0</v>
      </c>
      <c r="K17" s="321" t="s">
        <v>629</v>
      </c>
    </row>
    <row r="18" spans="1:11" s="49" customFormat="1" ht="19.5" customHeight="1" thickBot="1">
      <c r="A18" s="1062" t="s">
        <v>17</v>
      </c>
      <c r="B18" s="1063"/>
      <c r="C18" s="322">
        <f>SUM(C16:C17)</f>
        <v>129184</v>
      </c>
      <c r="D18" s="322">
        <f>SUM(D16:D17)</f>
        <v>445996</v>
      </c>
      <c r="E18" s="322">
        <f>SUM(E16:E17)</f>
        <v>0</v>
      </c>
      <c r="F18" s="323" t="s">
        <v>219</v>
      </c>
      <c r="G18" s="322">
        <f>SUM(G16:G17)</f>
        <v>0</v>
      </c>
      <c r="H18" s="322">
        <f>SUM(H16:H17)</f>
        <v>415996</v>
      </c>
      <c r="I18" s="322">
        <f>SUM(I16:I17)</f>
        <v>30000</v>
      </c>
      <c r="J18" s="322">
        <f>SUM(J16:J17)</f>
        <v>159184</v>
      </c>
      <c r="K18" s="324" t="s">
        <v>219</v>
      </c>
    </row>
    <row r="19" ht="4.5" customHeight="1"/>
    <row r="20" ht="12.75" customHeight="1">
      <c r="A20" s="57" t="s">
        <v>34</v>
      </c>
    </row>
    <row r="21" ht="14.25">
      <c r="A21" s="57" t="s">
        <v>35</v>
      </c>
    </row>
    <row r="22" ht="12.75">
      <c r="A22" s="57" t="s">
        <v>38</v>
      </c>
    </row>
    <row r="23" ht="12.75">
      <c r="A23" s="57" t="s">
        <v>51</v>
      </c>
    </row>
  </sheetData>
  <mergeCells count="16">
    <mergeCell ref="A18:B18"/>
    <mergeCell ref="H9:I9"/>
    <mergeCell ref="A5:J5"/>
    <mergeCell ref="A6:J6"/>
    <mergeCell ref="A9:A12"/>
    <mergeCell ref="B9:B12"/>
    <mergeCell ref="C9:C12"/>
    <mergeCell ref="D10:D12"/>
    <mergeCell ref="D9:G9"/>
    <mergeCell ref="E11:E12"/>
    <mergeCell ref="E10:G10"/>
    <mergeCell ref="F11:G11"/>
    <mergeCell ref="K9:K12"/>
    <mergeCell ref="H10:H12"/>
    <mergeCell ref="I10:I12"/>
    <mergeCell ref="J9:J12"/>
  </mergeCells>
  <printOptions horizontalCentered="1"/>
  <pageMargins left="0.2" right="0.51" top="1.63" bottom="0.6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workbookViewId="0" topLeftCell="D40">
      <selection activeCell="F9" sqref="F9"/>
    </sheetView>
  </sheetViews>
  <sheetFormatPr defaultColWidth="9.00390625" defaultRowHeight="12.75"/>
  <cols>
    <col min="1" max="1" width="3.00390625" style="171" customWidth="1"/>
    <col min="2" max="2" width="5.125" style="171" customWidth="1"/>
    <col min="3" max="3" width="7.25390625" style="171" customWidth="1"/>
    <col min="4" max="4" width="75.375" style="171" customWidth="1"/>
    <col min="5" max="5" width="13.00390625" style="171" customWidth="1"/>
    <col min="6" max="16384" width="9.125" style="171" customWidth="1"/>
  </cols>
  <sheetData>
    <row r="1" spans="4:5" ht="12">
      <c r="D1" s="173"/>
      <c r="E1" s="172" t="s">
        <v>556</v>
      </c>
    </row>
    <row r="2" spans="4:5" ht="12">
      <c r="D2" s="173"/>
      <c r="E2" s="172" t="s">
        <v>68</v>
      </c>
    </row>
    <row r="3" spans="4:5" ht="12">
      <c r="D3" s="173"/>
      <c r="E3" s="172" t="s">
        <v>216</v>
      </c>
    </row>
    <row r="4" spans="4:5" ht="12">
      <c r="D4" s="173"/>
      <c r="E4" s="172" t="s">
        <v>772</v>
      </c>
    </row>
    <row r="5" spans="4:5" ht="9.75">
      <c r="D5" s="173"/>
      <c r="E5" s="173"/>
    </row>
    <row r="6" spans="4:5" ht="9.75">
      <c r="D6" s="173"/>
      <c r="E6" s="173"/>
    </row>
    <row r="7" spans="4:5" ht="9.75">
      <c r="D7" s="173"/>
      <c r="E7" s="173"/>
    </row>
    <row r="8" spans="4:5" ht="18">
      <c r="D8" s="1069" t="s">
        <v>419</v>
      </c>
      <c r="E8" s="1069"/>
    </row>
    <row r="9" spans="4:5" ht="18">
      <c r="D9" s="1050" t="s">
        <v>420</v>
      </c>
      <c r="E9" s="1050"/>
    </row>
    <row r="10" spans="4:5" ht="18">
      <c r="D10" s="1069" t="s">
        <v>421</v>
      </c>
      <c r="E10" s="1069"/>
    </row>
    <row r="11" ht="9.75">
      <c r="D11" s="447"/>
    </row>
    <row r="12" spans="4:5" ht="12.75" thickBot="1">
      <c r="D12" s="448"/>
      <c r="E12" s="449" t="s">
        <v>217</v>
      </c>
    </row>
    <row r="13" spans="1:5" ht="14.25">
      <c r="A13" s="450"/>
      <c r="B13" s="451"/>
      <c r="C13" s="451"/>
      <c r="D13" s="452"/>
      <c r="E13" s="453"/>
    </row>
    <row r="14" spans="1:5" ht="14.25">
      <c r="A14" s="454" t="s">
        <v>422</v>
      </c>
      <c r="B14" s="455" t="s">
        <v>586</v>
      </c>
      <c r="C14" s="455" t="s">
        <v>587</v>
      </c>
      <c r="D14" s="456" t="s">
        <v>625</v>
      </c>
      <c r="E14" s="457" t="s">
        <v>626</v>
      </c>
    </row>
    <row r="15" spans="1:5" ht="15" thickBot="1">
      <c r="A15" s="458"/>
      <c r="B15" s="459"/>
      <c r="C15" s="459"/>
      <c r="D15" s="460"/>
      <c r="E15" s="461"/>
    </row>
    <row r="16" spans="1:5" ht="14.25">
      <c r="A16" s="462">
        <v>1</v>
      </c>
      <c r="B16" s="463">
        <v>2</v>
      </c>
      <c r="C16" s="463">
        <v>3</v>
      </c>
      <c r="D16" s="463">
        <v>4</v>
      </c>
      <c r="E16" s="464">
        <v>5</v>
      </c>
    </row>
    <row r="17" spans="1:5" ht="15.75" thickBot="1">
      <c r="A17" s="465">
        <v>1</v>
      </c>
      <c r="B17" s="466">
        <v>630</v>
      </c>
      <c r="C17" s="466">
        <v>63003</v>
      </c>
      <c r="D17" s="467" t="s">
        <v>423</v>
      </c>
      <c r="E17" s="468">
        <f>SUM(E18)</f>
        <v>1000</v>
      </c>
    </row>
    <row r="18" spans="1:5" ht="14.25">
      <c r="A18" s="469"/>
      <c r="B18" s="470"/>
      <c r="C18" s="471"/>
      <c r="D18" s="472" t="s">
        <v>424</v>
      </c>
      <c r="E18" s="473">
        <v>1000</v>
      </c>
    </row>
    <row r="19" spans="1:5" ht="14.25">
      <c r="A19" s="469"/>
      <c r="B19" s="470"/>
      <c r="C19" s="471"/>
      <c r="D19" s="474"/>
      <c r="E19" s="475"/>
    </row>
    <row r="20" spans="1:5" ht="15.75" thickBot="1">
      <c r="A20" s="476">
        <v>2</v>
      </c>
      <c r="B20" s="477">
        <v>801</v>
      </c>
      <c r="C20" s="478">
        <v>80195</v>
      </c>
      <c r="D20" s="479" t="s">
        <v>423</v>
      </c>
      <c r="E20" s="480">
        <f>SUM(E21:E22)</f>
        <v>10000</v>
      </c>
    </row>
    <row r="21" spans="1:5" ht="28.5">
      <c r="A21" s="469"/>
      <c r="B21" s="470"/>
      <c r="C21" s="470"/>
      <c r="D21" s="481" t="s">
        <v>425</v>
      </c>
      <c r="E21" s="482">
        <v>6000</v>
      </c>
    </row>
    <row r="22" spans="1:5" ht="14.25">
      <c r="A22" s="469"/>
      <c r="B22" s="470"/>
      <c r="C22" s="470"/>
      <c r="D22" s="483" t="s">
        <v>481</v>
      </c>
      <c r="E22" s="484">
        <v>4000</v>
      </c>
    </row>
    <row r="23" spans="1:5" ht="14.25">
      <c r="A23" s="469"/>
      <c r="B23" s="470"/>
      <c r="C23" s="471"/>
      <c r="D23" s="474"/>
      <c r="E23" s="485"/>
    </row>
    <row r="24" spans="1:5" ht="15.75" thickBot="1">
      <c r="A24" s="476">
        <v>3</v>
      </c>
      <c r="B24" s="477">
        <v>921</v>
      </c>
      <c r="C24" s="477">
        <v>92105</v>
      </c>
      <c r="D24" s="486" t="s">
        <v>423</v>
      </c>
      <c r="E24" s="487">
        <f>SUM(E25:E27)</f>
        <v>3000</v>
      </c>
    </row>
    <row r="25" spans="1:5" ht="14.25">
      <c r="A25" s="469"/>
      <c r="B25" s="470"/>
      <c r="C25" s="470"/>
      <c r="D25" s="483" t="s">
        <v>426</v>
      </c>
      <c r="E25" s="488">
        <v>1000</v>
      </c>
    </row>
    <row r="26" spans="1:5" ht="14.25">
      <c r="A26" s="469"/>
      <c r="B26" s="470"/>
      <c r="C26" s="470"/>
      <c r="D26" s="483" t="s">
        <v>427</v>
      </c>
      <c r="E26" s="484">
        <v>1000</v>
      </c>
    </row>
    <row r="27" spans="1:5" ht="14.25">
      <c r="A27" s="469"/>
      <c r="B27" s="470"/>
      <c r="C27" s="470"/>
      <c r="D27" s="483" t="s">
        <v>428</v>
      </c>
      <c r="E27" s="489">
        <v>1000</v>
      </c>
    </row>
    <row r="28" spans="1:5" ht="14.25">
      <c r="A28" s="469"/>
      <c r="B28" s="470"/>
      <c r="C28" s="471"/>
      <c r="D28" s="474"/>
      <c r="E28" s="490"/>
    </row>
    <row r="29" spans="1:5" ht="15.75" thickBot="1">
      <c r="A29" s="476">
        <v>4</v>
      </c>
      <c r="B29" s="477">
        <v>926</v>
      </c>
      <c r="C29" s="477">
        <v>92605</v>
      </c>
      <c r="D29" s="491" t="s">
        <v>423</v>
      </c>
      <c r="E29" s="480">
        <f>SUM(E30:E46)</f>
        <v>70000</v>
      </c>
    </row>
    <row r="30" spans="1:5" ht="14.25">
      <c r="A30" s="469"/>
      <c r="B30" s="470"/>
      <c r="C30" s="470"/>
      <c r="D30" s="492" t="s">
        <v>429</v>
      </c>
      <c r="E30" s="482">
        <v>12000</v>
      </c>
    </row>
    <row r="31" spans="1:5" ht="14.25">
      <c r="A31" s="469"/>
      <c r="B31" s="470"/>
      <c r="C31" s="470"/>
      <c r="D31" s="493" t="s">
        <v>430</v>
      </c>
      <c r="E31" s="489">
        <v>10000</v>
      </c>
    </row>
    <row r="32" spans="1:5" ht="14.25">
      <c r="A32" s="469"/>
      <c r="B32" s="470"/>
      <c r="C32" s="470"/>
      <c r="D32" s="493" t="s">
        <v>431</v>
      </c>
      <c r="E32" s="489">
        <v>5000</v>
      </c>
    </row>
    <row r="33" spans="1:5" ht="14.25">
      <c r="A33" s="469"/>
      <c r="B33" s="470"/>
      <c r="C33" s="470"/>
      <c r="D33" s="493" t="s">
        <v>432</v>
      </c>
      <c r="E33" s="489">
        <v>3000</v>
      </c>
    </row>
    <row r="34" spans="1:5" ht="28.5">
      <c r="A34" s="469"/>
      <c r="B34" s="470"/>
      <c r="C34" s="470"/>
      <c r="D34" s="494" t="s">
        <v>433</v>
      </c>
      <c r="E34" s="495">
        <v>10000</v>
      </c>
    </row>
    <row r="35" spans="1:5" ht="42.75">
      <c r="A35" s="469"/>
      <c r="B35" s="470"/>
      <c r="C35" s="470"/>
      <c r="D35" s="494" t="s">
        <v>434</v>
      </c>
      <c r="E35" s="489">
        <v>5000</v>
      </c>
    </row>
    <row r="36" spans="1:5" ht="12.75" customHeight="1">
      <c r="A36" s="469"/>
      <c r="B36" s="470"/>
      <c r="C36" s="470"/>
      <c r="D36" s="493" t="s">
        <v>435</v>
      </c>
      <c r="E36" s="489">
        <v>2000</v>
      </c>
    </row>
    <row r="37" spans="1:5" ht="14.25">
      <c r="A37" s="469"/>
      <c r="B37" s="470"/>
      <c r="C37" s="470"/>
      <c r="D37" s="494" t="s">
        <v>436</v>
      </c>
      <c r="E37" s="495">
        <v>2000</v>
      </c>
    </row>
    <row r="38" spans="1:5" ht="14.25">
      <c r="A38" s="469"/>
      <c r="B38" s="470"/>
      <c r="C38" s="470"/>
      <c r="D38" s="493" t="s">
        <v>437</v>
      </c>
      <c r="E38" s="495">
        <v>2000</v>
      </c>
    </row>
    <row r="39" spans="1:5" ht="14.25">
      <c r="A39" s="469"/>
      <c r="B39" s="470"/>
      <c r="C39" s="496"/>
      <c r="D39" s="493" t="s">
        <v>438</v>
      </c>
      <c r="E39" s="489">
        <v>4000</v>
      </c>
    </row>
    <row r="40" spans="1:5" ht="14.25">
      <c r="A40" s="469"/>
      <c r="B40" s="470"/>
      <c r="C40" s="470"/>
      <c r="D40" s="493" t="s">
        <v>439</v>
      </c>
      <c r="E40" s="489">
        <v>2000</v>
      </c>
    </row>
    <row r="41" spans="1:5" ht="14.25">
      <c r="A41" s="469"/>
      <c r="B41" s="470"/>
      <c r="C41" s="470"/>
      <c r="D41" s="493" t="s">
        <v>749</v>
      </c>
      <c r="E41" s="489">
        <v>2000</v>
      </c>
    </row>
    <row r="42" spans="1:5" ht="14.25">
      <c r="A42" s="469"/>
      <c r="B42" s="470"/>
      <c r="C42" s="470"/>
      <c r="D42" s="494" t="s">
        <v>440</v>
      </c>
      <c r="E42" s="489">
        <v>2000</v>
      </c>
    </row>
    <row r="43" spans="1:5" ht="14.25">
      <c r="A43" s="469"/>
      <c r="B43" s="470"/>
      <c r="C43" s="470"/>
      <c r="D43" s="494" t="s">
        <v>441</v>
      </c>
      <c r="E43" s="489">
        <v>2000</v>
      </c>
    </row>
    <row r="44" spans="1:5" ht="14.25">
      <c r="A44" s="469"/>
      <c r="B44" s="470"/>
      <c r="C44" s="470"/>
      <c r="D44" s="494" t="s">
        <v>442</v>
      </c>
      <c r="E44" s="489">
        <v>2000</v>
      </c>
    </row>
    <row r="45" spans="1:5" ht="15" customHeight="1">
      <c r="A45" s="469"/>
      <c r="B45" s="470"/>
      <c r="C45" s="470"/>
      <c r="D45" s="493" t="s">
        <v>443</v>
      </c>
      <c r="E45" s="489">
        <v>2000</v>
      </c>
    </row>
    <row r="46" spans="1:5" ht="42" customHeight="1">
      <c r="A46" s="469"/>
      <c r="B46" s="470"/>
      <c r="C46" s="470"/>
      <c r="D46" s="494" t="s">
        <v>444</v>
      </c>
      <c r="E46" s="489">
        <v>3000</v>
      </c>
    </row>
    <row r="47" spans="1:5" ht="15">
      <c r="A47" s="469"/>
      <c r="B47" s="470"/>
      <c r="C47" s="471"/>
      <c r="D47" s="497"/>
      <c r="E47" s="498"/>
    </row>
    <row r="48" spans="1:5" ht="15.75" thickBot="1">
      <c r="A48" s="476"/>
      <c r="B48" s="477"/>
      <c r="C48" s="477"/>
      <c r="D48" s="499" t="s">
        <v>445</v>
      </c>
      <c r="E48" s="500">
        <f>E29+E24+E20+E17</f>
        <v>84000</v>
      </c>
    </row>
    <row r="49" spans="1:3" ht="12.75">
      <c r="A49" s="176"/>
      <c r="B49" s="176"/>
      <c r="C49" s="176"/>
    </row>
  </sheetData>
  <mergeCells count="3">
    <mergeCell ref="D8:E8"/>
    <mergeCell ref="D10:E10"/>
    <mergeCell ref="D9:E9"/>
  </mergeCells>
  <printOptions/>
  <pageMargins left="0.62" right="0.3937007874015748" top="0.3937007874015748" bottom="0.3937007874015748" header="0.25" footer="0.11811023622047245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SheetLayoutView="100" workbookViewId="0" topLeftCell="A1">
      <selection activeCell="D23" sqref="D23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63.125" style="1" customWidth="1"/>
    <col min="4" max="4" width="15.00390625" style="1" customWidth="1"/>
    <col min="5" max="16384" width="9.125" style="1" customWidth="1"/>
  </cols>
  <sheetData>
    <row r="1" ht="12.75">
      <c r="D1" s="6" t="s">
        <v>354</v>
      </c>
    </row>
    <row r="2" ht="12.75">
      <c r="D2" s="6" t="s">
        <v>355</v>
      </c>
    </row>
    <row r="3" ht="12.75">
      <c r="D3" s="6" t="s">
        <v>216</v>
      </c>
    </row>
    <row r="4" ht="12.75">
      <c r="D4" s="6" t="s">
        <v>712</v>
      </c>
    </row>
    <row r="6" spans="1:11" ht="19.5" customHeight="1">
      <c r="A6" s="926" t="s">
        <v>52</v>
      </c>
      <c r="B6" s="926"/>
      <c r="C6" s="926"/>
      <c r="D6" s="926"/>
      <c r="E6" s="5"/>
      <c r="F6" s="5"/>
      <c r="G6" s="5"/>
      <c r="H6" s="5"/>
      <c r="I6" s="5"/>
      <c r="J6" s="5"/>
      <c r="K6" s="5"/>
    </row>
    <row r="7" spans="1:8" ht="19.5" customHeight="1">
      <c r="A7" s="926" t="s">
        <v>627</v>
      </c>
      <c r="B7" s="926"/>
      <c r="C7" s="926"/>
      <c r="D7" s="926"/>
      <c r="E7" s="5"/>
      <c r="F7" s="5"/>
      <c r="G7" s="5"/>
      <c r="H7" s="5"/>
    </row>
    <row r="9" ht="12.75">
      <c r="D9" s="9" t="s">
        <v>624</v>
      </c>
    </row>
    <row r="10" spans="1:11" ht="19.5" customHeight="1">
      <c r="A10" s="15" t="s">
        <v>643</v>
      </c>
      <c r="B10" s="15" t="s">
        <v>588</v>
      </c>
      <c r="C10" s="15" t="s">
        <v>584</v>
      </c>
      <c r="D10" s="15" t="s">
        <v>640</v>
      </c>
      <c r="E10" s="7"/>
      <c r="F10" s="7"/>
      <c r="G10" s="7"/>
      <c r="H10" s="7"/>
      <c r="I10" s="7"/>
      <c r="J10" s="8"/>
      <c r="K10" s="8"/>
    </row>
    <row r="11" spans="1:11" ht="19.5" customHeight="1">
      <c r="A11" s="20" t="s">
        <v>594</v>
      </c>
      <c r="B11" s="20"/>
      <c r="C11" s="29" t="s">
        <v>646</v>
      </c>
      <c r="D11" s="212">
        <v>70820</v>
      </c>
      <c r="E11" s="7"/>
      <c r="F11" s="7"/>
      <c r="G11" s="7"/>
      <c r="H11" s="7"/>
      <c r="I11" s="7"/>
      <c r="J11" s="8"/>
      <c r="K11" s="8"/>
    </row>
    <row r="12" spans="1:11" ht="19.5" customHeight="1">
      <c r="A12" s="20" t="s">
        <v>599</v>
      </c>
      <c r="B12" s="20"/>
      <c r="C12" s="29" t="s">
        <v>593</v>
      </c>
      <c r="D12" s="212">
        <f>D13+D14</f>
        <v>160200</v>
      </c>
      <c r="E12" s="7"/>
      <c r="F12" s="7"/>
      <c r="G12" s="7"/>
      <c r="H12" s="7"/>
      <c r="I12" s="7"/>
      <c r="J12" s="8"/>
      <c r="K12" s="8"/>
    </row>
    <row r="13" spans="1:11" ht="19.5" customHeight="1">
      <c r="A13" s="30" t="s">
        <v>595</v>
      </c>
      <c r="B13" s="214" t="s">
        <v>251</v>
      </c>
      <c r="C13" s="31" t="s">
        <v>247</v>
      </c>
      <c r="D13" s="210">
        <v>200</v>
      </c>
      <c r="E13" s="7"/>
      <c r="F13" s="7"/>
      <c r="G13" s="7"/>
      <c r="H13" s="7"/>
      <c r="I13" s="7"/>
      <c r="J13" s="8"/>
      <c r="K13" s="8"/>
    </row>
    <row r="14" spans="1:11" ht="19.5" customHeight="1">
      <c r="A14" s="24" t="s">
        <v>596</v>
      </c>
      <c r="B14" s="24">
        <v>2960</v>
      </c>
      <c r="C14" s="32" t="s">
        <v>246</v>
      </c>
      <c r="D14" s="211">
        <v>160000</v>
      </c>
      <c r="E14" s="7"/>
      <c r="F14" s="7"/>
      <c r="G14" s="7"/>
      <c r="H14" s="7"/>
      <c r="I14" s="7"/>
      <c r="J14" s="8"/>
      <c r="K14" s="8"/>
    </row>
    <row r="15" spans="1:11" ht="19.5" customHeight="1">
      <c r="A15" s="20" t="s">
        <v>600</v>
      </c>
      <c r="B15" s="20"/>
      <c r="C15" s="29" t="s">
        <v>592</v>
      </c>
      <c r="D15" s="212">
        <f>D16+D22</f>
        <v>231020</v>
      </c>
      <c r="E15" s="7"/>
      <c r="F15" s="7"/>
      <c r="G15" s="7"/>
      <c r="H15" s="7"/>
      <c r="I15" s="7"/>
      <c r="J15" s="8"/>
      <c r="K15" s="8"/>
    </row>
    <row r="16" spans="1:11" ht="19.5" customHeight="1">
      <c r="A16" s="22" t="s">
        <v>595</v>
      </c>
      <c r="B16" s="22"/>
      <c r="C16" s="33" t="s">
        <v>620</v>
      </c>
      <c r="D16" s="213">
        <f>SUM(D17:D21)</f>
        <v>231020</v>
      </c>
      <c r="E16" s="7"/>
      <c r="F16" s="7"/>
      <c r="G16" s="7"/>
      <c r="H16" s="7"/>
      <c r="I16" s="7"/>
      <c r="J16" s="8"/>
      <c r="K16" s="8"/>
    </row>
    <row r="17" spans="1:11" ht="19.5" customHeight="1">
      <c r="A17" s="24"/>
      <c r="B17" s="24">
        <v>2960</v>
      </c>
      <c r="C17" s="32" t="s">
        <v>246</v>
      </c>
      <c r="D17" s="211">
        <v>140813</v>
      </c>
      <c r="E17" s="7"/>
      <c r="F17" s="7"/>
      <c r="G17" s="7"/>
      <c r="H17" s="7"/>
      <c r="I17" s="7"/>
      <c r="J17" s="8"/>
      <c r="K17" s="8"/>
    </row>
    <row r="18" spans="1:11" ht="19.5" customHeight="1">
      <c r="A18" s="24"/>
      <c r="B18" s="24">
        <v>4210</v>
      </c>
      <c r="C18" s="32" t="s">
        <v>85</v>
      </c>
      <c r="D18" s="211">
        <v>65207</v>
      </c>
      <c r="E18" s="7"/>
      <c r="F18" s="7"/>
      <c r="G18" s="7"/>
      <c r="H18" s="7"/>
      <c r="I18" s="7"/>
      <c r="J18" s="8"/>
      <c r="K18" s="8"/>
    </row>
    <row r="19" spans="1:11" ht="20.25" customHeight="1">
      <c r="A19" s="24"/>
      <c r="B19" s="24">
        <v>4300</v>
      </c>
      <c r="C19" s="32" t="s">
        <v>74</v>
      </c>
      <c r="D19" s="211">
        <v>12000</v>
      </c>
      <c r="E19" s="7"/>
      <c r="F19" s="7"/>
      <c r="G19" s="7"/>
      <c r="H19" s="7"/>
      <c r="I19" s="7"/>
      <c r="J19" s="8"/>
      <c r="K19" s="8"/>
    </row>
    <row r="20" spans="1:11" ht="20.25" customHeight="1">
      <c r="A20" s="24"/>
      <c r="B20" s="24">
        <v>4700</v>
      </c>
      <c r="C20" s="32" t="s">
        <v>248</v>
      </c>
      <c r="D20" s="211">
        <v>4000</v>
      </c>
      <c r="E20" s="7"/>
      <c r="F20" s="7"/>
      <c r="G20" s="7"/>
      <c r="H20" s="7"/>
      <c r="I20" s="7"/>
      <c r="J20" s="8"/>
      <c r="K20" s="8"/>
    </row>
    <row r="21" spans="1:11" ht="20.25" customHeight="1">
      <c r="A21" s="24"/>
      <c r="B21" s="24">
        <v>4810</v>
      </c>
      <c r="C21" s="32" t="s">
        <v>139</v>
      </c>
      <c r="D21" s="211">
        <v>9000</v>
      </c>
      <c r="E21" s="7"/>
      <c r="F21" s="7"/>
      <c r="G21" s="7"/>
      <c r="H21" s="7"/>
      <c r="I21" s="7"/>
      <c r="J21" s="8"/>
      <c r="K21" s="8"/>
    </row>
    <row r="22" spans="1:11" ht="19.5" customHeight="1">
      <c r="A22" s="24" t="s">
        <v>596</v>
      </c>
      <c r="B22" s="24"/>
      <c r="C22" s="32" t="s">
        <v>622</v>
      </c>
      <c r="D22" s="211">
        <v>0</v>
      </c>
      <c r="E22" s="7"/>
      <c r="F22" s="7"/>
      <c r="G22" s="7"/>
      <c r="H22" s="7"/>
      <c r="I22" s="7"/>
      <c r="J22" s="8"/>
      <c r="K22" s="8"/>
    </row>
    <row r="23" spans="1:11" ht="19.5" customHeight="1">
      <c r="A23" s="20" t="s">
        <v>621</v>
      </c>
      <c r="B23" s="20"/>
      <c r="C23" s="29" t="s">
        <v>648</v>
      </c>
      <c r="D23" s="212">
        <f>D11+D12-D15</f>
        <v>0</v>
      </c>
      <c r="E23" s="7"/>
      <c r="F23" s="7"/>
      <c r="G23" s="7"/>
      <c r="H23" s="7"/>
      <c r="I23" s="7"/>
      <c r="J23" s="8"/>
      <c r="K23" s="8"/>
    </row>
    <row r="24" spans="1:11" ht="15">
      <c r="A24" s="7"/>
      <c r="B24" s="7"/>
      <c r="C24" s="7"/>
      <c r="D24" s="7"/>
      <c r="E24" s="7"/>
      <c r="F24" s="7"/>
      <c r="G24" s="7"/>
      <c r="H24" s="7"/>
      <c r="I24" s="7"/>
      <c r="J24" s="8"/>
      <c r="K24" s="8"/>
    </row>
    <row r="25" spans="1:11" ht="15">
      <c r="A25" s="7"/>
      <c r="B25" s="7"/>
      <c r="C25" s="7"/>
      <c r="D25" s="7"/>
      <c r="E25" s="7"/>
      <c r="F25" s="7"/>
      <c r="G25" s="7"/>
      <c r="H25" s="7"/>
      <c r="I25" s="7"/>
      <c r="J25" s="8"/>
      <c r="K25" s="8"/>
    </row>
    <row r="26" spans="1:11" ht="15">
      <c r="A26" s="7"/>
      <c r="B26" s="7"/>
      <c r="C26" s="7"/>
      <c r="D26" s="7"/>
      <c r="E26" s="7"/>
      <c r="F26" s="7"/>
      <c r="G26" s="7"/>
      <c r="H26" s="7"/>
      <c r="I26" s="7"/>
      <c r="J26" s="8"/>
      <c r="K26" s="8"/>
    </row>
    <row r="27" spans="1:11" ht="15">
      <c r="A27" s="7"/>
      <c r="B27" s="7"/>
      <c r="C27" s="7"/>
      <c r="D27" s="7"/>
      <c r="E27" s="7"/>
      <c r="F27" s="7"/>
      <c r="G27" s="7"/>
      <c r="H27" s="7"/>
      <c r="I27" s="7"/>
      <c r="J27" s="8"/>
      <c r="K27" s="8"/>
    </row>
    <row r="28" spans="1:11" ht="15">
      <c r="A28" s="7"/>
      <c r="B28" s="7"/>
      <c r="C28" s="7"/>
      <c r="D28" s="7"/>
      <c r="E28" s="7"/>
      <c r="F28" s="7"/>
      <c r="G28" s="7"/>
      <c r="H28" s="7"/>
      <c r="I28" s="7"/>
      <c r="J28" s="8"/>
      <c r="K28" s="8"/>
    </row>
    <row r="29" spans="1:11" ht="15">
      <c r="A29" s="7"/>
      <c r="B29" s="7"/>
      <c r="C29" s="7"/>
      <c r="D29" s="7"/>
      <c r="E29" s="7"/>
      <c r="F29" s="7"/>
      <c r="G29" s="7"/>
      <c r="H29" s="7"/>
      <c r="I29" s="7"/>
      <c r="J29" s="8"/>
      <c r="K29" s="8"/>
    </row>
    <row r="30" spans="1:11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</sheetData>
  <mergeCells count="2">
    <mergeCell ref="A6:D6"/>
    <mergeCell ref="A7:D7"/>
  </mergeCells>
  <printOptions horizontalCentered="1"/>
  <pageMargins left="0.5905511811023623" right="0.5905511811023623" top="0.89" bottom="0.5905511811023623" header="0.5118110236220472" footer="0.5118110236220472"/>
  <pageSetup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4">
      <selection activeCell="B28" sqref="B28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63.125" style="1" customWidth="1"/>
    <col min="4" max="4" width="17.75390625" style="1" customWidth="1"/>
    <col min="5" max="16384" width="9.125" style="1" customWidth="1"/>
  </cols>
  <sheetData>
    <row r="1" ht="12.75">
      <c r="D1" s="6" t="s">
        <v>356</v>
      </c>
    </row>
    <row r="2" ht="12.75">
      <c r="D2" s="6" t="s">
        <v>355</v>
      </c>
    </row>
    <row r="3" ht="12.75">
      <c r="D3" s="6" t="s">
        <v>216</v>
      </c>
    </row>
    <row r="4" ht="12.75">
      <c r="D4" s="6" t="s">
        <v>712</v>
      </c>
    </row>
    <row r="6" spans="1:11" ht="19.5" customHeight="1">
      <c r="A6" s="926" t="s">
        <v>52</v>
      </c>
      <c r="B6" s="926"/>
      <c r="C6" s="926"/>
      <c r="D6" s="926"/>
      <c r="E6" s="5"/>
      <c r="F6" s="5"/>
      <c r="G6" s="5"/>
      <c r="H6" s="5"/>
      <c r="I6" s="5"/>
      <c r="J6" s="5"/>
      <c r="K6" s="5"/>
    </row>
    <row r="7" spans="1:8" ht="19.5" customHeight="1">
      <c r="A7" s="926" t="s">
        <v>1</v>
      </c>
      <c r="B7" s="926"/>
      <c r="C7" s="926"/>
      <c r="D7" s="926"/>
      <c r="E7" s="5"/>
      <c r="F7" s="5"/>
      <c r="G7" s="5"/>
      <c r="H7" s="5"/>
    </row>
    <row r="8" ht="18">
      <c r="C8" s="5" t="s">
        <v>362</v>
      </c>
    </row>
    <row r="9" ht="12.75">
      <c r="D9" s="9" t="s">
        <v>624</v>
      </c>
    </row>
    <row r="10" spans="1:11" ht="19.5" customHeight="1">
      <c r="A10" s="15" t="s">
        <v>643</v>
      </c>
      <c r="B10" s="15" t="s">
        <v>588</v>
      </c>
      <c r="C10" s="15" t="s">
        <v>584</v>
      </c>
      <c r="D10" s="15" t="s">
        <v>640</v>
      </c>
      <c r="E10" s="7"/>
      <c r="F10" s="7"/>
      <c r="G10" s="7"/>
      <c r="H10" s="7"/>
      <c r="I10" s="7"/>
      <c r="J10" s="8"/>
      <c r="K10" s="8"/>
    </row>
    <row r="11" spans="1:11" ht="19.5" customHeight="1">
      <c r="A11" s="20" t="s">
        <v>594</v>
      </c>
      <c r="B11" s="20"/>
      <c r="C11" s="29" t="s">
        <v>646</v>
      </c>
      <c r="D11" s="212">
        <v>160038</v>
      </c>
      <c r="E11" s="7"/>
      <c r="F11" s="7"/>
      <c r="G11" s="7"/>
      <c r="H11" s="7"/>
      <c r="I11" s="7"/>
      <c r="J11" s="8"/>
      <c r="K11" s="8"/>
    </row>
    <row r="12" spans="1:11" ht="19.5" customHeight="1">
      <c r="A12" s="20" t="s">
        <v>599</v>
      </c>
      <c r="B12" s="20"/>
      <c r="C12" s="29" t="s">
        <v>363</v>
      </c>
      <c r="D12" s="212">
        <f>SUM(D13:D14)</f>
        <v>460000</v>
      </c>
      <c r="E12" s="7"/>
      <c r="F12" s="7"/>
      <c r="G12" s="7"/>
      <c r="H12" s="7"/>
      <c r="I12" s="7"/>
      <c r="J12" s="8"/>
      <c r="K12" s="8"/>
    </row>
    <row r="13" spans="1:11" ht="19.5" customHeight="1">
      <c r="A13" s="214" t="s">
        <v>252</v>
      </c>
      <c r="B13" s="214" t="s">
        <v>250</v>
      </c>
      <c r="C13" s="31" t="s">
        <v>245</v>
      </c>
      <c r="D13" s="210">
        <v>450000</v>
      </c>
      <c r="E13" s="7"/>
      <c r="F13" s="7"/>
      <c r="G13" s="7"/>
      <c r="H13" s="7"/>
      <c r="I13" s="7"/>
      <c r="J13" s="8"/>
      <c r="K13" s="8"/>
    </row>
    <row r="14" spans="1:11" ht="19.5" customHeight="1">
      <c r="A14" s="215" t="s">
        <v>253</v>
      </c>
      <c r="B14" s="215" t="s">
        <v>251</v>
      </c>
      <c r="C14" s="32" t="s">
        <v>247</v>
      </c>
      <c r="D14" s="211">
        <v>10000</v>
      </c>
      <c r="E14" s="7"/>
      <c r="F14" s="7"/>
      <c r="G14" s="7"/>
      <c r="H14" s="7"/>
      <c r="I14" s="7"/>
      <c r="J14" s="8"/>
      <c r="K14" s="8"/>
    </row>
    <row r="15" spans="1:11" ht="19.5" customHeight="1">
      <c r="A15" s="20" t="s">
        <v>600</v>
      </c>
      <c r="B15" s="20"/>
      <c r="C15" s="29" t="s">
        <v>364</v>
      </c>
      <c r="D15" s="212">
        <f>D16+D26</f>
        <v>610000</v>
      </c>
      <c r="E15" s="7"/>
      <c r="F15" s="7"/>
      <c r="G15" s="7"/>
      <c r="H15" s="7"/>
      <c r="I15" s="7"/>
      <c r="J15" s="8"/>
      <c r="K15" s="8"/>
    </row>
    <row r="16" spans="1:11" ht="19.5" customHeight="1">
      <c r="A16" s="22" t="s">
        <v>595</v>
      </c>
      <c r="B16" s="22"/>
      <c r="C16" s="33" t="s">
        <v>365</v>
      </c>
      <c r="D16" s="213">
        <f>SUM(D17:D25)</f>
        <v>553000</v>
      </c>
      <c r="E16" s="7"/>
      <c r="F16" s="7"/>
      <c r="G16" s="7"/>
      <c r="H16" s="7"/>
      <c r="I16" s="7"/>
      <c r="J16" s="8"/>
      <c r="K16" s="8"/>
    </row>
    <row r="17" spans="1:11" ht="15" customHeight="1">
      <c r="A17" s="24"/>
      <c r="B17" s="24">
        <v>2960</v>
      </c>
      <c r="C17" s="32" t="s">
        <v>246</v>
      </c>
      <c r="D17" s="211">
        <v>93000</v>
      </c>
      <c r="E17" s="7"/>
      <c r="F17" s="7"/>
      <c r="G17" s="7"/>
      <c r="H17" s="7"/>
      <c r="I17" s="7"/>
      <c r="J17" s="8"/>
      <c r="K17" s="8"/>
    </row>
    <row r="18" spans="1:11" ht="15" customHeight="1">
      <c r="A18" s="24"/>
      <c r="B18" s="24">
        <v>4210</v>
      </c>
      <c r="C18" s="32" t="s">
        <v>85</v>
      </c>
      <c r="D18" s="211">
        <v>17000</v>
      </c>
      <c r="E18" s="7"/>
      <c r="F18" s="7"/>
      <c r="G18" s="7"/>
      <c r="H18" s="7"/>
      <c r="I18" s="7"/>
      <c r="J18" s="8"/>
      <c r="K18" s="8"/>
    </row>
    <row r="19" spans="1:11" ht="15" customHeight="1">
      <c r="A19" s="24"/>
      <c r="B19" s="24">
        <v>4270</v>
      </c>
      <c r="C19" s="32" t="s">
        <v>87</v>
      </c>
      <c r="D19" s="211">
        <v>6400</v>
      </c>
      <c r="E19" s="7"/>
      <c r="F19" s="7"/>
      <c r="G19" s="7"/>
      <c r="H19" s="7"/>
      <c r="I19" s="7"/>
      <c r="J19" s="8"/>
      <c r="K19" s="8"/>
    </row>
    <row r="20" spans="1:11" ht="15" customHeight="1">
      <c r="A20" s="24"/>
      <c r="B20" s="24">
        <v>4300</v>
      </c>
      <c r="C20" s="32" t="s">
        <v>74</v>
      </c>
      <c r="D20" s="211">
        <v>400000</v>
      </c>
      <c r="E20" s="7"/>
      <c r="F20" s="7"/>
      <c r="G20" s="7"/>
      <c r="H20" s="7"/>
      <c r="I20" s="7"/>
      <c r="J20" s="8"/>
      <c r="K20" s="8"/>
    </row>
    <row r="21" spans="1:11" ht="15" customHeight="1">
      <c r="A21" s="24"/>
      <c r="B21" s="24">
        <v>4350</v>
      </c>
      <c r="C21" s="32" t="s">
        <v>89</v>
      </c>
      <c r="D21" s="211">
        <v>1000</v>
      </c>
      <c r="E21" s="7"/>
      <c r="F21" s="7"/>
      <c r="G21" s="7"/>
      <c r="H21" s="7"/>
      <c r="I21" s="7"/>
      <c r="J21" s="8"/>
      <c r="K21" s="8"/>
    </row>
    <row r="22" spans="1:11" ht="15" customHeight="1">
      <c r="A22" s="24"/>
      <c r="B22" s="24">
        <v>4530</v>
      </c>
      <c r="C22" s="32" t="s">
        <v>99</v>
      </c>
      <c r="D22" s="211">
        <v>5600</v>
      </c>
      <c r="E22" s="7"/>
      <c r="F22" s="7"/>
      <c r="G22" s="7"/>
      <c r="H22" s="7"/>
      <c r="I22" s="7"/>
      <c r="J22" s="8"/>
      <c r="K22" s="8"/>
    </row>
    <row r="23" spans="1:11" ht="15" customHeight="1">
      <c r="A23" s="24"/>
      <c r="B23" s="24">
        <v>4700</v>
      </c>
      <c r="C23" s="32" t="s">
        <v>248</v>
      </c>
      <c r="D23" s="211">
        <v>5000</v>
      </c>
      <c r="E23" s="7"/>
      <c r="F23" s="7"/>
      <c r="G23" s="7"/>
      <c r="H23" s="7"/>
      <c r="I23" s="7"/>
      <c r="J23" s="8"/>
      <c r="K23" s="8"/>
    </row>
    <row r="24" spans="1:11" ht="15" customHeight="1">
      <c r="A24" s="24"/>
      <c r="B24" s="24">
        <v>4740</v>
      </c>
      <c r="C24" s="32" t="s">
        <v>249</v>
      </c>
      <c r="D24" s="211">
        <v>3000</v>
      </c>
      <c r="E24" s="7"/>
      <c r="F24" s="7"/>
      <c r="G24" s="7"/>
      <c r="H24" s="7"/>
      <c r="I24" s="7"/>
      <c r="J24" s="8"/>
      <c r="K24" s="8"/>
    </row>
    <row r="25" spans="1:11" ht="15" customHeight="1">
      <c r="A25" s="24"/>
      <c r="B25" s="24">
        <v>4750</v>
      </c>
      <c r="C25" s="32" t="s">
        <v>123</v>
      </c>
      <c r="D25" s="211">
        <v>22000</v>
      </c>
      <c r="E25" s="7"/>
      <c r="F25" s="7"/>
      <c r="G25" s="7"/>
      <c r="H25" s="7"/>
      <c r="I25" s="7"/>
      <c r="J25" s="8"/>
      <c r="K25" s="8"/>
    </row>
    <row r="26" spans="1:11" ht="19.5" customHeight="1">
      <c r="A26" s="24" t="s">
        <v>596</v>
      </c>
      <c r="B26" s="24"/>
      <c r="C26" s="32" t="s">
        <v>366</v>
      </c>
      <c r="D26" s="211">
        <f>SUM(D27)</f>
        <v>57000</v>
      </c>
      <c r="E26" s="7"/>
      <c r="F26" s="7"/>
      <c r="G26" s="7"/>
      <c r="H26" s="7"/>
      <c r="I26" s="7"/>
      <c r="J26" s="8"/>
      <c r="K26" s="8"/>
    </row>
    <row r="27" spans="1:11" ht="15">
      <c r="A27" s="24"/>
      <c r="B27" s="24">
        <v>6120</v>
      </c>
      <c r="C27" s="34" t="s">
        <v>119</v>
      </c>
      <c r="D27" s="211">
        <v>57000</v>
      </c>
      <c r="E27" s="7"/>
      <c r="F27" s="7"/>
      <c r="G27" s="7"/>
      <c r="H27" s="7"/>
      <c r="I27" s="7"/>
      <c r="J27" s="8"/>
      <c r="K27" s="8"/>
    </row>
    <row r="28" spans="1:11" ht="19.5" customHeight="1">
      <c r="A28" s="20" t="s">
        <v>621</v>
      </c>
      <c r="B28" s="20"/>
      <c r="C28" s="29" t="s">
        <v>648</v>
      </c>
      <c r="D28" s="212">
        <f>D11+D12-D15</f>
        <v>10038</v>
      </c>
      <c r="E28" s="7"/>
      <c r="F28" s="7"/>
      <c r="G28" s="7"/>
      <c r="H28" s="7"/>
      <c r="I28" s="7"/>
      <c r="J28" s="8"/>
      <c r="K28" s="8"/>
    </row>
    <row r="29" spans="1:11" ht="15">
      <c r="A29" s="7"/>
      <c r="B29" s="7"/>
      <c r="C29" s="7"/>
      <c r="D29" s="7"/>
      <c r="E29" s="7"/>
      <c r="F29" s="7"/>
      <c r="G29" s="7"/>
      <c r="H29" s="7"/>
      <c r="I29" s="7"/>
      <c r="J29" s="8"/>
      <c r="K29" s="8"/>
    </row>
    <row r="30" spans="1:11" ht="15">
      <c r="A30" s="7"/>
      <c r="B30" s="7"/>
      <c r="C30" s="7"/>
      <c r="D30" s="7"/>
      <c r="E30" s="7"/>
      <c r="F30" s="7"/>
      <c r="G30" s="7"/>
      <c r="H30" s="7"/>
      <c r="I30" s="7"/>
      <c r="J30" s="8"/>
      <c r="K30" s="8"/>
    </row>
    <row r="31" spans="1:11" ht="15">
      <c r="A31" s="7"/>
      <c r="B31" s="7"/>
      <c r="C31" s="7"/>
      <c r="D31" s="7"/>
      <c r="E31" s="7"/>
      <c r="F31" s="7"/>
      <c r="G31" s="7"/>
      <c r="H31" s="7"/>
      <c r="I31" s="7"/>
      <c r="J31" s="8"/>
      <c r="K31" s="8"/>
    </row>
    <row r="32" spans="1:11" ht="15">
      <c r="A32" s="7"/>
      <c r="B32" s="7"/>
      <c r="C32" s="7"/>
      <c r="D32" s="7"/>
      <c r="E32" s="7"/>
      <c r="F32" s="7"/>
      <c r="G32" s="7"/>
      <c r="H32" s="7"/>
      <c r="I32" s="7"/>
      <c r="J32" s="8"/>
      <c r="K32" s="8"/>
    </row>
    <row r="33" spans="1:11" ht="15">
      <c r="A33" s="7"/>
      <c r="B33" s="7"/>
      <c r="C33" s="7"/>
      <c r="D33" s="7"/>
      <c r="E33" s="7"/>
      <c r="F33" s="7"/>
      <c r="G33" s="7"/>
      <c r="H33" s="7"/>
      <c r="I33" s="7"/>
      <c r="J33" s="8"/>
      <c r="K33" s="8"/>
    </row>
    <row r="34" spans="1:11" ht="15">
      <c r="A34" s="7"/>
      <c r="B34" s="7"/>
      <c r="C34" s="7"/>
      <c r="D34" s="7"/>
      <c r="E34" s="7"/>
      <c r="F34" s="7"/>
      <c r="G34" s="7"/>
      <c r="H34" s="7"/>
      <c r="I34" s="7"/>
      <c r="J34" s="8"/>
      <c r="K34" s="8"/>
    </row>
    <row r="35" spans="1:11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</sheetData>
  <mergeCells count="2">
    <mergeCell ref="A6:D6"/>
    <mergeCell ref="A7:D7"/>
  </mergeCells>
  <printOptions horizontalCentered="1"/>
  <pageMargins left="0.5905511811023623" right="0.5905511811023623" top="0.89" bottom="0.5905511811023623" header="0.5118110236220472" footer="0.5118110236220472"/>
  <pageSetup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5"/>
  <sheetViews>
    <sheetView workbookViewId="0" topLeftCell="T12">
      <selection activeCell="F22" sqref="F22"/>
    </sheetView>
  </sheetViews>
  <sheetFormatPr defaultColWidth="9.00390625" defaultRowHeight="12.75"/>
  <cols>
    <col min="1" max="1" width="3.375" style="171" customWidth="1"/>
    <col min="2" max="2" width="35.75390625" style="171" customWidth="1"/>
    <col min="3" max="3" width="10.875" style="171" hidden="1" customWidth="1"/>
    <col min="4" max="4" width="11.125" style="171" customWidth="1"/>
    <col min="5" max="16" width="9.625" style="171" customWidth="1"/>
    <col min="17" max="17" width="9.75390625" style="171" customWidth="1"/>
    <col min="18" max="30" width="9.625" style="171" customWidth="1"/>
    <col min="31" max="42" width="10.125" style="171" customWidth="1"/>
    <col min="43" max="16384" width="9.125" style="171" customWidth="1"/>
  </cols>
  <sheetData>
    <row r="1" spans="4:25" ht="12">
      <c r="D1" s="173"/>
      <c r="F1" s="367"/>
      <c r="K1" s="172" t="s">
        <v>577</v>
      </c>
      <c r="Y1" s="172" t="s">
        <v>577</v>
      </c>
    </row>
    <row r="2" spans="1:25" ht="12">
      <c r="A2" s="628"/>
      <c r="B2" s="629"/>
      <c r="C2" s="628"/>
      <c r="D2" s="173"/>
      <c r="F2" s="367"/>
      <c r="K2" s="172" t="s">
        <v>557</v>
      </c>
      <c r="Y2" s="172" t="s">
        <v>557</v>
      </c>
    </row>
    <row r="3" spans="1:25" ht="12">
      <c r="A3" s="628"/>
      <c r="B3" s="629"/>
      <c r="D3" s="173"/>
      <c r="F3" s="367"/>
      <c r="K3" s="172" t="s">
        <v>216</v>
      </c>
      <c r="Y3" s="172" t="s">
        <v>216</v>
      </c>
    </row>
    <row r="4" spans="1:25" ht="12">
      <c r="A4" s="628"/>
      <c r="B4" s="629"/>
      <c r="D4" s="173"/>
      <c r="F4" s="367"/>
      <c r="K4" s="172" t="s">
        <v>732</v>
      </c>
      <c r="Y4" s="172" t="s">
        <v>732</v>
      </c>
    </row>
    <row r="5" spans="1:6" ht="12">
      <c r="A5" s="628"/>
      <c r="B5" s="629"/>
      <c r="D5" s="173"/>
      <c r="E5" s="172"/>
      <c r="F5" s="367"/>
    </row>
    <row r="6" spans="1:5" ht="9.75">
      <c r="A6" s="628"/>
      <c r="B6" s="629"/>
      <c r="D6" s="173"/>
      <c r="E6" s="173"/>
    </row>
    <row r="7" spans="1:5" ht="9.75">
      <c r="A7" s="628"/>
      <c r="B7" s="629"/>
      <c r="D7" s="173"/>
      <c r="E7" s="173"/>
    </row>
    <row r="8" spans="1:5" ht="9.75">
      <c r="A8" s="628"/>
      <c r="B8" s="629"/>
      <c r="D8" s="173"/>
      <c r="E8" s="173"/>
    </row>
    <row r="9" spans="1:6" ht="9.75">
      <c r="A9" s="628"/>
      <c r="B9" s="629"/>
      <c r="D9" s="448"/>
      <c r="E9" s="628"/>
      <c r="F9" s="628"/>
    </row>
    <row r="10" spans="2:27" ht="12.75" customHeight="1">
      <c r="B10" s="1070" t="s">
        <v>558</v>
      </c>
      <c r="C10" s="1070"/>
      <c r="D10" s="1070"/>
      <c r="E10" s="1070"/>
      <c r="F10" s="1070"/>
      <c r="G10" s="1070"/>
      <c r="H10" s="1070"/>
      <c r="I10" s="1070"/>
      <c r="J10" s="1070"/>
      <c r="K10" s="1070"/>
      <c r="L10" s="1070"/>
      <c r="M10" s="1070"/>
      <c r="N10" s="1070" t="s">
        <v>558</v>
      </c>
      <c r="O10" s="1070"/>
      <c r="P10" s="1070"/>
      <c r="Q10" s="1070"/>
      <c r="R10" s="1070"/>
      <c r="S10" s="1070"/>
      <c r="T10" s="1070"/>
      <c r="U10" s="1070"/>
      <c r="V10" s="1070"/>
      <c r="W10" s="1070"/>
      <c r="X10" s="1070"/>
      <c r="Y10" s="1070"/>
      <c r="Z10" s="1070"/>
      <c r="AA10" s="1070"/>
    </row>
    <row r="11" spans="1:6" ht="9.75">
      <c r="A11" s="628"/>
      <c r="B11" s="447"/>
      <c r="C11" s="628"/>
      <c r="D11" s="628"/>
      <c r="E11" s="628"/>
      <c r="F11" s="628"/>
    </row>
    <row r="12" spans="1:6" ht="9.75">
      <c r="A12" s="628"/>
      <c r="B12" s="447"/>
      <c r="C12" s="628"/>
      <c r="D12" s="628"/>
      <c r="E12" s="628"/>
      <c r="F12" s="628"/>
    </row>
    <row r="13" spans="1:6" ht="9.75">
      <c r="A13" s="628"/>
      <c r="B13" s="629"/>
      <c r="C13" s="628"/>
      <c r="D13" s="628"/>
      <c r="E13" s="628"/>
      <c r="F13" s="628"/>
    </row>
    <row r="14" spans="13:27" ht="10.5" thickBot="1">
      <c r="M14" s="174" t="s">
        <v>217</v>
      </c>
      <c r="AA14" s="174" t="s">
        <v>217</v>
      </c>
    </row>
    <row r="15" spans="1:27" ht="12.75" customHeight="1">
      <c r="A15" s="689"/>
      <c r="B15" s="667"/>
      <c r="C15" s="667"/>
      <c r="D15" s="1071" t="s">
        <v>559</v>
      </c>
      <c r="E15" s="1052"/>
      <c r="F15" s="1052"/>
      <c r="G15" s="1052"/>
      <c r="H15" s="1052"/>
      <c r="I15" s="1052"/>
      <c r="J15" s="1052"/>
      <c r="K15" s="1052"/>
      <c r="L15" s="1052"/>
      <c r="M15" s="1053"/>
      <c r="N15" s="693"/>
      <c r="O15" s="600"/>
      <c r="P15" s="600"/>
      <c r="Q15" s="600"/>
      <c r="R15" s="600"/>
      <c r="S15" s="600"/>
      <c r="T15" s="600" t="s">
        <v>559</v>
      </c>
      <c r="U15" s="600"/>
      <c r="V15" s="600"/>
      <c r="W15" s="600"/>
      <c r="X15" s="600"/>
      <c r="Y15" s="600"/>
      <c r="Z15" s="600"/>
      <c r="AA15" s="599"/>
    </row>
    <row r="16" spans="1:27" ht="12">
      <c r="A16" s="690"/>
      <c r="B16" s="668" t="s">
        <v>560</v>
      </c>
      <c r="C16" s="668" t="s">
        <v>561</v>
      </c>
      <c r="D16" s="669"/>
      <c r="E16" s="669"/>
      <c r="F16" s="670"/>
      <c r="G16" s="671"/>
      <c r="H16" s="670"/>
      <c r="I16" s="671"/>
      <c r="J16" s="670"/>
      <c r="K16" s="671"/>
      <c r="L16" s="670"/>
      <c r="M16" s="670"/>
      <c r="N16" s="670"/>
      <c r="O16" s="671"/>
      <c r="P16" s="670"/>
      <c r="Q16" s="671"/>
      <c r="R16" s="670"/>
      <c r="S16" s="671"/>
      <c r="T16" s="670"/>
      <c r="U16" s="671"/>
      <c r="V16" s="670"/>
      <c r="W16" s="671"/>
      <c r="X16" s="670"/>
      <c r="Y16" s="671"/>
      <c r="Z16" s="670"/>
      <c r="AA16" s="672"/>
    </row>
    <row r="17" spans="1:27" ht="12">
      <c r="A17" s="691" t="s">
        <v>562</v>
      </c>
      <c r="B17" s="668" t="s">
        <v>563</v>
      </c>
      <c r="C17" s="668" t="s">
        <v>564</v>
      </c>
      <c r="D17" s="668" t="s">
        <v>561</v>
      </c>
      <c r="E17" s="668">
        <v>2007</v>
      </c>
      <c r="F17" s="673">
        <v>2008</v>
      </c>
      <c r="G17" s="668">
        <v>2009</v>
      </c>
      <c r="H17" s="673">
        <v>2010</v>
      </c>
      <c r="I17" s="674">
        <v>2011</v>
      </c>
      <c r="J17" s="673">
        <v>2012</v>
      </c>
      <c r="K17" s="674">
        <v>2013</v>
      </c>
      <c r="L17" s="673">
        <v>2014</v>
      </c>
      <c r="M17" s="673">
        <v>2015</v>
      </c>
      <c r="N17" s="673">
        <v>2016</v>
      </c>
      <c r="O17" s="674">
        <v>2017</v>
      </c>
      <c r="P17" s="673">
        <v>2018</v>
      </c>
      <c r="Q17" s="674">
        <v>2019</v>
      </c>
      <c r="R17" s="673">
        <v>2020</v>
      </c>
      <c r="S17" s="674">
        <v>2021</v>
      </c>
      <c r="T17" s="673">
        <v>2022</v>
      </c>
      <c r="U17" s="674">
        <v>2023</v>
      </c>
      <c r="V17" s="673">
        <v>2024</v>
      </c>
      <c r="W17" s="674">
        <v>2025</v>
      </c>
      <c r="X17" s="673">
        <v>2026</v>
      </c>
      <c r="Y17" s="674">
        <v>2027</v>
      </c>
      <c r="Z17" s="673">
        <v>2028</v>
      </c>
      <c r="AA17" s="675">
        <v>2029</v>
      </c>
    </row>
    <row r="18" spans="1:27" ht="12">
      <c r="A18" s="690"/>
      <c r="B18" s="669"/>
      <c r="C18" s="668" t="s">
        <v>565</v>
      </c>
      <c r="D18" s="676" t="s">
        <v>741</v>
      </c>
      <c r="E18" s="669"/>
      <c r="F18" s="677"/>
      <c r="G18" s="678"/>
      <c r="H18" s="677"/>
      <c r="I18" s="678"/>
      <c r="J18" s="677"/>
      <c r="K18" s="678"/>
      <c r="L18" s="677"/>
      <c r="M18" s="677"/>
      <c r="N18" s="677"/>
      <c r="O18" s="678"/>
      <c r="P18" s="677"/>
      <c r="Q18" s="678"/>
      <c r="R18" s="677"/>
      <c r="S18" s="678"/>
      <c r="T18" s="677"/>
      <c r="U18" s="678"/>
      <c r="V18" s="677"/>
      <c r="W18" s="678"/>
      <c r="X18" s="677"/>
      <c r="Y18" s="678"/>
      <c r="Z18" s="677"/>
      <c r="AA18" s="679"/>
    </row>
    <row r="19" spans="1:27" ht="12.75" thickBot="1">
      <c r="A19" s="579"/>
      <c r="B19" s="680"/>
      <c r="C19" s="681"/>
      <c r="D19" s="682"/>
      <c r="E19" s="680"/>
      <c r="F19" s="683"/>
      <c r="G19" s="684"/>
      <c r="H19" s="683"/>
      <c r="I19" s="684"/>
      <c r="J19" s="683"/>
      <c r="K19" s="684"/>
      <c r="L19" s="683"/>
      <c r="M19" s="683"/>
      <c r="N19" s="683"/>
      <c r="O19" s="684"/>
      <c r="P19" s="683"/>
      <c r="Q19" s="684"/>
      <c r="R19" s="683"/>
      <c r="S19" s="684"/>
      <c r="T19" s="683"/>
      <c r="U19" s="684"/>
      <c r="V19" s="683"/>
      <c r="W19" s="684"/>
      <c r="X19" s="683"/>
      <c r="Y19" s="684"/>
      <c r="Z19" s="683"/>
      <c r="AA19" s="883"/>
    </row>
    <row r="20" spans="1:27" s="634" customFormat="1" ht="12" thickBot="1">
      <c r="A20" s="692">
        <v>1</v>
      </c>
      <c r="B20" s="631">
        <v>2</v>
      </c>
      <c r="C20" s="631">
        <v>3</v>
      </c>
      <c r="D20" s="631">
        <v>4</v>
      </c>
      <c r="E20" s="631">
        <v>5</v>
      </c>
      <c r="F20" s="632">
        <v>6</v>
      </c>
      <c r="G20" s="631">
        <v>7</v>
      </c>
      <c r="H20" s="632">
        <v>8</v>
      </c>
      <c r="I20" s="631">
        <v>9</v>
      </c>
      <c r="J20" s="632">
        <v>10</v>
      </c>
      <c r="K20" s="631">
        <v>11</v>
      </c>
      <c r="L20" s="632">
        <v>12</v>
      </c>
      <c r="M20" s="632">
        <v>13</v>
      </c>
      <c r="N20" s="632">
        <v>14</v>
      </c>
      <c r="O20" s="631">
        <v>15</v>
      </c>
      <c r="P20" s="632">
        <v>16</v>
      </c>
      <c r="Q20" s="631">
        <v>17</v>
      </c>
      <c r="R20" s="632">
        <v>18</v>
      </c>
      <c r="S20" s="631">
        <v>19</v>
      </c>
      <c r="T20" s="632">
        <v>20</v>
      </c>
      <c r="U20" s="631">
        <v>21</v>
      </c>
      <c r="V20" s="632">
        <v>22</v>
      </c>
      <c r="W20" s="631">
        <v>23</v>
      </c>
      <c r="X20" s="632">
        <v>24</v>
      </c>
      <c r="Y20" s="631">
        <v>25</v>
      </c>
      <c r="Z20" s="632">
        <v>26</v>
      </c>
      <c r="AA20" s="633">
        <v>27</v>
      </c>
    </row>
    <row r="21" spans="1:27" ht="12.75">
      <c r="A21" s="685" t="s">
        <v>595</v>
      </c>
      <c r="B21" s="630" t="s">
        <v>566</v>
      </c>
      <c r="C21" s="239">
        <v>0</v>
      </c>
      <c r="D21" s="635">
        <v>0</v>
      </c>
      <c r="E21" s="635">
        <v>4000000</v>
      </c>
      <c r="F21" s="406">
        <v>4000000</v>
      </c>
      <c r="G21" s="636">
        <v>4000000</v>
      </c>
      <c r="H21" s="406">
        <v>4000000</v>
      </c>
      <c r="I21" s="636">
        <v>4000000</v>
      </c>
      <c r="J21" s="406">
        <v>4000000</v>
      </c>
      <c r="K21" s="403">
        <f>J21-'Sytuacja finans.'!J29</f>
        <v>3600000</v>
      </c>
      <c r="L21" s="403">
        <f>K21-'Sytuacja finans.'!K29</f>
        <v>3200000</v>
      </c>
      <c r="M21" s="403">
        <f>L21-'Sytuacja finans.'!L29</f>
        <v>2800000</v>
      </c>
      <c r="N21" s="403">
        <f>M21-'Sytuacja finans.'!M29</f>
        <v>2400000</v>
      </c>
      <c r="O21" s="403">
        <f>N21-'Sytuacja finans.'!N29</f>
        <v>2000000</v>
      </c>
      <c r="P21" s="403">
        <f>O21-'Sytuacja finans.'!O29</f>
        <v>1600000</v>
      </c>
      <c r="Q21" s="403">
        <f>P21-'Sytuacja finans.'!P29</f>
        <v>1200000</v>
      </c>
      <c r="R21" s="403">
        <f>Q21-'Sytuacja finans.'!Q29</f>
        <v>800000</v>
      </c>
      <c r="S21" s="403">
        <f>R21-'Sytuacja finans.'!R29</f>
        <v>400000</v>
      </c>
      <c r="T21" s="403">
        <f>S21-'Sytuacja finans.'!S29</f>
        <v>0</v>
      </c>
      <c r="U21" s="403">
        <f>T21-'Sytuacja finans.'!T29</f>
        <v>0</v>
      </c>
      <c r="V21" s="403">
        <f>U21-'Sytuacja finans.'!U29</f>
        <v>0</v>
      </c>
      <c r="W21" s="403">
        <f>V21-'Sytuacja finans.'!V29</f>
        <v>0</v>
      </c>
      <c r="X21" s="403">
        <f>W21-'Sytuacja finans.'!W29</f>
        <v>0</v>
      </c>
      <c r="Y21" s="403">
        <f>X21-'Sytuacja finans.'!X29</f>
        <v>0</v>
      </c>
      <c r="Z21" s="403">
        <f>Y21-'Sytuacja finans.'!Y29</f>
        <v>0</v>
      </c>
      <c r="AA21" s="603">
        <f>Z21-'Sytuacja finans.'!Z29</f>
        <v>0</v>
      </c>
    </row>
    <row r="22" spans="1:27" ht="12.75">
      <c r="A22" s="686" t="s">
        <v>596</v>
      </c>
      <c r="B22" s="637" t="s">
        <v>603</v>
      </c>
      <c r="C22" s="638">
        <v>11018970</v>
      </c>
      <c r="D22" s="639">
        <v>11468903</v>
      </c>
      <c r="E22" s="639">
        <f>D32-E21-E23</f>
        <v>7478903</v>
      </c>
      <c r="F22" s="639">
        <f>E22-'Sytuacja finans.'!E21</f>
        <v>7478903</v>
      </c>
      <c r="G22" s="639">
        <f>F22-'Sytuacja finans.'!F21</f>
        <v>7478903</v>
      </c>
      <c r="H22" s="639">
        <f>G22-'Sytuacja finans.'!G21</f>
        <v>7478903</v>
      </c>
      <c r="I22" s="639">
        <f>H22-'Sytuacja finans.'!H21</f>
        <v>7478903</v>
      </c>
      <c r="J22" s="639">
        <f>I22-'Sytuacja finans.'!I21</f>
        <v>7478903</v>
      </c>
      <c r="K22" s="639">
        <f>J22-'Sytuacja finans.'!J21</f>
        <v>7274780</v>
      </c>
      <c r="L22" s="639">
        <f>K22-'Sytuacja finans.'!K21</f>
        <v>6682560</v>
      </c>
      <c r="M22" s="639">
        <f>L22-'Sytuacja finans.'!L21</f>
        <v>6090340</v>
      </c>
      <c r="N22" s="639">
        <f>M22-'Sytuacja finans.'!M21</f>
        <v>5498120</v>
      </c>
      <c r="O22" s="639">
        <f>N22-'Sytuacja finans.'!N21</f>
        <v>4906200</v>
      </c>
      <c r="P22" s="639">
        <f>O22-'Sytuacja finans.'!O21</f>
        <v>4480680</v>
      </c>
      <c r="Q22" s="639">
        <f>P22-'Sytuacja finans.'!P21</f>
        <v>4055160</v>
      </c>
      <c r="R22" s="639">
        <f>Q22-'Sytuacja finans.'!Q21</f>
        <v>3629640</v>
      </c>
      <c r="S22" s="639">
        <f>R22-'Sytuacja finans.'!R21</f>
        <v>3204120</v>
      </c>
      <c r="T22" s="639">
        <f>S22-'Sytuacja finans.'!S21</f>
        <v>2778600</v>
      </c>
      <c r="U22" s="639">
        <f>T22-'Sytuacja finans.'!T21</f>
        <v>2353080</v>
      </c>
      <c r="V22" s="639">
        <f>U22-'Sytuacja finans.'!U21</f>
        <v>1927560</v>
      </c>
      <c r="W22" s="639">
        <f>V22-'Sytuacja finans.'!V21</f>
        <v>1502040</v>
      </c>
      <c r="X22" s="639">
        <f>W22-'Sytuacja finans.'!W21</f>
        <v>1076520</v>
      </c>
      <c r="Y22" s="639">
        <f>X22-'Sytuacja finans.'!X21</f>
        <v>651000</v>
      </c>
      <c r="Z22" s="639">
        <f>Y22-'Sytuacja finans.'!Y21</f>
        <v>225480</v>
      </c>
      <c r="AA22" s="823">
        <f>Z22-'Sytuacja finans.'!Z21</f>
        <v>0</v>
      </c>
    </row>
    <row r="23" spans="1:27" ht="12.75">
      <c r="A23" s="687" t="s">
        <v>597</v>
      </c>
      <c r="B23" s="630" t="s">
        <v>604</v>
      </c>
      <c r="C23" s="239">
        <v>171248</v>
      </c>
      <c r="D23" s="635">
        <v>20000</v>
      </c>
      <c r="E23" s="635">
        <v>10000</v>
      </c>
      <c r="F23" s="406">
        <v>0</v>
      </c>
      <c r="G23" s="247">
        <v>0</v>
      </c>
      <c r="H23" s="240">
        <v>0</v>
      </c>
      <c r="I23" s="247">
        <v>0</v>
      </c>
      <c r="J23" s="240">
        <v>0</v>
      </c>
      <c r="K23" s="247">
        <v>0</v>
      </c>
      <c r="L23" s="240">
        <v>0</v>
      </c>
      <c r="M23" s="240">
        <v>0</v>
      </c>
      <c r="N23" s="240">
        <v>0</v>
      </c>
      <c r="O23" s="247">
        <v>0</v>
      </c>
      <c r="P23" s="240">
        <v>0</v>
      </c>
      <c r="Q23" s="247">
        <v>0</v>
      </c>
      <c r="R23" s="240">
        <v>0</v>
      </c>
      <c r="S23" s="247">
        <v>0</v>
      </c>
      <c r="T23" s="240">
        <v>0</v>
      </c>
      <c r="U23" s="240">
        <v>0</v>
      </c>
      <c r="V23" s="240">
        <v>0</v>
      </c>
      <c r="W23" s="240">
        <v>0</v>
      </c>
      <c r="X23" s="240">
        <v>0</v>
      </c>
      <c r="Y23" s="240">
        <v>0</v>
      </c>
      <c r="Z23" s="240">
        <v>0</v>
      </c>
      <c r="AA23" s="644">
        <v>0</v>
      </c>
    </row>
    <row r="24" spans="1:27" ht="12.75">
      <c r="A24" s="686" t="s">
        <v>585</v>
      </c>
      <c r="B24" s="637" t="s">
        <v>567</v>
      </c>
      <c r="C24" s="638"/>
      <c r="D24" s="639"/>
      <c r="E24" s="639"/>
      <c r="F24" s="640"/>
      <c r="G24" s="641"/>
      <c r="H24" s="642"/>
      <c r="I24" s="641"/>
      <c r="J24" s="642"/>
      <c r="K24" s="641"/>
      <c r="L24" s="642"/>
      <c r="M24" s="642"/>
      <c r="N24" s="642"/>
      <c r="O24" s="641"/>
      <c r="P24" s="642"/>
      <c r="Q24" s="641"/>
      <c r="R24" s="642"/>
      <c r="S24" s="641"/>
      <c r="T24" s="642"/>
      <c r="U24" s="642"/>
      <c r="V24" s="642"/>
      <c r="W24" s="642"/>
      <c r="X24" s="642"/>
      <c r="Y24" s="642"/>
      <c r="Z24" s="642"/>
      <c r="AA24" s="643"/>
    </row>
    <row r="25" spans="1:27" ht="12.75">
      <c r="A25" s="687" t="s">
        <v>602</v>
      </c>
      <c r="B25" s="630" t="s">
        <v>574</v>
      </c>
      <c r="C25" s="239">
        <v>0</v>
      </c>
      <c r="D25" s="635">
        <f aca="true" t="shared" si="0" ref="D25:AA25">D30</f>
        <v>0</v>
      </c>
      <c r="E25" s="635">
        <f t="shared" si="0"/>
        <v>0</v>
      </c>
      <c r="F25" s="406">
        <f t="shared" si="0"/>
        <v>0</v>
      </c>
      <c r="G25" s="247">
        <f t="shared" si="0"/>
        <v>0</v>
      </c>
      <c r="H25" s="240">
        <f t="shared" si="0"/>
        <v>0</v>
      </c>
      <c r="I25" s="247">
        <f t="shared" si="0"/>
        <v>0</v>
      </c>
      <c r="J25" s="240">
        <f t="shared" si="0"/>
        <v>0</v>
      </c>
      <c r="K25" s="247">
        <f t="shared" si="0"/>
        <v>0</v>
      </c>
      <c r="L25" s="240">
        <f t="shared" si="0"/>
        <v>0</v>
      </c>
      <c r="M25" s="240">
        <f t="shared" si="0"/>
        <v>0</v>
      </c>
      <c r="N25" s="240">
        <f t="shared" si="0"/>
        <v>0</v>
      </c>
      <c r="O25" s="247">
        <f t="shared" si="0"/>
        <v>0</v>
      </c>
      <c r="P25" s="240">
        <f t="shared" si="0"/>
        <v>0</v>
      </c>
      <c r="Q25" s="247">
        <f t="shared" si="0"/>
        <v>0</v>
      </c>
      <c r="R25" s="240">
        <f t="shared" si="0"/>
        <v>0</v>
      </c>
      <c r="S25" s="247">
        <f t="shared" si="0"/>
        <v>0</v>
      </c>
      <c r="T25" s="240">
        <f t="shared" si="0"/>
        <v>0</v>
      </c>
      <c r="U25" s="240">
        <f t="shared" si="0"/>
        <v>0</v>
      </c>
      <c r="V25" s="240">
        <f t="shared" si="0"/>
        <v>0</v>
      </c>
      <c r="W25" s="240">
        <f t="shared" si="0"/>
        <v>0</v>
      </c>
      <c r="X25" s="240">
        <f t="shared" si="0"/>
        <v>0</v>
      </c>
      <c r="Y25" s="240">
        <f t="shared" si="0"/>
        <v>0</v>
      </c>
      <c r="Z25" s="240">
        <f t="shared" si="0"/>
        <v>0</v>
      </c>
      <c r="AA25" s="644">
        <f t="shared" si="0"/>
        <v>0</v>
      </c>
    </row>
    <row r="26" spans="1:27" ht="12.75">
      <c r="A26" s="687"/>
      <c r="B26" s="630" t="s">
        <v>575</v>
      </c>
      <c r="C26" s="239"/>
      <c r="D26" s="635"/>
      <c r="E26" s="635"/>
      <c r="F26" s="406"/>
      <c r="G26" s="247"/>
      <c r="H26" s="240"/>
      <c r="I26" s="247"/>
      <c r="J26" s="240"/>
      <c r="K26" s="247"/>
      <c r="L26" s="240"/>
      <c r="M26" s="240"/>
      <c r="N26" s="240"/>
      <c r="O26" s="247"/>
      <c r="P26" s="240"/>
      <c r="Q26" s="247"/>
      <c r="R26" s="240"/>
      <c r="S26" s="247"/>
      <c r="T26" s="240"/>
      <c r="U26" s="240"/>
      <c r="V26" s="240"/>
      <c r="W26" s="240"/>
      <c r="X26" s="240"/>
      <c r="Y26" s="240"/>
      <c r="Z26" s="240"/>
      <c r="AA26" s="644"/>
    </row>
    <row r="27" spans="1:27" ht="12.75">
      <c r="A27" s="687"/>
      <c r="B27" s="630" t="s">
        <v>576</v>
      </c>
      <c r="C27" s="239"/>
      <c r="D27" s="635"/>
      <c r="E27" s="635"/>
      <c r="F27" s="406"/>
      <c r="G27" s="247"/>
      <c r="H27" s="240"/>
      <c r="I27" s="247"/>
      <c r="J27" s="240"/>
      <c r="K27" s="247"/>
      <c r="L27" s="240"/>
      <c r="M27" s="240"/>
      <c r="N27" s="240"/>
      <c r="O27" s="247"/>
      <c r="P27" s="240"/>
      <c r="Q27" s="247"/>
      <c r="R27" s="240"/>
      <c r="S27" s="247"/>
      <c r="T27" s="240"/>
      <c r="U27" s="240"/>
      <c r="V27" s="240"/>
      <c r="W27" s="240"/>
      <c r="X27" s="240"/>
      <c r="Y27" s="240"/>
      <c r="Z27" s="240"/>
      <c r="AA27" s="644"/>
    </row>
    <row r="28" spans="1:27" ht="12.75">
      <c r="A28" s="687"/>
      <c r="B28" s="637" t="s">
        <v>568</v>
      </c>
      <c r="C28" s="638"/>
      <c r="D28" s="639"/>
      <c r="E28" s="639"/>
      <c r="F28" s="640"/>
      <c r="G28" s="641"/>
      <c r="H28" s="642"/>
      <c r="I28" s="641"/>
      <c r="J28" s="642"/>
      <c r="K28" s="641"/>
      <c r="L28" s="642"/>
      <c r="M28" s="642"/>
      <c r="N28" s="642"/>
      <c r="O28" s="641"/>
      <c r="P28" s="642"/>
      <c r="Q28" s="641"/>
      <c r="R28" s="642"/>
      <c r="S28" s="641"/>
      <c r="T28" s="642"/>
      <c r="U28" s="642"/>
      <c r="V28" s="642"/>
      <c r="W28" s="642"/>
      <c r="X28" s="642"/>
      <c r="Y28" s="642"/>
      <c r="Z28" s="642"/>
      <c r="AA28" s="643"/>
    </row>
    <row r="29" spans="1:27" ht="12.75">
      <c r="A29" s="687"/>
      <c r="B29" s="630" t="s">
        <v>569</v>
      </c>
      <c r="C29" s="239"/>
      <c r="D29" s="635"/>
      <c r="E29" s="635"/>
      <c r="F29" s="406"/>
      <c r="G29" s="247"/>
      <c r="H29" s="240"/>
      <c r="I29" s="247"/>
      <c r="J29" s="240"/>
      <c r="K29" s="247"/>
      <c r="L29" s="240"/>
      <c r="M29" s="240"/>
      <c r="N29" s="240"/>
      <c r="O29" s="247"/>
      <c r="P29" s="240"/>
      <c r="Q29" s="247"/>
      <c r="R29" s="240"/>
      <c r="S29" s="247"/>
      <c r="T29" s="240"/>
      <c r="U29" s="240"/>
      <c r="V29" s="240"/>
      <c r="W29" s="240"/>
      <c r="X29" s="240"/>
      <c r="Y29" s="240"/>
      <c r="Z29" s="240"/>
      <c r="AA29" s="644"/>
    </row>
    <row r="30" spans="1:27" ht="12.75">
      <c r="A30" s="687"/>
      <c r="B30" s="637" t="s">
        <v>570</v>
      </c>
      <c r="C30" s="645"/>
      <c r="D30" s="639"/>
      <c r="E30" s="639"/>
      <c r="F30" s="640"/>
      <c r="G30" s="641"/>
      <c r="H30" s="642"/>
      <c r="I30" s="641"/>
      <c r="J30" s="642"/>
      <c r="K30" s="641"/>
      <c r="L30" s="642"/>
      <c r="M30" s="642"/>
      <c r="N30" s="642"/>
      <c r="O30" s="641"/>
      <c r="P30" s="642"/>
      <c r="Q30" s="641"/>
      <c r="R30" s="642"/>
      <c r="S30" s="641"/>
      <c r="T30" s="642"/>
      <c r="U30" s="642"/>
      <c r="V30" s="642"/>
      <c r="W30" s="642"/>
      <c r="X30" s="642"/>
      <c r="Y30" s="642"/>
      <c r="Z30" s="642"/>
      <c r="AA30" s="643"/>
    </row>
    <row r="31" spans="1:27" ht="12.75">
      <c r="A31" s="687"/>
      <c r="B31" s="646" t="s">
        <v>571</v>
      </c>
      <c r="C31" s="647"/>
      <c r="D31" s="648"/>
      <c r="E31" s="648"/>
      <c r="F31" s="413"/>
      <c r="G31" s="649"/>
      <c r="H31" s="650"/>
      <c r="I31" s="649"/>
      <c r="J31" s="650"/>
      <c r="K31" s="649"/>
      <c r="L31" s="650"/>
      <c r="M31" s="650"/>
      <c r="N31" s="650"/>
      <c r="O31" s="649"/>
      <c r="P31" s="650"/>
      <c r="Q31" s="649"/>
      <c r="R31" s="650"/>
      <c r="S31" s="649"/>
      <c r="T31" s="650"/>
      <c r="U31" s="650"/>
      <c r="V31" s="650"/>
      <c r="W31" s="650"/>
      <c r="X31" s="650"/>
      <c r="Y31" s="650"/>
      <c r="Z31" s="650"/>
      <c r="AA31" s="651"/>
    </row>
    <row r="32" spans="1:27" ht="12.75">
      <c r="A32" s="686" t="s">
        <v>605</v>
      </c>
      <c r="B32" s="646" t="s">
        <v>572</v>
      </c>
      <c r="C32" s="652">
        <f aca="true" t="shared" si="1" ref="C32:AA32">SUM(C21:C25)</f>
        <v>11190218</v>
      </c>
      <c r="D32" s="653">
        <f t="shared" si="1"/>
        <v>11488903</v>
      </c>
      <c r="E32" s="653">
        <f t="shared" si="1"/>
        <v>11488903</v>
      </c>
      <c r="F32" s="382">
        <f t="shared" si="1"/>
        <v>11478903</v>
      </c>
      <c r="G32" s="654">
        <f t="shared" si="1"/>
        <v>11478903</v>
      </c>
      <c r="H32" s="655">
        <f t="shared" si="1"/>
        <v>11478903</v>
      </c>
      <c r="I32" s="654">
        <f t="shared" si="1"/>
        <v>11478903</v>
      </c>
      <c r="J32" s="655">
        <f t="shared" si="1"/>
        <v>11478903</v>
      </c>
      <c r="K32" s="654">
        <f t="shared" si="1"/>
        <v>10874780</v>
      </c>
      <c r="L32" s="655">
        <f t="shared" si="1"/>
        <v>9882560</v>
      </c>
      <c r="M32" s="655">
        <f t="shared" si="1"/>
        <v>8890340</v>
      </c>
      <c r="N32" s="655">
        <f t="shared" si="1"/>
        <v>7898120</v>
      </c>
      <c r="O32" s="654">
        <f t="shared" si="1"/>
        <v>6906200</v>
      </c>
      <c r="P32" s="655">
        <f t="shared" si="1"/>
        <v>6080680</v>
      </c>
      <c r="Q32" s="654">
        <f t="shared" si="1"/>
        <v>5255160</v>
      </c>
      <c r="R32" s="655">
        <f t="shared" si="1"/>
        <v>4429640</v>
      </c>
      <c r="S32" s="654">
        <f t="shared" si="1"/>
        <v>3604120</v>
      </c>
      <c r="T32" s="655">
        <f t="shared" si="1"/>
        <v>2778600</v>
      </c>
      <c r="U32" s="655">
        <f t="shared" si="1"/>
        <v>2353080</v>
      </c>
      <c r="V32" s="655">
        <f t="shared" si="1"/>
        <v>1927560</v>
      </c>
      <c r="W32" s="655">
        <f t="shared" si="1"/>
        <v>1502040</v>
      </c>
      <c r="X32" s="655">
        <f t="shared" si="1"/>
        <v>1076520</v>
      </c>
      <c r="Y32" s="655">
        <f t="shared" si="1"/>
        <v>651000</v>
      </c>
      <c r="Z32" s="655">
        <f t="shared" si="1"/>
        <v>225480</v>
      </c>
      <c r="AA32" s="656">
        <f t="shared" si="1"/>
        <v>0</v>
      </c>
    </row>
    <row r="33" spans="1:27" ht="13.5" thickBot="1">
      <c r="A33" s="688" t="s">
        <v>607</v>
      </c>
      <c r="B33" s="657" t="s">
        <v>3</v>
      </c>
      <c r="C33" s="658">
        <v>32826290</v>
      </c>
      <c r="D33" s="659">
        <f>'Sytuacja finans.'!C11</f>
        <v>37952654</v>
      </c>
      <c r="E33" s="659">
        <f>'Sytuacja finans.'!D11</f>
        <v>36631711</v>
      </c>
      <c r="F33" s="659">
        <f>'Sytuacja finans.'!E11</f>
        <v>33909752</v>
      </c>
      <c r="G33" s="659">
        <f>'Sytuacja finans.'!F11</f>
        <v>34349283</v>
      </c>
      <c r="H33" s="659">
        <f>'Sytuacja finans.'!G11</f>
        <v>34449513.275</v>
      </c>
      <c r="I33" s="659">
        <f>'Sytuacja finans.'!H11</f>
        <v>34917910.181875</v>
      </c>
      <c r="J33" s="659">
        <f>'Sytuacja finans.'!I11</f>
        <v>35395849.011421874</v>
      </c>
      <c r="K33" s="659">
        <f>'Sytuacja finans.'!J11</f>
        <v>35883738.73445742</v>
      </c>
      <c r="L33" s="659">
        <f>'Sytuacja finans.'!K11</f>
        <v>36382012.98707386</v>
      </c>
      <c r="M33" s="659">
        <f>'Sytuacja finans.'!L11</f>
        <v>36891143.72857089</v>
      </c>
      <c r="N33" s="659">
        <f>'Sytuacja finans.'!M11</f>
        <v>37411638.72736606</v>
      </c>
      <c r="O33" s="659">
        <f>'Sytuacja finans.'!N11</f>
        <v>37944045.60233112</v>
      </c>
      <c r="P33" s="659">
        <f>'Sytuacja finans.'!O11</f>
        <v>38488955.865123056</v>
      </c>
      <c r="Q33" s="659">
        <f>'Sytuacja finans.'!P11</f>
        <v>39047012.96353398</v>
      </c>
      <c r="R33" s="659">
        <f>'Sytuacja finans.'!Q11</f>
        <v>39618910.32588523</v>
      </c>
      <c r="S33" s="659">
        <f>'Sytuacja finans.'!R11</f>
        <v>40205400.40649116</v>
      </c>
      <c r="T33" s="659">
        <f>'Sytuacja finans.'!S11</f>
        <v>40807301.73221918</v>
      </c>
      <c r="U33" s="659">
        <f>'Sytuacja finans.'!T11</f>
        <v>41255939.205172814</v>
      </c>
      <c r="V33" s="659">
        <f>'Sytuacja finans.'!U11</f>
        <v>41658419.214060605</v>
      </c>
      <c r="W33" s="659">
        <f>'Sytuacja finans.'!V11</f>
        <v>42176712.140626304</v>
      </c>
      <c r="X33" s="659">
        <f>'Sytuacja finans.'!W11</f>
        <v>42816601.13129982</v>
      </c>
      <c r="Y33" s="659">
        <f>'Sytuacja finans.'!X11</f>
        <v>43357062.16203593</v>
      </c>
      <c r="Z33" s="659">
        <f>'Sytuacja finans.'!Y11</f>
        <v>43908753.502671495</v>
      </c>
      <c r="AA33" s="882">
        <f>'Sytuacja finans.'!Z11</f>
        <v>44471966.102594234</v>
      </c>
    </row>
    <row r="34" spans="1:27" ht="13.5" thickBot="1">
      <c r="A34" s="660" t="s">
        <v>613</v>
      </c>
      <c r="B34" s="661" t="s">
        <v>573</v>
      </c>
      <c r="C34" s="662">
        <f aca="true" t="shared" si="2" ref="C34:AA34">C32/C33*100</f>
        <v>34.08919497146952</v>
      </c>
      <c r="D34" s="663">
        <f t="shared" si="2"/>
        <v>30.271672173440095</v>
      </c>
      <c r="E34" s="663">
        <f t="shared" si="2"/>
        <v>31.363271565447764</v>
      </c>
      <c r="F34" s="663">
        <f t="shared" si="2"/>
        <v>33.851332796535935</v>
      </c>
      <c r="G34" s="664">
        <f t="shared" si="2"/>
        <v>33.41817353218115</v>
      </c>
      <c r="H34" s="663">
        <f t="shared" si="2"/>
        <v>33.32094392268304</v>
      </c>
      <c r="I34" s="664">
        <f t="shared" si="2"/>
        <v>32.873969089818</v>
      </c>
      <c r="J34" s="663">
        <f t="shared" si="2"/>
        <v>32.43008239835094</v>
      </c>
      <c r="K34" s="664">
        <f t="shared" si="2"/>
        <v>30.305593518206823</v>
      </c>
      <c r="L34" s="663">
        <f t="shared" si="2"/>
        <v>27.16331282579435</v>
      </c>
      <c r="M34" s="663">
        <f t="shared" si="2"/>
        <v>24.098846230985092</v>
      </c>
      <c r="N34" s="663">
        <f t="shared" si="2"/>
        <v>21.111398133497534</v>
      </c>
      <c r="O34" s="664">
        <f t="shared" si="2"/>
        <v>18.20101122684639</v>
      </c>
      <c r="P34" s="663">
        <f t="shared" si="2"/>
        <v>15.798505995612203</v>
      </c>
      <c r="Q34" s="664">
        <f t="shared" si="2"/>
        <v>13.458545484408232</v>
      </c>
      <c r="R34" s="663">
        <f t="shared" si="2"/>
        <v>11.180620475333646</v>
      </c>
      <c r="S34" s="665">
        <f t="shared" si="2"/>
        <v>8.964268390716274</v>
      </c>
      <c r="T34" s="663">
        <f t="shared" si="2"/>
        <v>6.809075538082371</v>
      </c>
      <c r="U34" s="663">
        <f t="shared" si="2"/>
        <v>5.703615152954662</v>
      </c>
      <c r="V34" s="663">
        <f t="shared" si="2"/>
        <v>4.627059874968581</v>
      </c>
      <c r="W34" s="663">
        <f t="shared" si="2"/>
        <v>3.561301779503042</v>
      </c>
      <c r="X34" s="663">
        <f t="shared" si="2"/>
        <v>2.5142584220984356</v>
      </c>
      <c r="Y34" s="663">
        <f t="shared" si="2"/>
        <v>1.5014854963351854</v>
      </c>
      <c r="Z34" s="663">
        <f t="shared" si="2"/>
        <v>0.513519473938793</v>
      </c>
      <c r="AA34" s="666">
        <f t="shared" si="2"/>
        <v>0</v>
      </c>
    </row>
    <row r="35" ht="9.75">
      <c r="C35" s="89"/>
    </row>
  </sheetData>
  <mergeCells count="3">
    <mergeCell ref="B10:M10"/>
    <mergeCell ref="D15:M15"/>
    <mergeCell ref="N10:AA10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7"/>
  <sheetViews>
    <sheetView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30" sqref="D30"/>
    </sheetView>
  </sheetViews>
  <sheetFormatPr defaultColWidth="9.00390625" defaultRowHeight="12.75"/>
  <cols>
    <col min="1" max="1" width="6.875" style="1" customWidth="1"/>
    <col min="2" max="2" width="39.375" style="1" customWidth="1"/>
    <col min="3" max="3" width="10.875" style="1" customWidth="1"/>
    <col min="4" max="4" width="10.375" style="1" customWidth="1"/>
    <col min="5" max="5" width="11.00390625" style="1" customWidth="1"/>
    <col min="6" max="6" width="10.25390625" style="1" customWidth="1"/>
    <col min="7" max="7" width="12.75390625" style="1" customWidth="1"/>
    <col min="8" max="8" width="10.375" style="1" customWidth="1"/>
    <col min="9" max="9" width="10.25390625" style="1" customWidth="1"/>
    <col min="10" max="10" width="10.00390625" style="1" customWidth="1"/>
    <col min="11" max="11" width="10.375" style="1" customWidth="1"/>
    <col min="12" max="12" width="10.00390625" style="1" customWidth="1"/>
    <col min="13" max="13" width="10.875" style="1" customWidth="1"/>
    <col min="14" max="14" width="10.75390625" style="1" customWidth="1"/>
    <col min="15" max="15" width="10.625" style="1" customWidth="1"/>
    <col min="16" max="16" width="11.625" style="1" customWidth="1"/>
    <col min="17" max="17" width="10.25390625" style="1" customWidth="1"/>
    <col min="18" max="18" width="10.125" style="1" customWidth="1"/>
    <col min="19" max="19" width="10.875" style="1" customWidth="1"/>
    <col min="20" max="20" width="11.00390625" style="1" customWidth="1"/>
    <col min="21" max="21" width="10.625" style="1" customWidth="1"/>
    <col min="22" max="22" width="10.25390625" style="1" customWidth="1"/>
    <col min="23" max="23" width="11.25390625" style="1" customWidth="1"/>
    <col min="24" max="24" width="10.25390625" style="1" customWidth="1"/>
    <col min="25" max="25" width="10.625" style="1" customWidth="1"/>
    <col min="26" max="26" width="11.25390625" style="1" customWidth="1"/>
    <col min="27" max="16384" width="9.125" style="1" customWidth="1"/>
  </cols>
  <sheetData>
    <row r="1" spans="11:25" ht="12.75">
      <c r="K1" s="1" t="s">
        <v>357</v>
      </c>
      <c r="Y1" s="1" t="s">
        <v>357</v>
      </c>
    </row>
    <row r="2" spans="11:25" ht="12.75">
      <c r="K2" s="1" t="s">
        <v>358</v>
      </c>
      <c r="Y2" s="1" t="s">
        <v>358</v>
      </c>
    </row>
    <row r="3" spans="11:25" ht="12.75">
      <c r="K3" s="1" t="s">
        <v>216</v>
      </c>
      <c r="Y3" s="1" t="s">
        <v>216</v>
      </c>
    </row>
    <row r="4" spans="11:25" ht="12.75">
      <c r="K4" s="1" t="s">
        <v>731</v>
      </c>
      <c r="Y4" s="1" t="s">
        <v>731</v>
      </c>
    </row>
    <row r="6" spans="1:12" ht="18">
      <c r="A6" s="956" t="s">
        <v>482</v>
      </c>
      <c r="B6" s="956"/>
      <c r="C6" s="956"/>
      <c r="D6" s="956"/>
      <c r="E6" s="956"/>
      <c r="F6" s="956"/>
      <c r="G6" s="956"/>
      <c r="H6" s="956"/>
      <c r="I6" s="956"/>
      <c r="J6" s="956"/>
      <c r="K6" s="956"/>
      <c r="L6" s="956"/>
    </row>
    <row r="7" spans="7:26" ht="13.5" thickBot="1">
      <c r="G7" s="9"/>
      <c r="L7" s="9" t="s">
        <v>624</v>
      </c>
      <c r="Z7" s="712" t="s">
        <v>624</v>
      </c>
    </row>
    <row r="8" spans="1:26" ht="24.75" customHeight="1" thickBot="1">
      <c r="A8" s="1077" t="s">
        <v>562</v>
      </c>
      <c r="B8" s="1077" t="s">
        <v>584</v>
      </c>
      <c r="C8" s="1075" t="s">
        <v>742</v>
      </c>
      <c r="D8" s="1075" t="s">
        <v>640</v>
      </c>
      <c r="E8" s="1072" t="s">
        <v>483</v>
      </c>
      <c r="F8" s="1073"/>
      <c r="G8" s="1073"/>
      <c r="H8" s="1073"/>
      <c r="I8" s="1073"/>
      <c r="J8" s="1073"/>
      <c r="K8" s="1073"/>
      <c r="L8" s="1074"/>
      <c r="M8" s="1072" t="s">
        <v>483</v>
      </c>
      <c r="N8" s="1073"/>
      <c r="O8" s="1073"/>
      <c r="P8" s="1073"/>
      <c r="Q8" s="1073"/>
      <c r="R8" s="1073"/>
      <c r="S8" s="1073"/>
      <c r="T8" s="1073"/>
      <c r="U8" s="1073"/>
      <c r="V8" s="1073"/>
      <c r="W8" s="1073"/>
      <c r="X8" s="1073"/>
      <c r="Y8" s="1073"/>
      <c r="Z8" s="1074"/>
    </row>
    <row r="9" spans="1:26" ht="30" customHeight="1" thickBot="1">
      <c r="A9" s="1078"/>
      <c r="B9" s="1078"/>
      <c r="C9" s="1076"/>
      <c r="D9" s="1076"/>
      <c r="E9" s="711" t="s">
        <v>515</v>
      </c>
      <c r="F9" s="711" t="s">
        <v>641</v>
      </c>
      <c r="G9" s="711" t="s">
        <v>516</v>
      </c>
      <c r="H9" s="711" t="s">
        <v>517</v>
      </c>
      <c r="I9" s="711" t="s">
        <v>518</v>
      </c>
      <c r="J9" s="711" t="s">
        <v>519</v>
      </c>
      <c r="K9" s="711" t="s">
        <v>520</v>
      </c>
      <c r="L9" s="711" t="s">
        <v>521</v>
      </c>
      <c r="M9" s="711" t="s">
        <v>522</v>
      </c>
      <c r="N9" s="711" t="s">
        <v>523</v>
      </c>
      <c r="O9" s="711" t="s">
        <v>524</v>
      </c>
      <c r="P9" s="711" t="s">
        <v>525</v>
      </c>
      <c r="Q9" s="711" t="s">
        <v>526</v>
      </c>
      <c r="R9" s="711" t="s">
        <v>527</v>
      </c>
      <c r="S9" s="711" t="s">
        <v>528</v>
      </c>
      <c r="T9" s="711" t="s">
        <v>529</v>
      </c>
      <c r="U9" s="711" t="s">
        <v>530</v>
      </c>
      <c r="V9" s="711" t="s">
        <v>531</v>
      </c>
      <c r="W9" s="711" t="s">
        <v>532</v>
      </c>
      <c r="X9" s="711" t="s">
        <v>533</v>
      </c>
      <c r="Y9" s="711" t="s">
        <v>534</v>
      </c>
      <c r="Z9" s="711" t="s">
        <v>535</v>
      </c>
    </row>
    <row r="10" spans="1:26" ht="7.5" customHeight="1" thickBot="1">
      <c r="A10" s="699">
        <v>1</v>
      </c>
      <c r="B10" s="699">
        <v>2</v>
      </c>
      <c r="C10" s="699">
        <v>3</v>
      </c>
      <c r="D10" s="699">
        <v>4</v>
      </c>
      <c r="E10" s="699">
        <v>5</v>
      </c>
      <c r="F10" s="699">
        <v>6</v>
      </c>
      <c r="G10" s="699">
        <v>7</v>
      </c>
      <c r="H10" s="699">
        <v>8</v>
      </c>
      <c r="I10" s="699">
        <v>9</v>
      </c>
      <c r="J10" s="699">
        <v>10</v>
      </c>
      <c r="K10" s="699">
        <v>11</v>
      </c>
      <c r="L10" s="699">
        <v>12</v>
      </c>
      <c r="M10" s="699">
        <v>13</v>
      </c>
      <c r="N10" s="699">
        <v>14</v>
      </c>
      <c r="O10" s="699">
        <v>15</v>
      </c>
      <c r="P10" s="699">
        <v>16</v>
      </c>
      <c r="Q10" s="699">
        <v>17</v>
      </c>
      <c r="R10" s="699">
        <v>18</v>
      </c>
      <c r="S10" s="699">
        <v>19</v>
      </c>
      <c r="T10" s="699">
        <v>20</v>
      </c>
      <c r="U10" s="699">
        <v>21</v>
      </c>
      <c r="V10" s="699">
        <v>22</v>
      </c>
      <c r="W10" s="699">
        <v>23</v>
      </c>
      <c r="X10" s="699">
        <v>24</v>
      </c>
      <c r="Y10" s="699">
        <v>25</v>
      </c>
      <c r="Z10" s="699">
        <v>26</v>
      </c>
    </row>
    <row r="11" spans="1:26" ht="13.5" customHeight="1">
      <c r="A11" s="716" t="s">
        <v>594</v>
      </c>
      <c r="B11" s="700" t="s">
        <v>484</v>
      </c>
      <c r="C11" s="713">
        <f aca="true" t="shared" si="0" ref="C11:Z11">C12+C16+C17</f>
        <v>37952654</v>
      </c>
      <c r="D11" s="713">
        <f t="shared" si="0"/>
        <v>36631711</v>
      </c>
      <c r="E11" s="713">
        <f t="shared" si="0"/>
        <v>33909752</v>
      </c>
      <c r="F11" s="713">
        <f t="shared" si="0"/>
        <v>34349283</v>
      </c>
      <c r="G11" s="713">
        <f t="shared" si="0"/>
        <v>34449513.275</v>
      </c>
      <c r="H11" s="713">
        <f t="shared" si="0"/>
        <v>34917910.181875</v>
      </c>
      <c r="I11" s="713">
        <f t="shared" si="0"/>
        <v>35395849.011421874</v>
      </c>
      <c r="J11" s="713">
        <f t="shared" si="0"/>
        <v>35883738.73445742</v>
      </c>
      <c r="K11" s="713">
        <f t="shared" si="0"/>
        <v>36382012.98707386</v>
      </c>
      <c r="L11" s="713">
        <f t="shared" si="0"/>
        <v>36891143.72857089</v>
      </c>
      <c r="M11" s="713">
        <f t="shared" si="0"/>
        <v>37411638.72736606</v>
      </c>
      <c r="N11" s="713">
        <f t="shared" si="0"/>
        <v>37944045.60233112</v>
      </c>
      <c r="O11" s="713">
        <f t="shared" si="0"/>
        <v>38488955.865123056</v>
      </c>
      <c r="P11" s="713">
        <f t="shared" si="0"/>
        <v>39047012.96353398</v>
      </c>
      <c r="Q11" s="713">
        <f t="shared" si="0"/>
        <v>39618910.32588523</v>
      </c>
      <c r="R11" s="713">
        <f t="shared" si="0"/>
        <v>40205400.40649116</v>
      </c>
      <c r="S11" s="713">
        <f t="shared" si="0"/>
        <v>40807301.73221918</v>
      </c>
      <c r="T11" s="713">
        <f t="shared" si="0"/>
        <v>41255939.205172814</v>
      </c>
      <c r="U11" s="713">
        <f t="shared" si="0"/>
        <v>41658419.214060605</v>
      </c>
      <c r="V11" s="713">
        <f t="shared" si="0"/>
        <v>42176712.140626304</v>
      </c>
      <c r="W11" s="713">
        <f t="shared" si="0"/>
        <v>42816601.13129982</v>
      </c>
      <c r="X11" s="713">
        <f t="shared" si="0"/>
        <v>43357062.16203593</v>
      </c>
      <c r="Y11" s="713">
        <f t="shared" si="0"/>
        <v>43908753.502671495</v>
      </c>
      <c r="Z11" s="713">
        <f t="shared" si="0"/>
        <v>44471966.102594234</v>
      </c>
    </row>
    <row r="12" spans="1:26" ht="13.5" customHeight="1">
      <c r="A12" s="702" t="s">
        <v>485</v>
      </c>
      <c r="B12" s="703" t="s">
        <v>486</v>
      </c>
      <c r="C12" s="709">
        <f>SUM(C13:C15)</f>
        <v>9930649</v>
      </c>
      <c r="D12" s="813">
        <f>SUM(D13:D15)</f>
        <v>9776059</v>
      </c>
      <c r="E12" s="709">
        <f>SUM(E13:E15)</f>
        <v>9746255</v>
      </c>
      <c r="F12" s="709">
        <f>SUM(F13:F15)</f>
        <v>9214884</v>
      </c>
      <c r="G12" s="709">
        <f>SUM(G13:G15)</f>
        <v>9063770.274999999</v>
      </c>
      <c r="H12" s="709">
        <f>H13+H14+H15</f>
        <v>9278309.181875</v>
      </c>
      <c r="I12" s="709">
        <f aca="true" t="shared" si="1" ref="I12:Z12">SUM(I13:I15)</f>
        <v>9499852.561421875</v>
      </c>
      <c r="J12" s="709">
        <f t="shared" si="1"/>
        <v>9728782.31995742</v>
      </c>
      <c r="K12" s="709">
        <f t="shared" si="1"/>
        <v>9965507.008428857</v>
      </c>
      <c r="L12" s="709">
        <f t="shared" si="1"/>
        <v>10210472.690139439</v>
      </c>
      <c r="M12" s="709">
        <f t="shared" si="1"/>
        <v>10464160.978550287</v>
      </c>
      <c r="N12" s="709">
        <f t="shared" si="1"/>
        <v>10727093.076027192</v>
      </c>
      <c r="O12" s="709">
        <f t="shared" si="1"/>
        <v>10999833.813556086</v>
      </c>
      <c r="P12" s="709">
        <f t="shared" si="1"/>
        <v>11282999.691451343</v>
      </c>
      <c r="Q12" s="709">
        <f t="shared" si="1"/>
        <v>11577256.921081763</v>
      </c>
      <c r="R12" s="709">
        <f t="shared" si="1"/>
        <v>11883330.467639666</v>
      </c>
      <c r="S12" s="709">
        <f t="shared" si="1"/>
        <v>12202011.093979169</v>
      </c>
      <c r="T12" s="709">
        <f t="shared" si="1"/>
        <v>12364595.6605504</v>
      </c>
      <c r="U12" s="709">
        <f t="shared" si="1"/>
        <v>12694454.319107022</v>
      </c>
      <c r="V12" s="709">
        <f t="shared" si="1"/>
        <v>13033482.77199465</v>
      </c>
      <c r="W12" s="709">
        <f t="shared" si="1"/>
        <v>13381939.46898185</v>
      </c>
      <c r="X12" s="709">
        <f t="shared" si="1"/>
        <v>13740090.204754084</v>
      </c>
      <c r="Y12" s="709">
        <f t="shared" si="1"/>
        <v>14108208.329084434</v>
      </c>
      <c r="Z12" s="709">
        <f t="shared" si="1"/>
        <v>14486574.963055234</v>
      </c>
    </row>
    <row r="13" spans="1:27" ht="13.5" customHeight="1">
      <c r="A13" s="702" t="s">
        <v>595</v>
      </c>
      <c r="B13" s="703" t="s">
        <v>487</v>
      </c>
      <c r="C13" s="709">
        <v>5867294</v>
      </c>
      <c r="D13" s="813">
        <f>'Dochody-ukł.wykon.'!H261+'Dochody-ukł.wykon.'!H268</f>
        <v>4729739</v>
      </c>
      <c r="E13" s="709">
        <v>4469457</v>
      </c>
      <c r="F13" s="709">
        <v>4610246</v>
      </c>
      <c r="G13" s="709">
        <v>4723220</v>
      </c>
      <c r="H13" s="709">
        <v>4840530</v>
      </c>
      <c r="I13" s="709">
        <v>4962470</v>
      </c>
      <c r="J13" s="709">
        <v>5089363</v>
      </c>
      <c r="K13" s="709">
        <v>5221557</v>
      </c>
      <c r="L13" s="709">
        <v>5359436</v>
      </c>
      <c r="M13" s="709">
        <v>5503418</v>
      </c>
      <c r="N13" s="709">
        <v>5653959</v>
      </c>
      <c r="O13" s="709">
        <v>5811557</v>
      </c>
      <c r="P13" s="709">
        <v>5976760</v>
      </c>
      <c r="Q13" s="709">
        <v>6150164</v>
      </c>
      <c r="R13" s="709">
        <v>6332422</v>
      </c>
      <c r="S13" s="709">
        <v>6524251</v>
      </c>
      <c r="T13" s="709">
        <f>S13*1.005</f>
        <v>6556872.254999999</v>
      </c>
      <c r="U13" s="709">
        <f aca="true" t="shared" si="2" ref="U13:Z13">T13*1.03</f>
        <v>6753578.422649999</v>
      </c>
      <c r="V13" s="709">
        <f t="shared" si="2"/>
        <v>6956185.7753294995</v>
      </c>
      <c r="W13" s="709">
        <f t="shared" si="2"/>
        <v>7164871.348589385</v>
      </c>
      <c r="X13" s="709">
        <f t="shared" si="2"/>
        <v>7379817.489047066</v>
      </c>
      <c r="Y13" s="709">
        <f t="shared" si="2"/>
        <v>7601212.013718478</v>
      </c>
      <c r="Z13" s="709">
        <f t="shared" si="2"/>
        <v>7829248.374130033</v>
      </c>
      <c r="AA13"/>
    </row>
    <row r="14" spans="1:26" ht="13.5" customHeight="1">
      <c r="A14" s="702" t="s">
        <v>596</v>
      </c>
      <c r="B14" s="703" t="s">
        <v>488</v>
      </c>
      <c r="C14" s="709">
        <v>994495</v>
      </c>
      <c r="D14" s="813">
        <f>'Dochody-ukł.wykon.'!H260</f>
        <v>1474524</v>
      </c>
      <c r="E14" s="709">
        <v>1342300</v>
      </c>
      <c r="F14" s="709">
        <v>920427</v>
      </c>
      <c r="G14" s="709">
        <v>564234</v>
      </c>
      <c r="H14" s="709">
        <v>567055</v>
      </c>
      <c r="I14" s="709">
        <f aca="true" t="shared" si="3" ref="I14:S14">H14*1.005</f>
        <v>569890.2749999999</v>
      </c>
      <c r="J14" s="709">
        <f t="shared" si="3"/>
        <v>572739.7263749999</v>
      </c>
      <c r="K14" s="709">
        <f t="shared" si="3"/>
        <v>575603.4250068748</v>
      </c>
      <c r="L14" s="709">
        <f t="shared" si="3"/>
        <v>578481.4421319092</v>
      </c>
      <c r="M14" s="709">
        <f t="shared" si="3"/>
        <v>581373.8493425687</v>
      </c>
      <c r="N14" s="709">
        <f t="shared" si="3"/>
        <v>584280.7185892814</v>
      </c>
      <c r="O14" s="709">
        <f t="shared" si="3"/>
        <v>587202.1221822278</v>
      </c>
      <c r="P14" s="709">
        <f t="shared" si="3"/>
        <v>590138.1327931389</v>
      </c>
      <c r="Q14" s="709">
        <f t="shared" si="3"/>
        <v>593088.8234571045</v>
      </c>
      <c r="R14" s="709">
        <f t="shared" si="3"/>
        <v>596054.2675743899</v>
      </c>
      <c r="S14" s="709">
        <f t="shared" si="3"/>
        <v>599034.5389122618</v>
      </c>
      <c r="T14" s="709">
        <f>S14*1.005</f>
        <v>602029.711606823</v>
      </c>
      <c r="U14" s="709">
        <f aca="true" t="shared" si="4" ref="U14:Z14">T14*1.005</f>
        <v>605039.8601648571</v>
      </c>
      <c r="V14" s="709">
        <f t="shared" si="4"/>
        <v>608065.0594656813</v>
      </c>
      <c r="W14" s="709">
        <f t="shared" si="4"/>
        <v>611105.3847630096</v>
      </c>
      <c r="X14" s="709">
        <f t="shared" si="4"/>
        <v>614160.9116868246</v>
      </c>
      <c r="Y14" s="709">
        <f t="shared" si="4"/>
        <v>617231.7162452587</v>
      </c>
      <c r="Z14" s="709">
        <f t="shared" si="4"/>
        <v>620317.874826485</v>
      </c>
    </row>
    <row r="15" spans="1:29" ht="13.5" customHeight="1">
      <c r="A15" s="702" t="s">
        <v>597</v>
      </c>
      <c r="B15" s="701" t="s">
        <v>489</v>
      </c>
      <c r="C15" s="710">
        <v>3068860</v>
      </c>
      <c r="D15" s="812">
        <f>'Dochody-ukł.wykon.'!H259</f>
        <v>3571796</v>
      </c>
      <c r="E15" s="710">
        <v>3934498</v>
      </c>
      <c r="F15" s="710">
        <v>3684211</v>
      </c>
      <c r="G15" s="710">
        <f aca="true" t="shared" si="5" ref="G15:Z15">F15*1.025</f>
        <v>3776316.2749999994</v>
      </c>
      <c r="H15" s="710">
        <f t="shared" si="5"/>
        <v>3870724.1818749993</v>
      </c>
      <c r="I15" s="710">
        <f t="shared" si="5"/>
        <v>3967492.286421874</v>
      </c>
      <c r="J15" s="710">
        <f t="shared" si="5"/>
        <v>4066679.5935824206</v>
      </c>
      <c r="K15" s="710">
        <f t="shared" si="5"/>
        <v>4168346.583421981</v>
      </c>
      <c r="L15" s="710">
        <f t="shared" si="5"/>
        <v>4272555.24800753</v>
      </c>
      <c r="M15" s="710">
        <f t="shared" si="5"/>
        <v>4379369.129207718</v>
      </c>
      <c r="N15" s="710">
        <f t="shared" si="5"/>
        <v>4488853.3574379105</v>
      </c>
      <c r="O15" s="710">
        <f t="shared" si="5"/>
        <v>4601074.691373858</v>
      </c>
      <c r="P15" s="710">
        <f t="shared" si="5"/>
        <v>4716101.558658204</v>
      </c>
      <c r="Q15" s="710">
        <f t="shared" si="5"/>
        <v>4834004.097624659</v>
      </c>
      <c r="R15" s="710">
        <f t="shared" si="5"/>
        <v>4954854.200065275</v>
      </c>
      <c r="S15" s="710">
        <f t="shared" si="5"/>
        <v>5078725.555066906</v>
      </c>
      <c r="T15" s="710">
        <f t="shared" si="5"/>
        <v>5205693.693943578</v>
      </c>
      <c r="U15" s="710">
        <f t="shared" si="5"/>
        <v>5335836.036292166</v>
      </c>
      <c r="V15" s="710">
        <f t="shared" si="5"/>
        <v>5469231.937199471</v>
      </c>
      <c r="W15" s="710">
        <f t="shared" si="5"/>
        <v>5605962.735629457</v>
      </c>
      <c r="X15" s="710">
        <f t="shared" si="5"/>
        <v>5746111.804020193</v>
      </c>
      <c r="Y15" s="710">
        <f t="shared" si="5"/>
        <v>5889764.599120698</v>
      </c>
      <c r="Z15" s="710">
        <f t="shared" si="5"/>
        <v>6037008.714098715</v>
      </c>
      <c r="AA15"/>
      <c r="AB15"/>
      <c r="AC15"/>
    </row>
    <row r="16" spans="1:26" ht="13.5" customHeight="1">
      <c r="A16" s="702" t="s">
        <v>490</v>
      </c>
      <c r="B16" s="704" t="s">
        <v>491</v>
      </c>
      <c r="C16" s="709">
        <v>16726387</v>
      </c>
      <c r="D16" s="813">
        <f>'Dochody-ukł.wykon.'!H267</f>
        <v>19893594</v>
      </c>
      <c r="E16" s="709">
        <v>20026170</v>
      </c>
      <c r="F16" s="709">
        <v>19200623</v>
      </c>
      <c r="G16" s="709">
        <v>19392629</v>
      </c>
      <c r="H16" s="709">
        <v>19586556</v>
      </c>
      <c r="I16" s="709">
        <v>19782421</v>
      </c>
      <c r="J16" s="709">
        <f aca="true" t="shared" si="6" ref="J16:T16">I16*1.01</f>
        <v>19980245.21</v>
      </c>
      <c r="K16" s="709">
        <f t="shared" si="6"/>
        <v>20180047.662100002</v>
      </c>
      <c r="L16" s="709">
        <f t="shared" si="6"/>
        <v>20381848.138721004</v>
      </c>
      <c r="M16" s="709">
        <f t="shared" si="6"/>
        <v>20585666.620108213</v>
      </c>
      <c r="N16" s="709">
        <f t="shared" si="6"/>
        <v>20791523.286309294</v>
      </c>
      <c r="O16" s="709">
        <f t="shared" si="6"/>
        <v>20999438.51917239</v>
      </c>
      <c r="P16" s="709">
        <f t="shared" si="6"/>
        <v>21209432.904364113</v>
      </c>
      <c r="Q16" s="709">
        <f t="shared" si="6"/>
        <v>21421527.233407754</v>
      </c>
      <c r="R16" s="709">
        <f t="shared" si="6"/>
        <v>21635742.50574183</v>
      </c>
      <c r="S16" s="709">
        <f t="shared" si="6"/>
        <v>21852099.93079925</v>
      </c>
      <c r="T16" s="709">
        <f t="shared" si="6"/>
        <v>22070620.930107243</v>
      </c>
      <c r="U16" s="709">
        <f>T16*1.0002</f>
        <v>22075035.054293264</v>
      </c>
      <c r="V16" s="709">
        <f>U16*1.005</f>
        <v>22185410.229564726</v>
      </c>
      <c r="W16" s="709">
        <f>V16*1.01</f>
        <v>22407264.331860375</v>
      </c>
      <c r="X16" s="709">
        <f>W16*1.005</f>
        <v>22519300.653519675</v>
      </c>
      <c r="Y16" s="709">
        <f>X16*1.005</f>
        <v>22631897.156787273</v>
      </c>
      <c r="Z16" s="709">
        <f>Y16*1.005</f>
        <v>22745056.642571207</v>
      </c>
    </row>
    <row r="17" spans="1:26" ht="13.5" customHeight="1">
      <c r="A17" s="702" t="s">
        <v>492</v>
      </c>
      <c r="B17" s="703" t="s">
        <v>493</v>
      </c>
      <c r="C17" s="709">
        <v>11295618</v>
      </c>
      <c r="D17" s="813">
        <f>'Dochody-ukł.wykon.'!H262</f>
        <v>6962058</v>
      </c>
      <c r="E17" s="709">
        <v>4137327</v>
      </c>
      <c r="F17" s="709">
        <v>5933776</v>
      </c>
      <c r="G17" s="709">
        <v>5993114</v>
      </c>
      <c r="H17" s="709">
        <v>6053045</v>
      </c>
      <c r="I17" s="709">
        <f>H17*1.01</f>
        <v>6113575.45</v>
      </c>
      <c r="J17" s="709">
        <f aca="true" t="shared" si="7" ref="J17:T17">I17*1.01</f>
        <v>6174711.2045</v>
      </c>
      <c r="K17" s="709">
        <f t="shared" si="7"/>
        <v>6236458.316545</v>
      </c>
      <c r="L17" s="709">
        <f t="shared" si="7"/>
        <v>6298822.89971045</v>
      </c>
      <c r="M17" s="709">
        <f t="shared" si="7"/>
        <v>6361811.128707555</v>
      </c>
      <c r="N17" s="709">
        <f t="shared" si="7"/>
        <v>6425429.239994631</v>
      </c>
      <c r="O17" s="709">
        <f t="shared" si="7"/>
        <v>6489683.532394578</v>
      </c>
      <c r="P17" s="709">
        <f t="shared" si="7"/>
        <v>6554580.367718523</v>
      </c>
      <c r="Q17" s="709">
        <f t="shared" si="7"/>
        <v>6620126.171395709</v>
      </c>
      <c r="R17" s="709">
        <f t="shared" si="7"/>
        <v>6686327.433109666</v>
      </c>
      <c r="S17" s="709">
        <f t="shared" si="7"/>
        <v>6753190.707440763</v>
      </c>
      <c r="T17" s="709">
        <f t="shared" si="7"/>
        <v>6820722.61451517</v>
      </c>
      <c r="U17" s="709">
        <f>T17*1.01</f>
        <v>6888929.840660322</v>
      </c>
      <c r="V17" s="709">
        <f>U17*1.01</f>
        <v>6957819.139066926</v>
      </c>
      <c r="W17" s="709">
        <f>V17*1.01</f>
        <v>7027397.330457595</v>
      </c>
      <c r="X17" s="709">
        <f aca="true" t="shared" si="8" ref="X17:Z18">W17*1.01</f>
        <v>7097671.303762171</v>
      </c>
      <c r="Y17" s="709">
        <f t="shared" si="8"/>
        <v>7168648.016799794</v>
      </c>
      <c r="Z17" s="709">
        <f t="shared" si="8"/>
        <v>7240334.496967792</v>
      </c>
    </row>
    <row r="18" spans="1:26" ht="13.5" customHeight="1">
      <c r="A18" s="702" t="s">
        <v>599</v>
      </c>
      <c r="B18" s="705" t="s">
        <v>494</v>
      </c>
      <c r="C18" s="714">
        <v>38611589</v>
      </c>
      <c r="D18" s="814">
        <f>'WYDATKI ukł.wyk.'!H666</f>
        <v>33995682</v>
      </c>
      <c r="E18" s="714">
        <v>32668935</v>
      </c>
      <c r="F18" s="714">
        <v>33649589</v>
      </c>
      <c r="G18" s="714">
        <v>33916959</v>
      </c>
      <c r="H18" s="714">
        <v>34186658</v>
      </c>
      <c r="I18" s="714">
        <v>34458707</v>
      </c>
      <c r="J18" s="714">
        <v>34733127</v>
      </c>
      <c r="K18" s="714">
        <v>35009940</v>
      </c>
      <c r="L18" s="714">
        <v>35289169</v>
      </c>
      <c r="M18" s="714">
        <v>35570836</v>
      </c>
      <c r="N18" s="714">
        <v>35854963</v>
      </c>
      <c r="O18" s="714">
        <v>36141574</v>
      </c>
      <c r="P18" s="714">
        <v>36430691</v>
      </c>
      <c r="Q18" s="714">
        <v>36722338</v>
      </c>
      <c r="R18" s="714">
        <v>37016538</v>
      </c>
      <c r="S18" s="714">
        <v>37313315</v>
      </c>
      <c r="T18" s="714">
        <f>S18*1.01</f>
        <v>37686448.15</v>
      </c>
      <c r="U18" s="714">
        <f>T18*1.01</f>
        <v>38063312.6315</v>
      </c>
      <c r="V18" s="714">
        <f>U18*1.01</f>
        <v>38443945.757814996</v>
      </c>
      <c r="W18" s="714">
        <f>V18*1.01</f>
        <v>38828385.21539315</v>
      </c>
      <c r="X18" s="714">
        <f t="shared" si="8"/>
        <v>39216669.06754708</v>
      </c>
      <c r="Y18" s="714">
        <f t="shared" si="8"/>
        <v>39608835.75822256</v>
      </c>
      <c r="Z18" s="714">
        <f t="shared" si="8"/>
        <v>40004924.115804784</v>
      </c>
    </row>
    <row r="19" spans="1:26" ht="13.5" customHeight="1">
      <c r="A19" s="702" t="s">
        <v>600</v>
      </c>
      <c r="B19" s="705" t="s">
        <v>495</v>
      </c>
      <c r="C19" s="714">
        <f aca="true" t="shared" si="9" ref="C19:Z19">C20+C24+C28+C29+C30</f>
        <v>1224421</v>
      </c>
      <c r="D19" s="714">
        <f t="shared" si="9"/>
        <v>4959085</v>
      </c>
      <c r="E19" s="714">
        <f t="shared" si="9"/>
        <v>1361219</v>
      </c>
      <c r="F19" s="714">
        <f t="shared" si="9"/>
        <v>966143.277</v>
      </c>
      <c r="G19" s="714">
        <f t="shared" si="9"/>
        <v>966143.277</v>
      </c>
      <c r="H19" s="714">
        <f t="shared" si="9"/>
        <v>966143.277</v>
      </c>
      <c r="I19" s="714">
        <f t="shared" si="9"/>
        <v>966143.277</v>
      </c>
      <c r="J19" s="714">
        <f t="shared" si="9"/>
        <v>1534623.02</v>
      </c>
      <c r="K19" s="714">
        <f t="shared" si="9"/>
        <v>1864179.04</v>
      </c>
      <c r="L19" s="714">
        <f t="shared" si="9"/>
        <v>1805638.06</v>
      </c>
      <c r="M19" s="714">
        <f t="shared" si="9"/>
        <v>1458209.08</v>
      </c>
      <c r="N19" s="714">
        <f t="shared" si="9"/>
        <v>1399385.8</v>
      </c>
      <c r="O19" s="714">
        <f t="shared" si="9"/>
        <v>1184280.12</v>
      </c>
      <c r="P19" s="714">
        <f t="shared" si="9"/>
        <v>1135574.44</v>
      </c>
      <c r="Q19" s="714">
        <f t="shared" si="9"/>
        <v>1086868.76</v>
      </c>
      <c r="R19" s="714">
        <f t="shared" si="9"/>
        <v>1063163.08</v>
      </c>
      <c r="S19" s="714">
        <f t="shared" si="9"/>
        <v>1014457.4</v>
      </c>
      <c r="T19" s="714">
        <f t="shared" si="9"/>
        <v>564351.72</v>
      </c>
      <c r="U19" s="714">
        <f t="shared" si="9"/>
        <v>564246.04</v>
      </c>
      <c r="V19" s="714">
        <f t="shared" si="9"/>
        <v>539140.36</v>
      </c>
      <c r="W19" s="714">
        <f t="shared" si="9"/>
        <v>639034.6799999999</v>
      </c>
      <c r="X19" s="714">
        <f t="shared" si="9"/>
        <v>476929</v>
      </c>
      <c r="Y19" s="714">
        <f t="shared" si="9"/>
        <v>450823.32</v>
      </c>
      <c r="Z19" s="714">
        <f t="shared" si="9"/>
        <v>237647</v>
      </c>
    </row>
    <row r="20" spans="1:26" ht="26.25" customHeight="1">
      <c r="A20" s="702" t="s">
        <v>485</v>
      </c>
      <c r="B20" s="706" t="s">
        <v>496</v>
      </c>
      <c r="C20" s="709">
        <f aca="true" t="shared" si="10" ref="C20:Z20">SUM(C21:C23)</f>
        <v>1224421</v>
      </c>
      <c r="D20" s="709">
        <f t="shared" si="10"/>
        <v>4655197</v>
      </c>
      <c r="E20" s="709">
        <f t="shared" si="10"/>
        <v>1042331</v>
      </c>
      <c r="F20" s="709">
        <f t="shared" si="10"/>
        <v>677255.277</v>
      </c>
      <c r="G20" s="709">
        <f t="shared" si="10"/>
        <v>677255.277</v>
      </c>
      <c r="H20" s="709">
        <f t="shared" si="10"/>
        <v>677255.277</v>
      </c>
      <c r="I20" s="709">
        <f t="shared" si="10"/>
        <v>677255.277</v>
      </c>
      <c r="J20" s="709">
        <f t="shared" si="10"/>
        <v>845735.02</v>
      </c>
      <c r="K20" s="709">
        <f t="shared" si="10"/>
        <v>1175291.04</v>
      </c>
      <c r="L20" s="709">
        <f t="shared" si="10"/>
        <v>1116750.06</v>
      </c>
      <c r="M20" s="709">
        <f t="shared" si="10"/>
        <v>1058209.08</v>
      </c>
      <c r="N20" s="709">
        <f t="shared" si="10"/>
        <v>999385.8</v>
      </c>
      <c r="O20" s="709">
        <f t="shared" si="10"/>
        <v>784280.12</v>
      </c>
      <c r="P20" s="709">
        <f t="shared" si="10"/>
        <v>735574.44</v>
      </c>
      <c r="Q20" s="709">
        <f t="shared" si="10"/>
        <v>686868.76</v>
      </c>
      <c r="R20" s="709">
        <f t="shared" si="10"/>
        <v>663163.0800000001</v>
      </c>
      <c r="S20" s="709">
        <f t="shared" si="10"/>
        <v>614457.4</v>
      </c>
      <c r="T20" s="709">
        <f t="shared" si="10"/>
        <v>564351.72</v>
      </c>
      <c r="U20" s="709">
        <f t="shared" si="10"/>
        <v>564246.04</v>
      </c>
      <c r="V20" s="709">
        <f t="shared" si="10"/>
        <v>539140.36</v>
      </c>
      <c r="W20" s="709">
        <f t="shared" si="10"/>
        <v>639034.6799999999</v>
      </c>
      <c r="X20" s="709">
        <f t="shared" si="10"/>
        <v>476929</v>
      </c>
      <c r="Y20" s="709">
        <f t="shared" si="10"/>
        <v>450823.32</v>
      </c>
      <c r="Z20" s="709">
        <f t="shared" si="10"/>
        <v>237647</v>
      </c>
    </row>
    <row r="21" spans="1:26" ht="13.5" customHeight="1">
      <c r="A21" s="702" t="s">
        <v>595</v>
      </c>
      <c r="B21" s="703" t="s">
        <v>497</v>
      </c>
      <c r="C21" s="709">
        <v>628734</v>
      </c>
      <c r="D21" s="709">
        <f>'Żródła finans.'!E27+'Żródła finans.'!E28</f>
        <v>4000000</v>
      </c>
      <c r="E21" s="709">
        <v>0</v>
      </c>
      <c r="F21" s="709">
        <v>0</v>
      </c>
      <c r="G21" s="709">
        <v>0</v>
      </c>
      <c r="H21" s="709">
        <v>0</v>
      </c>
      <c r="I21" s="709">
        <v>0</v>
      </c>
      <c r="J21" s="709">
        <v>204123</v>
      </c>
      <c r="K21" s="709">
        <v>592220</v>
      </c>
      <c r="L21" s="709">
        <v>592220</v>
      </c>
      <c r="M21" s="709">
        <v>592220</v>
      </c>
      <c r="N21" s="709">
        <v>591920</v>
      </c>
      <c r="O21" s="709">
        <v>425520</v>
      </c>
      <c r="P21" s="709">
        <v>425520</v>
      </c>
      <c r="Q21" s="709">
        <v>425520</v>
      </c>
      <c r="R21" s="709">
        <v>425520</v>
      </c>
      <c r="S21" s="709">
        <v>425520</v>
      </c>
      <c r="T21" s="709">
        <v>425520</v>
      </c>
      <c r="U21" s="709">
        <v>425520</v>
      </c>
      <c r="V21" s="709">
        <v>425520</v>
      </c>
      <c r="W21" s="709">
        <v>425520</v>
      </c>
      <c r="X21" s="709">
        <v>425520</v>
      </c>
      <c r="Y21" s="709">
        <v>425520</v>
      </c>
      <c r="Z21" s="709">
        <v>225480</v>
      </c>
    </row>
    <row r="22" spans="1:26" ht="24" customHeight="1">
      <c r="A22" s="702" t="s">
        <v>596</v>
      </c>
      <c r="B22" s="706" t="s">
        <v>498</v>
      </c>
      <c r="C22" s="703"/>
      <c r="D22" s="703"/>
      <c r="E22" s="703"/>
      <c r="F22" s="703"/>
      <c r="G22" s="703"/>
      <c r="H22" s="703"/>
      <c r="I22" s="703"/>
      <c r="J22" s="703"/>
      <c r="K22" s="703"/>
      <c r="L22" s="703"/>
      <c r="M22" s="703"/>
      <c r="N22" s="703"/>
      <c r="O22" s="703"/>
      <c r="P22" s="703"/>
      <c r="Q22" s="703"/>
      <c r="R22" s="703"/>
      <c r="S22" s="703"/>
      <c r="T22" s="703"/>
      <c r="U22" s="703"/>
      <c r="V22" s="703"/>
      <c r="W22" s="703"/>
      <c r="X22" s="703"/>
      <c r="Y22" s="703"/>
      <c r="Z22" s="703"/>
    </row>
    <row r="23" spans="1:26" ht="13.5" customHeight="1">
      <c r="A23" s="702" t="s">
        <v>597</v>
      </c>
      <c r="B23" s="703" t="s">
        <v>499</v>
      </c>
      <c r="C23" s="709">
        <v>595687</v>
      </c>
      <c r="D23" s="709">
        <v>655197</v>
      </c>
      <c r="E23" s="709">
        <v>1042331</v>
      </c>
      <c r="F23" s="709">
        <f>F32*5.9%</f>
        <v>677255.277</v>
      </c>
      <c r="G23" s="709">
        <f aca="true" t="shared" si="11" ref="G23:Q23">G32*5.9%</f>
        <v>677255.277</v>
      </c>
      <c r="H23" s="709">
        <f t="shared" si="11"/>
        <v>677255.277</v>
      </c>
      <c r="I23" s="709">
        <f t="shared" si="11"/>
        <v>677255.277</v>
      </c>
      <c r="J23" s="709">
        <f t="shared" si="11"/>
        <v>641612.02</v>
      </c>
      <c r="K23" s="709">
        <f t="shared" si="11"/>
        <v>583071.04</v>
      </c>
      <c r="L23" s="709">
        <f t="shared" si="11"/>
        <v>524530.06</v>
      </c>
      <c r="M23" s="709">
        <f t="shared" si="11"/>
        <v>465989.08</v>
      </c>
      <c r="N23" s="709">
        <f t="shared" si="11"/>
        <v>407465.80000000005</v>
      </c>
      <c r="O23" s="709">
        <f t="shared" si="11"/>
        <v>358760.12</v>
      </c>
      <c r="P23" s="709">
        <f t="shared" si="11"/>
        <v>310054.44</v>
      </c>
      <c r="Q23" s="709">
        <f t="shared" si="11"/>
        <v>261348.76</v>
      </c>
      <c r="R23" s="709">
        <f>R32*5.9%+25000</f>
        <v>237643.08000000002</v>
      </c>
      <c r="S23" s="709">
        <f>S32*5.9%+25000</f>
        <v>188937.40000000002</v>
      </c>
      <c r="T23" s="709">
        <f>T32*5.9%</f>
        <v>138831.72</v>
      </c>
      <c r="U23" s="709">
        <f>U32*5.9%+25000</f>
        <v>138726.04</v>
      </c>
      <c r="V23" s="709">
        <f>V32*5.9%+25000</f>
        <v>113620.36</v>
      </c>
      <c r="W23" s="709">
        <f>W32*5.9%+150000</f>
        <v>213514.68</v>
      </c>
      <c r="X23" s="709">
        <f>X32*5.9%+13000</f>
        <v>51409</v>
      </c>
      <c r="Y23" s="709">
        <f>Y32*5.9%+12000</f>
        <v>25303.32</v>
      </c>
      <c r="Z23" s="709">
        <v>12167</v>
      </c>
    </row>
    <row r="24" spans="1:26" ht="22.5" customHeight="1">
      <c r="A24" s="702" t="s">
        <v>490</v>
      </c>
      <c r="B24" s="706" t="s">
        <v>500</v>
      </c>
      <c r="C24" s="703"/>
      <c r="D24" s="703"/>
      <c r="E24" s="703"/>
      <c r="F24" s="703"/>
      <c r="G24" s="703"/>
      <c r="H24" s="703"/>
      <c r="I24" s="703"/>
      <c r="J24" s="703"/>
      <c r="K24" s="703"/>
      <c r="L24" s="703"/>
      <c r="M24" s="703"/>
      <c r="N24" s="703"/>
      <c r="O24" s="703"/>
      <c r="P24" s="703"/>
      <c r="Q24" s="703"/>
      <c r="R24" s="703"/>
      <c r="S24" s="703"/>
      <c r="T24" s="703"/>
      <c r="U24" s="703"/>
      <c r="V24" s="703"/>
      <c r="W24" s="703"/>
      <c r="X24" s="703"/>
      <c r="Y24" s="703"/>
      <c r="Z24" s="703"/>
    </row>
    <row r="25" spans="1:26" ht="13.5" customHeight="1">
      <c r="A25" s="702" t="s">
        <v>595</v>
      </c>
      <c r="B25" s="703" t="s">
        <v>497</v>
      </c>
      <c r="C25" s="703"/>
      <c r="D25" s="703"/>
      <c r="E25" s="703"/>
      <c r="F25" s="703"/>
      <c r="G25" s="703"/>
      <c r="H25" s="703"/>
      <c r="I25" s="703"/>
      <c r="J25" s="703"/>
      <c r="K25" s="703"/>
      <c r="L25" s="703"/>
      <c r="M25" s="703"/>
      <c r="N25" s="703"/>
      <c r="O25" s="703"/>
      <c r="P25" s="703"/>
      <c r="Q25" s="703"/>
      <c r="R25" s="703"/>
      <c r="S25" s="703"/>
      <c r="T25" s="703"/>
      <c r="U25" s="703"/>
      <c r="V25" s="703"/>
      <c r="W25" s="703"/>
      <c r="X25" s="703"/>
      <c r="Y25" s="703"/>
      <c r="Z25" s="703"/>
    </row>
    <row r="26" spans="1:26" ht="49.5" customHeight="1">
      <c r="A26" s="702" t="s">
        <v>596</v>
      </c>
      <c r="B26" s="706" t="s">
        <v>498</v>
      </c>
      <c r="C26" s="703"/>
      <c r="D26" s="703"/>
      <c r="E26" s="703"/>
      <c r="F26" s="703"/>
      <c r="G26" s="703"/>
      <c r="H26" s="703"/>
      <c r="I26" s="703"/>
      <c r="J26" s="703"/>
      <c r="K26" s="703"/>
      <c r="L26" s="703"/>
      <c r="M26" s="703"/>
      <c r="N26" s="703"/>
      <c r="O26" s="703"/>
      <c r="P26" s="703"/>
      <c r="Q26" s="703"/>
      <c r="R26" s="703"/>
      <c r="S26" s="703"/>
      <c r="T26" s="703"/>
      <c r="U26" s="703"/>
      <c r="V26" s="703"/>
      <c r="W26" s="703"/>
      <c r="X26" s="703"/>
      <c r="Y26" s="703"/>
      <c r="Z26" s="703"/>
    </row>
    <row r="27" spans="1:26" ht="13.5" customHeight="1">
      <c r="A27" s="702" t="s">
        <v>597</v>
      </c>
      <c r="B27" s="703" t="s">
        <v>499</v>
      </c>
      <c r="C27" s="709"/>
      <c r="D27" s="703"/>
      <c r="E27" s="703"/>
      <c r="F27" s="703"/>
      <c r="G27" s="703"/>
      <c r="H27" s="703"/>
      <c r="I27" s="703"/>
      <c r="J27" s="703"/>
      <c r="K27" s="703"/>
      <c r="L27" s="703"/>
      <c r="M27" s="703"/>
      <c r="N27" s="703"/>
      <c r="O27" s="703"/>
      <c r="P27" s="703"/>
      <c r="Q27" s="703"/>
      <c r="R27" s="703"/>
      <c r="S27" s="703"/>
      <c r="T27" s="703"/>
      <c r="U27" s="703"/>
      <c r="V27" s="703"/>
      <c r="W27" s="703"/>
      <c r="X27" s="703"/>
      <c r="Y27" s="703"/>
      <c r="Z27" s="703"/>
    </row>
    <row r="28" spans="1:26" ht="13.5" customHeight="1">
      <c r="A28" s="702" t="s">
        <v>492</v>
      </c>
      <c r="B28" s="703" t="s">
        <v>501</v>
      </c>
      <c r="C28" s="709"/>
      <c r="D28" s="709"/>
      <c r="E28" s="709"/>
      <c r="F28" s="709">
        <v>288888</v>
      </c>
      <c r="G28" s="709">
        <v>288888</v>
      </c>
      <c r="H28" s="709">
        <v>288888</v>
      </c>
      <c r="I28" s="709">
        <v>288888</v>
      </c>
      <c r="J28" s="709">
        <v>288888</v>
      </c>
      <c r="K28" s="709">
        <v>288888</v>
      </c>
      <c r="L28" s="709">
        <v>288888</v>
      </c>
      <c r="M28" s="703"/>
      <c r="N28" s="703"/>
      <c r="O28" s="703"/>
      <c r="P28" s="703"/>
      <c r="Q28" s="703"/>
      <c r="R28" s="703"/>
      <c r="S28" s="703"/>
      <c r="T28" s="703"/>
      <c r="U28" s="703"/>
      <c r="V28" s="703"/>
      <c r="W28" s="703"/>
      <c r="X28" s="703"/>
      <c r="Y28" s="703"/>
      <c r="Z28" s="703"/>
    </row>
    <row r="29" spans="1:26" ht="13.5" customHeight="1">
      <c r="A29" s="702" t="s">
        <v>502</v>
      </c>
      <c r="B29" s="703" t="s">
        <v>503</v>
      </c>
      <c r="C29" s="703"/>
      <c r="D29" s="703"/>
      <c r="E29" s="703"/>
      <c r="F29" s="703"/>
      <c r="G29" s="703"/>
      <c r="H29" s="703"/>
      <c r="I29" s="703"/>
      <c r="J29" s="709">
        <v>400000</v>
      </c>
      <c r="K29" s="709">
        <v>400000</v>
      </c>
      <c r="L29" s="709">
        <v>400000</v>
      </c>
      <c r="M29" s="709">
        <v>400000</v>
      </c>
      <c r="N29" s="709">
        <v>400000</v>
      </c>
      <c r="O29" s="709">
        <v>400000</v>
      </c>
      <c r="P29" s="709">
        <v>400000</v>
      </c>
      <c r="Q29" s="709">
        <v>400000</v>
      </c>
      <c r="R29" s="709">
        <v>400000</v>
      </c>
      <c r="S29" s="709">
        <v>400000</v>
      </c>
      <c r="T29" s="703"/>
      <c r="U29" s="703"/>
      <c r="V29" s="703"/>
      <c r="W29" s="703"/>
      <c r="X29" s="703"/>
      <c r="Y29" s="703"/>
      <c r="Z29" s="703"/>
    </row>
    <row r="30" spans="1:26" ht="13.5" customHeight="1">
      <c r="A30" s="702" t="s">
        <v>453</v>
      </c>
      <c r="B30" s="703" t="s">
        <v>454</v>
      </c>
      <c r="C30" s="709"/>
      <c r="D30" s="709">
        <f>'Żródła finans.'!E30</f>
        <v>303888</v>
      </c>
      <c r="E30" s="709">
        <v>318888</v>
      </c>
      <c r="F30" s="703"/>
      <c r="G30" s="703"/>
      <c r="H30" s="703"/>
      <c r="I30" s="703"/>
      <c r="J30" s="703"/>
      <c r="K30" s="703"/>
      <c r="L30" s="703"/>
      <c r="M30" s="703"/>
      <c r="N30" s="703"/>
      <c r="O30" s="703"/>
      <c r="P30" s="703"/>
      <c r="Q30" s="703"/>
      <c r="R30" s="703"/>
      <c r="S30" s="703"/>
      <c r="T30" s="703"/>
      <c r="U30" s="703"/>
      <c r="V30" s="703"/>
      <c r="W30" s="703"/>
      <c r="X30" s="703"/>
      <c r="Y30" s="703"/>
      <c r="Z30" s="703"/>
    </row>
    <row r="31" spans="1:26" ht="13.5" customHeight="1">
      <c r="A31" s="702" t="s">
        <v>621</v>
      </c>
      <c r="B31" s="705" t="s">
        <v>504</v>
      </c>
      <c r="C31" s="714">
        <f aca="true" t="shared" si="12" ref="C31:Z31">C11-C18</f>
        <v>-658935</v>
      </c>
      <c r="D31" s="714">
        <f t="shared" si="12"/>
        <v>2636029</v>
      </c>
      <c r="E31" s="714">
        <f t="shared" si="12"/>
        <v>1240817</v>
      </c>
      <c r="F31" s="714">
        <f t="shared" si="12"/>
        <v>699694</v>
      </c>
      <c r="G31" s="714">
        <f t="shared" si="12"/>
        <v>532554.2749999985</v>
      </c>
      <c r="H31" s="714">
        <f t="shared" si="12"/>
        <v>731252.1818749979</v>
      </c>
      <c r="I31" s="714">
        <f t="shared" si="12"/>
        <v>937142.0114218742</v>
      </c>
      <c r="J31" s="714">
        <f t="shared" si="12"/>
        <v>1150611.7344574183</v>
      </c>
      <c r="K31" s="714">
        <f t="shared" si="12"/>
        <v>1372072.987073861</v>
      </c>
      <c r="L31" s="714">
        <f t="shared" si="12"/>
        <v>1601974.7285708934</v>
      </c>
      <c r="M31" s="714">
        <f t="shared" si="12"/>
        <v>1840802.72736606</v>
      </c>
      <c r="N31" s="714">
        <f t="shared" si="12"/>
        <v>2089082.6023311168</v>
      </c>
      <c r="O31" s="714">
        <f t="shared" si="12"/>
        <v>2347381.865123056</v>
      </c>
      <c r="P31" s="714">
        <f t="shared" si="12"/>
        <v>2616321.9635339826</v>
      </c>
      <c r="Q31" s="714">
        <f t="shared" si="12"/>
        <v>2896572.325885229</v>
      </c>
      <c r="R31" s="714">
        <f t="shared" si="12"/>
        <v>3188862.4064911604</v>
      </c>
      <c r="S31" s="714">
        <f t="shared" si="12"/>
        <v>3493986.732219182</v>
      </c>
      <c r="T31" s="714">
        <f t="shared" si="12"/>
        <v>3569491.055172816</v>
      </c>
      <c r="U31" s="714">
        <f t="shared" si="12"/>
        <v>3595106.5825606063</v>
      </c>
      <c r="V31" s="714">
        <f t="shared" si="12"/>
        <v>3732766.382811308</v>
      </c>
      <c r="W31" s="714">
        <f t="shared" si="12"/>
        <v>3988215.915906675</v>
      </c>
      <c r="X31" s="714">
        <f t="shared" si="12"/>
        <v>4140393.0944888443</v>
      </c>
      <c r="Y31" s="714">
        <f t="shared" si="12"/>
        <v>4299917.7444489375</v>
      </c>
      <c r="Z31" s="714">
        <f t="shared" si="12"/>
        <v>4467041.98678945</v>
      </c>
    </row>
    <row r="32" spans="1:26" ht="13.5" customHeight="1">
      <c r="A32" s="702" t="s">
        <v>505</v>
      </c>
      <c r="B32" s="705" t="s">
        <v>506</v>
      </c>
      <c r="C32" s="714">
        <f>'Prognoza dł. 8'!D32</f>
        <v>11488903</v>
      </c>
      <c r="D32" s="714">
        <f>'Prognoza dł. 8'!E32</f>
        <v>11488903</v>
      </c>
      <c r="E32" s="714">
        <f>'Prognoza dł. 8'!F32</f>
        <v>11478903</v>
      </c>
      <c r="F32" s="714">
        <f>'Prognoza dł. 8'!G32</f>
        <v>11478903</v>
      </c>
      <c r="G32" s="714">
        <f>'Prognoza dł. 8'!H32</f>
        <v>11478903</v>
      </c>
      <c r="H32" s="714">
        <f>'Prognoza dł. 8'!I32</f>
        <v>11478903</v>
      </c>
      <c r="I32" s="714">
        <f>'Prognoza dł. 8'!J32</f>
        <v>11478903</v>
      </c>
      <c r="J32" s="714">
        <f>'Prognoza dł. 8'!K32</f>
        <v>10874780</v>
      </c>
      <c r="K32" s="714">
        <f>'Prognoza dł. 8'!L32</f>
        <v>9882560</v>
      </c>
      <c r="L32" s="714">
        <f>'Prognoza dł. 8'!M32</f>
        <v>8890340</v>
      </c>
      <c r="M32" s="714">
        <f>'Prognoza dł. 8'!N32</f>
        <v>7898120</v>
      </c>
      <c r="N32" s="714">
        <f>'Prognoza dł. 8'!O32</f>
        <v>6906200</v>
      </c>
      <c r="O32" s="714">
        <f>'Prognoza dł. 8'!P32</f>
        <v>6080680</v>
      </c>
      <c r="P32" s="714">
        <f>'Prognoza dł. 8'!Q32</f>
        <v>5255160</v>
      </c>
      <c r="Q32" s="714">
        <f>'Prognoza dł. 8'!R32</f>
        <v>4429640</v>
      </c>
      <c r="R32" s="714">
        <f>'Prognoza dł. 8'!S32</f>
        <v>3604120</v>
      </c>
      <c r="S32" s="714">
        <f>'Prognoza dł. 8'!T32</f>
        <v>2778600</v>
      </c>
      <c r="T32" s="714">
        <f>'Prognoza dł. 8'!U32</f>
        <v>2353080</v>
      </c>
      <c r="U32" s="714">
        <f>'Prognoza dł. 8'!V32</f>
        <v>1927560</v>
      </c>
      <c r="V32" s="714">
        <f>'Prognoza dł. 8'!W32</f>
        <v>1502040</v>
      </c>
      <c r="W32" s="714">
        <f>'Prognoza dł. 8'!X32</f>
        <v>1076520</v>
      </c>
      <c r="X32" s="714">
        <f>'Prognoza dł. 8'!Y32</f>
        <v>651000</v>
      </c>
      <c r="Y32" s="714">
        <f>'Prognoza dł. 8'!Z32</f>
        <v>225480</v>
      </c>
      <c r="Z32" s="714">
        <f>'Prognoza dł. 8'!AA32</f>
        <v>0</v>
      </c>
    </row>
    <row r="33" spans="1:26" ht="50.25" customHeight="1">
      <c r="A33" s="702" t="s">
        <v>595</v>
      </c>
      <c r="B33" s="706" t="s">
        <v>743</v>
      </c>
      <c r="C33" s="703"/>
      <c r="D33" s="703"/>
      <c r="E33" s="703"/>
      <c r="F33" s="703"/>
      <c r="G33" s="703"/>
      <c r="H33" s="703"/>
      <c r="I33" s="703"/>
      <c r="J33" s="703"/>
      <c r="K33" s="703"/>
      <c r="L33" s="703"/>
      <c r="M33" s="703"/>
      <c r="N33" s="703"/>
      <c r="O33" s="703"/>
      <c r="P33" s="703"/>
      <c r="Q33" s="703"/>
      <c r="R33" s="703"/>
      <c r="S33" s="703"/>
      <c r="T33" s="703"/>
      <c r="U33" s="703"/>
      <c r="V33" s="703"/>
      <c r="W33" s="703"/>
      <c r="X33" s="703"/>
      <c r="Y33" s="703"/>
      <c r="Z33" s="703"/>
    </row>
    <row r="34" spans="1:26" ht="20.25" customHeight="1">
      <c r="A34" s="702" t="s">
        <v>507</v>
      </c>
      <c r="B34" s="705" t="s">
        <v>511</v>
      </c>
      <c r="C34" s="715">
        <f aca="true" t="shared" si="13" ref="C34:Z34">C32/C11*100</f>
        <v>30.271672173440095</v>
      </c>
      <c r="D34" s="715">
        <f t="shared" si="13"/>
        <v>31.363271565447764</v>
      </c>
      <c r="E34" s="715">
        <f t="shared" si="13"/>
        <v>33.851332796535935</v>
      </c>
      <c r="F34" s="715">
        <f t="shared" si="13"/>
        <v>33.41817353218115</v>
      </c>
      <c r="G34" s="715">
        <f t="shared" si="13"/>
        <v>33.32094392268304</v>
      </c>
      <c r="H34" s="715">
        <f t="shared" si="13"/>
        <v>32.873969089818</v>
      </c>
      <c r="I34" s="715">
        <f t="shared" si="13"/>
        <v>32.43008239835094</v>
      </c>
      <c r="J34" s="715">
        <f t="shared" si="13"/>
        <v>30.305593518206823</v>
      </c>
      <c r="K34" s="715">
        <f t="shared" si="13"/>
        <v>27.16331282579435</v>
      </c>
      <c r="L34" s="715">
        <f t="shared" si="13"/>
        <v>24.098846230985092</v>
      </c>
      <c r="M34" s="715">
        <f t="shared" si="13"/>
        <v>21.111398133497534</v>
      </c>
      <c r="N34" s="715">
        <f t="shared" si="13"/>
        <v>18.20101122684639</v>
      </c>
      <c r="O34" s="715">
        <f t="shared" si="13"/>
        <v>15.798505995612203</v>
      </c>
      <c r="P34" s="715">
        <f t="shared" si="13"/>
        <v>13.458545484408232</v>
      </c>
      <c r="Q34" s="715">
        <f t="shared" si="13"/>
        <v>11.180620475333646</v>
      </c>
      <c r="R34" s="715">
        <f t="shared" si="13"/>
        <v>8.964268390716274</v>
      </c>
      <c r="S34" s="715">
        <f t="shared" si="13"/>
        <v>6.809075538082371</v>
      </c>
      <c r="T34" s="715">
        <f t="shared" si="13"/>
        <v>5.703615152954662</v>
      </c>
      <c r="U34" s="715">
        <f t="shared" si="13"/>
        <v>4.627059874968581</v>
      </c>
      <c r="V34" s="715">
        <f t="shared" si="13"/>
        <v>3.561301779503042</v>
      </c>
      <c r="W34" s="715">
        <f t="shared" si="13"/>
        <v>2.5142584220984356</v>
      </c>
      <c r="X34" s="715">
        <f t="shared" si="13"/>
        <v>1.5014854963351854</v>
      </c>
      <c r="Y34" s="715">
        <f t="shared" si="13"/>
        <v>0.513519473938793</v>
      </c>
      <c r="Z34" s="715">
        <f t="shared" si="13"/>
        <v>0</v>
      </c>
    </row>
    <row r="35" spans="1:26" ht="26.25" customHeight="1">
      <c r="A35" s="702" t="s">
        <v>508</v>
      </c>
      <c r="B35" s="707" t="s">
        <v>512</v>
      </c>
      <c r="C35" s="715">
        <f aca="true" t="shared" si="14" ref="C35:Z35">(C21+C23+C28+C29)/C11*100</f>
        <v>3.2261801770173966</v>
      </c>
      <c r="D35" s="715">
        <f t="shared" si="14"/>
        <v>12.708106918620318</v>
      </c>
      <c r="E35" s="715">
        <f t="shared" si="14"/>
        <v>3.0738384639321454</v>
      </c>
      <c r="F35" s="715">
        <f t="shared" si="14"/>
        <v>2.812702893973071</v>
      </c>
      <c r="G35" s="715">
        <f t="shared" si="14"/>
        <v>2.804519382574644</v>
      </c>
      <c r="H35" s="715">
        <f t="shared" si="14"/>
        <v>2.766898912242178</v>
      </c>
      <c r="I35" s="715">
        <f t="shared" si="14"/>
        <v>2.729538361089278</v>
      </c>
      <c r="J35" s="715">
        <f t="shared" si="14"/>
        <v>4.2766530861132805</v>
      </c>
      <c r="K35" s="715">
        <f t="shared" si="14"/>
        <v>5.123902959031769</v>
      </c>
      <c r="L35" s="715">
        <f t="shared" si="14"/>
        <v>4.894502792553967</v>
      </c>
      <c r="M35" s="715">
        <f t="shared" si="14"/>
        <v>3.8977417980179037</v>
      </c>
      <c r="N35" s="715">
        <f t="shared" si="14"/>
        <v>3.6880247685397785</v>
      </c>
      <c r="O35" s="715">
        <f t="shared" si="14"/>
        <v>3.076934911277084</v>
      </c>
      <c r="P35" s="715">
        <f t="shared" si="14"/>
        <v>2.9082235843763855</v>
      </c>
      <c r="Q35" s="715">
        <f t="shared" si="14"/>
        <v>2.743308059358433</v>
      </c>
      <c r="R35" s="715">
        <f t="shared" si="14"/>
        <v>2.644329043489273</v>
      </c>
      <c r="S35" s="715">
        <f t="shared" si="14"/>
        <v>2.4859702968281305</v>
      </c>
      <c r="T35" s="715">
        <f t="shared" si="14"/>
        <v>1.3679284264827487</v>
      </c>
      <c r="U35" s="715">
        <f t="shared" si="14"/>
        <v>1.354458595993856</v>
      </c>
      <c r="V35" s="715">
        <f t="shared" si="14"/>
        <v>1.2782892089890485</v>
      </c>
      <c r="W35" s="715">
        <f t="shared" si="14"/>
        <v>1.4924927787713917</v>
      </c>
      <c r="X35" s="715">
        <f t="shared" si="14"/>
        <v>1.1000030357628934</v>
      </c>
      <c r="Y35" s="715">
        <f t="shared" si="14"/>
        <v>1.0267276659825268</v>
      </c>
      <c r="Z35" s="715">
        <f t="shared" si="14"/>
        <v>0.5343748451592228</v>
      </c>
    </row>
    <row r="36" spans="1:26" ht="25.5" customHeight="1">
      <c r="A36" s="702" t="s">
        <v>509</v>
      </c>
      <c r="B36" s="707" t="s">
        <v>513</v>
      </c>
      <c r="C36" s="715">
        <f aca="true" t="shared" si="15" ref="C36:Z36">C32/C11*100</f>
        <v>30.271672173440095</v>
      </c>
      <c r="D36" s="715">
        <f t="shared" si="15"/>
        <v>31.363271565447764</v>
      </c>
      <c r="E36" s="715">
        <f t="shared" si="15"/>
        <v>33.851332796535935</v>
      </c>
      <c r="F36" s="715">
        <f t="shared" si="15"/>
        <v>33.41817353218115</v>
      </c>
      <c r="G36" s="715">
        <f t="shared" si="15"/>
        <v>33.32094392268304</v>
      </c>
      <c r="H36" s="715">
        <f t="shared" si="15"/>
        <v>32.873969089818</v>
      </c>
      <c r="I36" s="715">
        <f t="shared" si="15"/>
        <v>32.43008239835094</v>
      </c>
      <c r="J36" s="715">
        <f t="shared" si="15"/>
        <v>30.305593518206823</v>
      </c>
      <c r="K36" s="715">
        <f t="shared" si="15"/>
        <v>27.16331282579435</v>
      </c>
      <c r="L36" s="715">
        <f t="shared" si="15"/>
        <v>24.098846230985092</v>
      </c>
      <c r="M36" s="715">
        <f t="shared" si="15"/>
        <v>21.111398133497534</v>
      </c>
      <c r="N36" s="715">
        <f t="shared" si="15"/>
        <v>18.20101122684639</v>
      </c>
      <c r="O36" s="715">
        <f t="shared" si="15"/>
        <v>15.798505995612203</v>
      </c>
      <c r="P36" s="715">
        <f t="shared" si="15"/>
        <v>13.458545484408232</v>
      </c>
      <c r="Q36" s="715">
        <f t="shared" si="15"/>
        <v>11.180620475333646</v>
      </c>
      <c r="R36" s="715">
        <f t="shared" si="15"/>
        <v>8.964268390716274</v>
      </c>
      <c r="S36" s="715">
        <f t="shared" si="15"/>
        <v>6.809075538082371</v>
      </c>
      <c r="T36" s="715">
        <f t="shared" si="15"/>
        <v>5.703615152954662</v>
      </c>
      <c r="U36" s="715">
        <f t="shared" si="15"/>
        <v>4.627059874968581</v>
      </c>
      <c r="V36" s="715">
        <f t="shared" si="15"/>
        <v>3.561301779503042</v>
      </c>
      <c r="W36" s="715">
        <f t="shared" si="15"/>
        <v>2.5142584220984356</v>
      </c>
      <c r="X36" s="715">
        <f t="shared" si="15"/>
        <v>1.5014854963351854</v>
      </c>
      <c r="Y36" s="715">
        <f t="shared" si="15"/>
        <v>0.513519473938793</v>
      </c>
      <c r="Z36" s="715">
        <f t="shared" si="15"/>
        <v>0</v>
      </c>
    </row>
    <row r="37" spans="1:26" ht="25.5" customHeight="1" thickBot="1">
      <c r="A37" s="717" t="s">
        <v>510</v>
      </c>
      <c r="B37" s="708" t="s">
        <v>514</v>
      </c>
      <c r="C37" s="715">
        <f aca="true" t="shared" si="16" ref="C37:Z37">(C23+C21+C28+C29)/C11*100</f>
        <v>3.2261801770173966</v>
      </c>
      <c r="D37" s="715">
        <f t="shared" si="16"/>
        <v>12.708106918620318</v>
      </c>
      <c r="E37" s="715">
        <f t="shared" si="16"/>
        <v>3.0738384639321454</v>
      </c>
      <c r="F37" s="715">
        <f t="shared" si="16"/>
        <v>2.812702893973071</v>
      </c>
      <c r="G37" s="715">
        <f t="shared" si="16"/>
        <v>2.804519382574644</v>
      </c>
      <c r="H37" s="715">
        <f t="shared" si="16"/>
        <v>2.766898912242178</v>
      </c>
      <c r="I37" s="715">
        <f t="shared" si="16"/>
        <v>2.729538361089278</v>
      </c>
      <c r="J37" s="715">
        <f t="shared" si="16"/>
        <v>4.2766530861132805</v>
      </c>
      <c r="K37" s="715">
        <f t="shared" si="16"/>
        <v>5.123902959031769</v>
      </c>
      <c r="L37" s="715">
        <f t="shared" si="16"/>
        <v>4.894502792553967</v>
      </c>
      <c r="M37" s="715">
        <f t="shared" si="16"/>
        <v>3.8977417980179037</v>
      </c>
      <c r="N37" s="715">
        <f t="shared" si="16"/>
        <v>3.6880247685397785</v>
      </c>
      <c r="O37" s="715">
        <f t="shared" si="16"/>
        <v>3.076934911277084</v>
      </c>
      <c r="P37" s="715">
        <f t="shared" si="16"/>
        <v>2.9082235843763855</v>
      </c>
      <c r="Q37" s="715">
        <f t="shared" si="16"/>
        <v>2.743308059358433</v>
      </c>
      <c r="R37" s="715">
        <f t="shared" si="16"/>
        <v>2.644329043489273</v>
      </c>
      <c r="S37" s="715">
        <f t="shared" si="16"/>
        <v>2.4859702968281305</v>
      </c>
      <c r="T37" s="715">
        <f t="shared" si="16"/>
        <v>1.3679284264827487</v>
      </c>
      <c r="U37" s="715">
        <f t="shared" si="16"/>
        <v>1.354458595993856</v>
      </c>
      <c r="V37" s="715">
        <f t="shared" si="16"/>
        <v>1.2782892089890485</v>
      </c>
      <c r="W37" s="715">
        <f t="shared" si="16"/>
        <v>1.4924927787713917</v>
      </c>
      <c r="X37" s="715">
        <f t="shared" si="16"/>
        <v>1.1000030357628934</v>
      </c>
      <c r="Y37" s="715">
        <f t="shared" si="16"/>
        <v>1.0267276659825268</v>
      </c>
      <c r="Z37" s="715">
        <f t="shared" si="16"/>
        <v>0.5343748451592228</v>
      </c>
    </row>
  </sheetData>
  <mergeCells count="7">
    <mergeCell ref="A6:L6"/>
    <mergeCell ref="E8:L8"/>
    <mergeCell ref="M8:Z8"/>
    <mergeCell ref="C8:C9"/>
    <mergeCell ref="B8:B9"/>
    <mergeCell ref="A8:A9"/>
    <mergeCell ref="D8:D9"/>
  </mergeCells>
  <printOptions horizontalCentered="1" verticalCentered="1"/>
  <pageMargins left="0.1968503937007874" right="0.3937007874015748" top="0.25" bottom="0.59" header="0.17" footer="0.19"/>
  <pageSetup fitToHeight="2" fitToWidth="2" horizontalDpi="600" verticalDpi="600" orientation="landscape" paperSize="9" scale="80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1:F22"/>
  <sheetViews>
    <sheetView view="pageBreakPreview" zoomScaleSheetLayoutView="100" workbookViewId="0" topLeftCell="A4">
      <selection activeCell="D20" sqref="D20"/>
    </sheetView>
  </sheetViews>
  <sheetFormatPr defaultColWidth="9.00390625" defaultRowHeight="12.75"/>
  <cols>
    <col min="2" max="2" width="4.75390625" style="0" customWidth="1"/>
    <col min="3" max="3" width="6.75390625" style="0" customWidth="1"/>
    <col min="4" max="4" width="6.125" style="0" customWidth="1"/>
    <col min="5" max="5" width="61.00390625" style="0" customWidth="1"/>
    <col min="6" max="6" width="19.375" style="0" customWidth="1"/>
  </cols>
  <sheetData>
    <row r="1" spans="2:6" ht="12.75">
      <c r="B1" s="171"/>
      <c r="C1" s="171"/>
      <c r="D1" s="171"/>
      <c r="E1" s="171"/>
      <c r="F1" s="172" t="s">
        <v>771</v>
      </c>
    </row>
    <row r="2" spans="2:6" ht="12.75">
      <c r="B2" s="171"/>
      <c r="C2" s="171"/>
      <c r="D2" s="171"/>
      <c r="E2" s="171"/>
      <c r="F2" s="172" t="s">
        <v>402</v>
      </c>
    </row>
    <row r="3" spans="2:6" ht="12.75">
      <c r="B3" s="171"/>
      <c r="C3" s="171"/>
      <c r="D3" s="171"/>
      <c r="E3" s="173"/>
      <c r="F3" s="172" t="s">
        <v>216</v>
      </c>
    </row>
    <row r="4" spans="2:6" ht="12.75">
      <c r="B4" s="171"/>
      <c r="C4" s="171"/>
      <c r="D4" s="171"/>
      <c r="E4" s="173"/>
      <c r="F4" s="172" t="s">
        <v>722</v>
      </c>
    </row>
    <row r="5" spans="2:6" ht="12.75">
      <c r="B5" s="171"/>
      <c r="C5" s="171"/>
      <c r="D5" s="171"/>
      <c r="E5" s="173"/>
      <c r="F5" s="172"/>
    </row>
    <row r="6" spans="2:6" ht="12.75">
      <c r="B6" s="171"/>
      <c r="C6" s="171"/>
      <c r="D6" s="171"/>
      <c r="E6" s="173"/>
      <c r="F6" s="172"/>
    </row>
    <row r="7" spans="2:6" ht="12.75">
      <c r="B7" s="171"/>
      <c r="C7" s="171"/>
      <c r="D7" s="171"/>
      <c r="E7" s="173"/>
      <c r="F7" s="172"/>
    </row>
    <row r="8" spans="2:6" ht="12.75">
      <c r="B8" s="1079"/>
      <c r="C8" s="1079"/>
      <c r="D8" s="1079"/>
      <c r="E8" s="1079"/>
      <c r="F8" s="1079"/>
    </row>
    <row r="9" spans="2:6" ht="15.75">
      <c r="B9" s="1080" t="s">
        <v>770</v>
      </c>
      <c r="C9" s="1080"/>
      <c r="D9" s="1080"/>
      <c r="E9" s="1080"/>
      <c r="F9" s="1080"/>
    </row>
    <row r="10" spans="2:6" ht="12.75">
      <c r="B10" s="851"/>
      <c r="C10" s="851"/>
      <c r="D10" s="851"/>
      <c r="E10" s="851"/>
      <c r="F10" s="851"/>
    </row>
    <row r="11" spans="2:6" ht="12.75">
      <c r="B11" s="851"/>
      <c r="C11" s="851"/>
      <c r="D11" s="851"/>
      <c r="E11" s="851"/>
      <c r="F11" s="851"/>
    </row>
    <row r="12" spans="2:6" ht="12.75">
      <c r="B12" s="1079"/>
      <c r="C12" s="1079"/>
      <c r="D12" s="1079"/>
      <c r="E12" s="1079"/>
      <c r="F12" s="1079"/>
    </row>
    <row r="13" spans="2:6" ht="13.5" thickBot="1">
      <c r="B13" s="173"/>
      <c r="C13" s="173"/>
      <c r="D13" s="173"/>
      <c r="E13" s="173"/>
      <c r="F13" s="174" t="s">
        <v>406</v>
      </c>
    </row>
    <row r="14" spans="2:6" ht="12.75">
      <c r="B14" s="1081" t="s">
        <v>218</v>
      </c>
      <c r="C14" s="1082"/>
      <c r="D14" s="1083"/>
      <c r="E14" s="1084" t="s">
        <v>407</v>
      </c>
      <c r="F14" s="1087" t="s">
        <v>592</v>
      </c>
    </row>
    <row r="15" spans="2:6" ht="12.75">
      <c r="B15" s="1090" t="s">
        <v>70</v>
      </c>
      <c r="C15" s="1092" t="s">
        <v>623</v>
      </c>
      <c r="D15" s="1092" t="s">
        <v>588</v>
      </c>
      <c r="E15" s="1085"/>
      <c r="F15" s="1088"/>
    </row>
    <row r="16" spans="2:6" ht="13.5" thickBot="1">
      <c r="B16" s="1091"/>
      <c r="C16" s="1086"/>
      <c r="D16" s="1086"/>
      <c r="E16" s="1086"/>
      <c r="F16" s="1089"/>
    </row>
    <row r="17" spans="2:6" ht="13.5" thickBot="1">
      <c r="B17" s="368">
        <v>1</v>
      </c>
      <c r="C17" s="369">
        <v>2</v>
      </c>
      <c r="D17" s="370">
        <v>3</v>
      </c>
      <c r="E17" s="369">
        <v>4</v>
      </c>
      <c r="F17" s="371">
        <v>5</v>
      </c>
    </row>
    <row r="18" spans="2:6" ht="13.5" thickBot="1">
      <c r="B18" s="422">
        <v>853</v>
      </c>
      <c r="C18" s="423"/>
      <c r="D18" s="852"/>
      <c r="E18" s="430" t="s">
        <v>174</v>
      </c>
      <c r="F18" s="853">
        <f>F19</f>
        <v>113987</v>
      </c>
    </row>
    <row r="19" spans="2:6" ht="12.75">
      <c r="B19" s="424"/>
      <c r="C19" s="425">
        <v>85311</v>
      </c>
      <c r="D19" s="788"/>
      <c r="E19" s="431" t="s">
        <v>762</v>
      </c>
      <c r="F19" s="795">
        <f>F20</f>
        <v>113987</v>
      </c>
    </row>
    <row r="20" spans="2:6" ht="12.75">
      <c r="B20" s="424"/>
      <c r="C20" s="426"/>
      <c r="D20" s="747">
        <v>2580</v>
      </c>
      <c r="E20" s="241" t="s">
        <v>768</v>
      </c>
      <c r="F20" s="793">
        <f>'WYDATKI ukł.wyk.'!H502</f>
        <v>113987</v>
      </c>
    </row>
    <row r="21" spans="2:6" ht="12.75">
      <c r="B21" s="854"/>
      <c r="C21" s="426"/>
      <c r="D21" s="747"/>
      <c r="E21" s="241" t="s">
        <v>769</v>
      </c>
      <c r="F21" s="793"/>
    </row>
    <row r="22" spans="2:6" ht="13.5" thickBot="1">
      <c r="B22" s="855"/>
      <c r="C22" s="607"/>
      <c r="D22" s="856"/>
      <c r="E22" s="607"/>
      <c r="F22" s="857"/>
    </row>
  </sheetData>
  <mergeCells count="9">
    <mergeCell ref="B8:F8"/>
    <mergeCell ref="B9:F9"/>
    <mergeCell ref="B12:F12"/>
    <mergeCell ref="B14:D14"/>
    <mergeCell ref="E14:E16"/>
    <mergeCell ref="F14:F16"/>
    <mergeCell ref="B15:B16"/>
    <mergeCell ref="C15:C16"/>
    <mergeCell ref="D15:D16"/>
  </mergeCells>
  <printOptions/>
  <pageMargins left="0.24" right="0.24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7"/>
  <sheetViews>
    <sheetView view="pageBreakPreview" zoomScaleNormal="75" zoomScaleSheetLayoutView="100" workbookViewId="0" topLeftCell="F1">
      <pane ySplit="11" topLeftCell="BM102" activePane="bottomLeft" state="frozen"/>
      <selection pane="topLeft" activeCell="A1" sqref="A1"/>
      <selection pane="bottomLeft" activeCell="K106" sqref="K106"/>
    </sheetView>
  </sheetViews>
  <sheetFormatPr defaultColWidth="9.00390625" defaultRowHeight="12.75"/>
  <cols>
    <col min="1" max="1" width="5.875" style="1" customWidth="1"/>
    <col min="2" max="2" width="8.25390625" style="1" customWidth="1"/>
    <col min="3" max="3" width="33.875" style="1" customWidth="1"/>
    <col min="4" max="4" width="11.125" style="1" hidden="1" customWidth="1"/>
    <col min="5" max="5" width="11.625" style="1" customWidth="1"/>
    <col min="6" max="6" width="10.75390625" style="208" customWidth="1"/>
    <col min="7" max="7" width="11.75390625" style="208" customWidth="1"/>
    <col min="8" max="10" width="11.625" style="1" customWidth="1"/>
    <col min="11" max="11" width="10.75390625" style="1" customWidth="1"/>
    <col min="12" max="12" width="11.75390625" style="1" bestFit="1" customWidth="1"/>
    <col min="13" max="13" width="10.75390625" style="1" customWidth="1"/>
    <col min="14" max="14" width="11.75390625" style="1" customWidth="1"/>
  </cols>
  <sheetData>
    <row r="1" ht="12.75">
      <c r="L1" s="6" t="s">
        <v>360</v>
      </c>
    </row>
    <row r="2" ht="12.75">
      <c r="L2" s="6" t="s">
        <v>361</v>
      </c>
    </row>
    <row r="3" ht="12.75">
      <c r="L3" s="6" t="s">
        <v>216</v>
      </c>
    </row>
    <row r="4" ht="12.75">
      <c r="L4" s="6" t="s">
        <v>725</v>
      </c>
    </row>
    <row r="5" spans="1:14" ht="18">
      <c r="A5" s="926" t="s">
        <v>50</v>
      </c>
      <c r="B5" s="926"/>
      <c r="C5" s="926"/>
      <c r="D5" s="926"/>
      <c r="E5" s="926"/>
      <c r="F5" s="926"/>
      <c r="G5" s="926"/>
      <c r="H5" s="926"/>
      <c r="I5" s="926"/>
      <c r="J5" s="926"/>
      <c r="K5" s="926"/>
      <c r="L5" s="926"/>
      <c r="M5" s="926"/>
      <c r="N5" s="926"/>
    </row>
    <row r="6" spans="1:9" ht="18">
      <c r="A6" s="2"/>
      <c r="B6" s="2"/>
      <c r="C6" s="2"/>
      <c r="D6" s="2"/>
      <c r="E6" s="2"/>
      <c r="F6" s="206"/>
      <c r="G6" s="206"/>
      <c r="H6" s="2"/>
      <c r="I6" s="2"/>
    </row>
    <row r="7" spans="1:14" ht="13.5" thickBot="1">
      <c r="A7" s="40"/>
      <c r="B7" s="40"/>
      <c r="C7" s="40"/>
      <c r="D7" s="40"/>
      <c r="E7" s="40"/>
      <c r="F7" s="207"/>
      <c r="G7" s="207"/>
      <c r="H7" s="40"/>
      <c r="J7" s="14"/>
      <c r="K7" s="14"/>
      <c r="L7" s="14"/>
      <c r="M7" s="14"/>
      <c r="N7" s="41" t="s">
        <v>638</v>
      </c>
    </row>
    <row r="8" spans="1:14" s="42" customFormat="1" ht="18.75" customHeight="1">
      <c r="A8" s="929" t="s">
        <v>586</v>
      </c>
      <c r="B8" s="927" t="s">
        <v>587</v>
      </c>
      <c r="C8" s="927" t="s">
        <v>601</v>
      </c>
      <c r="D8" s="917" t="s">
        <v>65</v>
      </c>
      <c r="E8" s="927" t="s">
        <v>46</v>
      </c>
      <c r="F8" s="920" t="s">
        <v>693</v>
      </c>
      <c r="G8" s="920" t="s">
        <v>694</v>
      </c>
      <c r="H8" s="927" t="s">
        <v>664</v>
      </c>
      <c r="I8" s="927"/>
      <c r="J8" s="927"/>
      <c r="K8" s="927"/>
      <c r="L8" s="927"/>
      <c r="M8" s="927"/>
      <c r="N8" s="931"/>
    </row>
    <row r="9" spans="1:14" s="42" customFormat="1" ht="20.25" customHeight="1">
      <c r="A9" s="930"/>
      <c r="B9" s="928"/>
      <c r="C9" s="928"/>
      <c r="D9" s="918"/>
      <c r="E9" s="928"/>
      <c r="F9" s="921"/>
      <c r="G9" s="921"/>
      <c r="H9" s="928" t="s">
        <v>620</v>
      </c>
      <c r="I9" s="928" t="s">
        <v>590</v>
      </c>
      <c r="J9" s="928"/>
      <c r="K9" s="928"/>
      <c r="L9" s="928"/>
      <c r="M9" s="928"/>
      <c r="N9" s="932" t="s">
        <v>622</v>
      </c>
    </row>
    <row r="10" spans="1:14" s="42" customFormat="1" ht="63.75">
      <c r="A10" s="930"/>
      <c r="B10" s="928"/>
      <c r="C10" s="928"/>
      <c r="D10" s="919"/>
      <c r="E10" s="928"/>
      <c r="F10" s="922"/>
      <c r="G10" s="922"/>
      <c r="H10" s="928"/>
      <c r="I10" s="48" t="s">
        <v>0</v>
      </c>
      <c r="J10" s="48" t="s">
        <v>47</v>
      </c>
      <c r="K10" s="48" t="s">
        <v>684</v>
      </c>
      <c r="L10" s="48" t="s">
        <v>19</v>
      </c>
      <c r="M10" s="48" t="s">
        <v>686</v>
      </c>
      <c r="N10" s="932"/>
    </row>
    <row r="11" spans="1:14" s="42" customFormat="1" ht="8.25" customHeight="1">
      <c r="A11" s="195">
        <v>1</v>
      </c>
      <c r="B11" s="43">
        <v>2</v>
      </c>
      <c r="C11" s="195">
        <v>3</v>
      </c>
      <c r="D11" s="43">
        <v>4</v>
      </c>
      <c r="E11" s="195">
        <v>4</v>
      </c>
      <c r="F11" s="43">
        <v>5</v>
      </c>
      <c r="G11" s="195">
        <v>6</v>
      </c>
      <c r="H11" s="43">
        <v>7</v>
      </c>
      <c r="I11" s="195">
        <v>8</v>
      </c>
      <c r="J11" s="195">
        <v>9</v>
      </c>
      <c r="K11" s="43">
        <v>10</v>
      </c>
      <c r="L11" s="195">
        <v>11</v>
      </c>
      <c r="M11" s="43">
        <v>12</v>
      </c>
      <c r="N11" s="195">
        <v>13</v>
      </c>
    </row>
    <row r="12" spans="1:14" s="42" customFormat="1" ht="13.5" thickBot="1">
      <c r="A12" s="62" t="s">
        <v>53</v>
      </c>
      <c r="B12" s="63"/>
      <c r="C12" s="83" t="s">
        <v>54</v>
      </c>
      <c r="D12" s="78">
        <f>SUM(D13:D14)</f>
        <v>60646</v>
      </c>
      <c r="E12" s="78">
        <f>SUM(E13:E14)</f>
        <v>74387</v>
      </c>
      <c r="F12" s="78">
        <f>SUM(F13:F14)</f>
        <v>0</v>
      </c>
      <c r="G12" s="78">
        <f>SUM(G13:G14)</f>
        <v>74387</v>
      </c>
      <c r="H12" s="78">
        <f aca="true" t="shared" si="0" ref="H12:N12">SUM(H13:H14)</f>
        <v>74387</v>
      </c>
      <c r="I12" s="78">
        <f t="shared" si="0"/>
        <v>0</v>
      </c>
      <c r="J12" s="78">
        <f t="shared" si="0"/>
        <v>0</v>
      </c>
      <c r="K12" s="78">
        <f t="shared" si="0"/>
        <v>0</v>
      </c>
      <c r="L12" s="78">
        <f t="shared" si="0"/>
        <v>0</v>
      </c>
      <c r="M12" s="78">
        <f t="shared" si="0"/>
        <v>0</v>
      </c>
      <c r="N12" s="196">
        <f t="shared" si="0"/>
        <v>0</v>
      </c>
    </row>
    <row r="13" spans="1:14" s="42" customFormat="1" ht="25.5">
      <c r="A13" s="300"/>
      <c r="B13" s="65" t="s">
        <v>56</v>
      </c>
      <c r="C13" s="84" t="s">
        <v>55</v>
      </c>
      <c r="D13" s="188">
        <f>'WYDATKI ukł.wyk.'!E16</f>
        <v>44000</v>
      </c>
      <c r="E13" s="67">
        <f>'WYDATKI ukł.wyk.'!F16</f>
        <v>25000</v>
      </c>
      <c r="F13" s="67">
        <f>'WYDATKI ukł.wyk.'!G16</f>
        <v>0</v>
      </c>
      <c r="G13" s="67">
        <f>'WYDATKI ukł.wyk.'!H16</f>
        <v>25000</v>
      </c>
      <c r="H13" s="67">
        <f>'WYDATKI ukł.wyk.'!H17</f>
        <v>25000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197">
        <v>0</v>
      </c>
    </row>
    <row r="14" spans="1:14" s="42" customFormat="1" ht="12.75">
      <c r="A14" s="149"/>
      <c r="B14" s="68" t="s">
        <v>57</v>
      </c>
      <c r="C14" s="85" t="s">
        <v>58</v>
      </c>
      <c r="D14" s="187">
        <f>'WYDATKI ukł.wyk.'!E19</f>
        <v>16646</v>
      </c>
      <c r="E14" s="71">
        <f>'WYDATKI ukł.wyk.'!F19</f>
        <v>49387</v>
      </c>
      <c r="F14" s="71">
        <f>'WYDATKI ukł.wyk.'!G19</f>
        <v>0</v>
      </c>
      <c r="G14" s="71">
        <f>'WYDATKI ukł.wyk.'!H19</f>
        <v>49387</v>
      </c>
      <c r="H14" s="71">
        <f>SUM('WYDATKI ukł.wyk.'!H20:H21)</f>
        <v>49387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198">
        <v>0</v>
      </c>
    </row>
    <row r="15" spans="1:14" s="42" customFormat="1" ht="12.75">
      <c r="A15" s="149"/>
      <c r="B15" s="140"/>
      <c r="C15" s="125"/>
      <c r="D15" s="108"/>
      <c r="E15" s="141"/>
      <c r="F15" s="209"/>
      <c r="G15" s="767"/>
      <c r="H15" s="141"/>
      <c r="I15" s="81"/>
      <c r="J15" s="81"/>
      <c r="K15" s="81"/>
      <c r="L15" s="81"/>
      <c r="M15" s="81"/>
      <c r="N15" s="199"/>
    </row>
    <row r="16" spans="1:14" s="42" customFormat="1" ht="13.5" thickBot="1">
      <c r="A16" s="58" t="s">
        <v>59</v>
      </c>
      <c r="B16" s="73"/>
      <c r="C16" s="86" t="s">
        <v>60</v>
      </c>
      <c r="D16" s="77">
        <f>SUM(D17:D18)</f>
        <v>193335</v>
      </c>
      <c r="E16" s="77">
        <f>SUM(E17:E18)</f>
        <v>193335</v>
      </c>
      <c r="F16" s="77">
        <f>SUM(F17:F18)</f>
        <v>5891</v>
      </c>
      <c r="G16" s="77">
        <f>SUM(G17:G18)</f>
        <v>199226</v>
      </c>
      <c r="H16" s="77">
        <f aca="true" t="shared" si="1" ref="H16:N16">SUM(H17:H18)</f>
        <v>199226</v>
      </c>
      <c r="I16" s="77">
        <f t="shared" si="1"/>
        <v>0</v>
      </c>
      <c r="J16" s="77">
        <f t="shared" si="1"/>
        <v>0</v>
      </c>
      <c r="K16" s="77">
        <f t="shared" si="1"/>
        <v>0</v>
      </c>
      <c r="L16" s="77">
        <f t="shared" si="1"/>
        <v>0</v>
      </c>
      <c r="M16" s="77">
        <f t="shared" si="1"/>
        <v>0</v>
      </c>
      <c r="N16" s="200">
        <f t="shared" si="1"/>
        <v>0</v>
      </c>
    </row>
    <row r="17" spans="1:14" s="42" customFormat="1" ht="12.75">
      <c r="A17" s="300"/>
      <c r="B17" s="74" t="s">
        <v>61</v>
      </c>
      <c r="C17" s="87" t="s">
        <v>263</v>
      </c>
      <c r="D17" s="189">
        <f>'WYDATKI ukł.wyk.'!E24</f>
        <v>188635</v>
      </c>
      <c r="E17" s="67">
        <f>'WYDATKI ukł.wyk.'!F24</f>
        <v>188635</v>
      </c>
      <c r="F17" s="67">
        <f>'WYDATKI ukł.wyk.'!G24</f>
        <v>5891</v>
      </c>
      <c r="G17" s="67">
        <f>'WYDATKI ukł.wyk.'!H24</f>
        <v>194526</v>
      </c>
      <c r="H17" s="67">
        <f>'WYDATKI ukł.wyk.'!H25</f>
        <v>194526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197">
        <v>0</v>
      </c>
    </row>
    <row r="18" spans="1:14" s="42" customFormat="1" ht="12.75">
      <c r="A18" s="149"/>
      <c r="B18" s="68" t="s">
        <v>63</v>
      </c>
      <c r="C18" s="85" t="s">
        <v>62</v>
      </c>
      <c r="D18" s="187">
        <f>'WYDATKI ukł.wyk.'!E27</f>
        <v>4700</v>
      </c>
      <c r="E18" s="71">
        <f>'WYDATKI ukł.wyk.'!F27</f>
        <v>4700</v>
      </c>
      <c r="F18" s="71">
        <f>'WYDATKI ukł.wyk.'!G27</f>
        <v>0</v>
      </c>
      <c r="G18" s="71">
        <f>'WYDATKI ukł.wyk.'!H27</f>
        <v>4700</v>
      </c>
      <c r="H18" s="76">
        <f>'WYDATKI ukł.wyk.'!H28</f>
        <v>4700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198">
        <v>0</v>
      </c>
    </row>
    <row r="19" spans="1:14" s="42" customFormat="1" ht="12.75">
      <c r="A19" s="149"/>
      <c r="B19" s="137"/>
      <c r="C19" s="142"/>
      <c r="D19" s="142"/>
      <c r="E19" s="138"/>
      <c r="F19" s="209"/>
      <c r="G19" s="209"/>
      <c r="H19" s="139"/>
      <c r="I19" s="143"/>
      <c r="J19" s="143"/>
      <c r="K19" s="143"/>
      <c r="L19" s="143"/>
      <c r="M19" s="143"/>
      <c r="N19" s="144"/>
    </row>
    <row r="20" spans="1:14" s="42" customFormat="1" ht="13.5" thickBot="1">
      <c r="A20" s="79">
        <v>600</v>
      </c>
      <c r="B20" s="73"/>
      <c r="C20" s="86" t="s">
        <v>64</v>
      </c>
      <c r="D20" s="103">
        <f>SUM(D21:D21)</f>
        <v>3585970</v>
      </c>
      <c r="E20" s="103">
        <f>E21</f>
        <v>3015729</v>
      </c>
      <c r="F20" s="103">
        <f>SUM(F21:F21)</f>
        <v>50489</v>
      </c>
      <c r="G20" s="103">
        <f>SUM(G21:G21)</f>
        <v>3066218</v>
      </c>
      <c r="H20" s="103">
        <f aca="true" t="shared" si="2" ref="H20:N20">SUM(H21:H21)</f>
        <v>2884218</v>
      </c>
      <c r="I20" s="103">
        <f t="shared" si="2"/>
        <v>933050</v>
      </c>
      <c r="J20" s="103">
        <f t="shared" si="2"/>
        <v>175953</v>
      </c>
      <c r="K20" s="103">
        <f t="shared" si="2"/>
        <v>8423</v>
      </c>
      <c r="L20" s="103">
        <f t="shared" si="2"/>
        <v>0</v>
      </c>
      <c r="M20" s="103">
        <f t="shared" si="2"/>
        <v>0</v>
      </c>
      <c r="N20" s="145">
        <f t="shared" si="2"/>
        <v>182000</v>
      </c>
    </row>
    <row r="21" spans="1:14" s="42" customFormat="1" ht="12.75">
      <c r="A21" s="300"/>
      <c r="B21" s="80">
        <v>60014</v>
      </c>
      <c r="C21" s="88" t="s">
        <v>66</v>
      </c>
      <c r="D21" s="67">
        <f>SUM('WYDATKI ukł.wyk.'!E32:E57)</f>
        <v>3585970</v>
      </c>
      <c r="E21" s="67">
        <f>SUM('WYDATKI ukł.wyk.'!F32:F57)</f>
        <v>3015729</v>
      </c>
      <c r="F21" s="67">
        <f>SUM('WYDATKI ukł.wyk.'!G32:G57)</f>
        <v>50489</v>
      </c>
      <c r="G21" s="67">
        <f>SUM('WYDATKI ukł.wyk.'!H32:H57)</f>
        <v>3066218</v>
      </c>
      <c r="H21" s="67">
        <f>SUM('WYDATKI ukł.wyk.'!H32:H55)</f>
        <v>2884218</v>
      </c>
      <c r="I21" s="67">
        <f>'WYDATKI ukł.wyk.'!H34+'WYDATKI ukł.wyk.'!H35+'WYDATKI ukł.wyk.'!H38</f>
        <v>933050</v>
      </c>
      <c r="J21" s="147">
        <f>'WYDATKI ukł.wyk.'!H36+'WYDATKI ukł.wyk.'!H37</f>
        <v>175953</v>
      </c>
      <c r="K21" s="67">
        <f>'WYDATKI ukł.wyk.'!F32</f>
        <v>8423</v>
      </c>
      <c r="L21" s="66">
        <v>0</v>
      </c>
      <c r="M21" s="66">
        <v>0</v>
      </c>
      <c r="N21" s="201">
        <f>'WYDATKI ukł.wyk.'!H56+'WYDATKI ukł.wyk.'!H57</f>
        <v>182000</v>
      </c>
    </row>
    <row r="22" spans="1:14" s="42" customFormat="1" ht="12.75">
      <c r="A22" s="149"/>
      <c r="B22" s="299"/>
      <c r="C22" s="143"/>
      <c r="D22" s="143"/>
      <c r="E22" s="143"/>
      <c r="F22" s="209"/>
      <c r="G22" s="209"/>
      <c r="H22" s="143"/>
      <c r="I22" s="143"/>
      <c r="J22" s="143"/>
      <c r="K22" s="143"/>
      <c r="L22" s="143"/>
      <c r="M22" s="143"/>
      <c r="N22" s="144"/>
    </row>
    <row r="23" spans="1:14" s="42" customFormat="1" ht="13.5" thickBot="1">
      <c r="A23" s="79">
        <v>630</v>
      </c>
      <c r="B23" s="73"/>
      <c r="C23" s="72" t="s">
        <v>103</v>
      </c>
      <c r="D23" s="77">
        <f>D24</f>
        <v>2000</v>
      </c>
      <c r="E23" s="77">
        <f aca="true" t="shared" si="3" ref="E23:N23">E24</f>
        <v>2000</v>
      </c>
      <c r="F23" s="77">
        <f t="shared" si="3"/>
        <v>0</v>
      </c>
      <c r="G23" s="77">
        <f t="shared" si="3"/>
        <v>2000</v>
      </c>
      <c r="H23" s="77">
        <f t="shared" si="3"/>
        <v>2000</v>
      </c>
      <c r="I23" s="77">
        <f t="shared" si="3"/>
        <v>0</v>
      </c>
      <c r="J23" s="77">
        <f t="shared" si="3"/>
        <v>0</v>
      </c>
      <c r="K23" s="77">
        <f t="shared" si="3"/>
        <v>1000</v>
      </c>
      <c r="L23" s="77">
        <f t="shared" si="3"/>
        <v>0</v>
      </c>
      <c r="M23" s="77">
        <f t="shared" si="3"/>
        <v>0</v>
      </c>
      <c r="N23" s="200">
        <f t="shared" si="3"/>
        <v>0</v>
      </c>
    </row>
    <row r="24" spans="1:14" s="42" customFormat="1" ht="25.5">
      <c r="A24" s="149"/>
      <c r="B24" s="80">
        <v>63003</v>
      </c>
      <c r="C24" s="146" t="s">
        <v>104</v>
      </c>
      <c r="D24" s="67">
        <f>'WYDATKI ukł.wyk.'!E60</f>
        <v>2000</v>
      </c>
      <c r="E24" s="67">
        <f>SUM('WYDATKI ukł.wyk.'!F61:F64)</f>
        <v>2000</v>
      </c>
      <c r="F24" s="67">
        <f>SUM('WYDATKI ukł.wyk.'!G61:G64)</f>
        <v>0</v>
      </c>
      <c r="G24" s="67">
        <f>SUM('WYDATKI ukł.wyk.'!H61:H64)</f>
        <v>2000</v>
      </c>
      <c r="H24" s="67">
        <f>SUM('WYDATKI ukł.wyk.'!H61:H64)</f>
        <v>2000</v>
      </c>
      <c r="I24" s="66">
        <v>0</v>
      </c>
      <c r="J24" s="66">
        <v>0</v>
      </c>
      <c r="K24" s="67">
        <f>'WYDATKI ukł.wyk.'!F61</f>
        <v>1000</v>
      </c>
      <c r="L24" s="66">
        <v>0</v>
      </c>
      <c r="M24" s="66">
        <v>0</v>
      </c>
      <c r="N24" s="197">
        <v>0</v>
      </c>
    </row>
    <row r="25" spans="1:14" s="42" customFormat="1" ht="12.75">
      <c r="A25" s="149"/>
      <c r="B25" s="299"/>
      <c r="C25" s="143"/>
      <c r="D25" s="143"/>
      <c r="E25" s="143"/>
      <c r="F25" s="209"/>
      <c r="G25" s="209"/>
      <c r="H25" s="143"/>
      <c r="I25" s="143"/>
      <c r="J25" s="143"/>
      <c r="K25" s="143"/>
      <c r="L25" s="143"/>
      <c r="M25" s="143"/>
      <c r="N25" s="144"/>
    </row>
    <row r="26" spans="1:14" s="42" customFormat="1" ht="13.5" thickBot="1">
      <c r="A26" s="79">
        <v>700</v>
      </c>
      <c r="B26" s="73"/>
      <c r="C26" s="72" t="s">
        <v>109</v>
      </c>
      <c r="D26" s="77">
        <f>D27</f>
        <v>92988</v>
      </c>
      <c r="E26" s="77">
        <f aca="true" t="shared" si="4" ref="E26:N26">E27</f>
        <v>102050</v>
      </c>
      <c r="F26" s="77">
        <f t="shared" si="4"/>
        <v>8211</v>
      </c>
      <c r="G26" s="77">
        <f t="shared" si="4"/>
        <v>110261</v>
      </c>
      <c r="H26" s="77">
        <f t="shared" si="4"/>
        <v>110261</v>
      </c>
      <c r="I26" s="77">
        <f t="shared" si="4"/>
        <v>30902</v>
      </c>
      <c r="J26" s="77">
        <f t="shared" si="4"/>
        <v>6098</v>
      </c>
      <c r="K26" s="77">
        <f t="shared" si="4"/>
        <v>0</v>
      </c>
      <c r="L26" s="77">
        <f t="shared" si="4"/>
        <v>0</v>
      </c>
      <c r="M26" s="77">
        <f t="shared" si="4"/>
        <v>0</v>
      </c>
      <c r="N26" s="200">
        <f t="shared" si="4"/>
        <v>0</v>
      </c>
    </row>
    <row r="27" spans="1:14" s="42" customFormat="1" ht="25.5">
      <c r="A27" s="149"/>
      <c r="B27" s="120">
        <v>70005</v>
      </c>
      <c r="C27" s="150" t="s">
        <v>110</v>
      </c>
      <c r="D27" s="67">
        <f>'WYDATKI ukł.wyk.'!E67</f>
        <v>92988</v>
      </c>
      <c r="E27" s="67">
        <f>SUM('WYDATKI ukł.wyk.'!F68:F76)</f>
        <v>102050</v>
      </c>
      <c r="F27" s="67">
        <f>SUM('WYDATKI ukł.wyk.'!G68:G76)</f>
        <v>8211</v>
      </c>
      <c r="G27" s="67">
        <f>SUM('WYDATKI ukł.wyk.'!H68:H76)</f>
        <v>110261</v>
      </c>
      <c r="H27" s="67">
        <f>SUM('WYDATKI ukł.wyk.'!H68:H76)</f>
        <v>110261</v>
      </c>
      <c r="I27" s="67">
        <f>'WYDATKI ukł.wyk.'!H70</f>
        <v>30902</v>
      </c>
      <c r="J27" s="67">
        <f>'WYDATKI ukł.wyk.'!H68+'WYDATKI ukł.wyk.'!H69</f>
        <v>6098</v>
      </c>
      <c r="K27" s="66">
        <v>0</v>
      </c>
      <c r="L27" s="66">
        <v>0</v>
      </c>
      <c r="M27" s="66">
        <v>0</v>
      </c>
      <c r="N27" s="197">
        <v>0</v>
      </c>
    </row>
    <row r="28" spans="1:14" s="42" customFormat="1" ht="12.75">
      <c r="A28" s="149"/>
      <c r="B28" s="299"/>
      <c r="C28" s="143"/>
      <c r="D28" s="143"/>
      <c r="E28" s="143"/>
      <c r="F28" s="209"/>
      <c r="G28" s="209"/>
      <c r="H28" s="143"/>
      <c r="I28" s="143"/>
      <c r="J28" s="143"/>
      <c r="K28" s="143"/>
      <c r="L28" s="143"/>
      <c r="M28" s="143"/>
      <c r="N28" s="144"/>
    </row>
    <row r="29" spans="1:14" s="42" customFormat="1" ht="13.5" thickBot="1">
      <c r="A29" s="79">
        <v>710</v>
      </c>
      <c r="B29" s="73"/>
      <c r="C29" s="72" t="s">
        <v>114</v>
      </c>
      <c r="D29" s="77">
        <f>SUM(D30:D32)</f>
        <v>269553</v>
      </c>
      <c r="E29" s="77">
        <f aca="true" t="shared" si="5" ref="E29:N29">SUM(E30:E32)</f>
        <v>291317</v>
      </c>
      <c r="F29" s="77">
        <f t="shared" si="5"/>
        <v>0</v>
      </c>
      <c r="G29" s="77">
        <f t="shared" si="5"/>
        <v>291317</v>
      </c>
      <c r="H29" s="77">
        <f t="shared" si="5"/>
        <v>291317</v>
      </c>
      <c r="I29" s="77">
        <f t="shared" si="5"/>
        <v>151919</v>
      </c>
      <c r="J29" s="77">
        <f t="shared" si="5"/>
        <v>30193</v>
      </c>
      <c r="K29" s="77">
        <f t="shared" si="5"/>
        <v>0</v>
      </c>
      <c r="L29" s="77">
        <f t="shared" si="5"/>
        <v>0</v>
      </c>
      <c r="M29" s="77">
        <f t="shared" si="5"/>
        <v>0</v>
      </c>
      <c r="N29" s="200">
        <f t="shared" si="5"/>
        <v>0</v>
      </c>
    </row>
    <row r="30" spans="1:14" s="42" customFormat="1" ht="25.5">
      <c r="A30" s="300"/>
      <c r="B30" s="120">
        <v>71013</v>
      </c>
      <c r="C30" s="150" t="s">
        <v>115</v>
      </c>
      <c r="D30" s="67">
        <f>'WYDATKI ukł.wyk.'!E79</f>
        <v>40000</v>
      </c>
      <c r="E30" s="67">
        <f>SUM('WYDATKI ukł.wyk.'!F80:F81)</f>
        <v>40000</v>
      </c>
      <c r="F30" s="67">
        <f>SUM('WYDATKI ukł.wyk.'!G80:G81)</f>
        <v>0</v>
      </c>
      <c r="G30" s="67">
        <f>SUM('WYDATKI ukł.wyk.'!H80:H81)</f>
        <v>40000</v>
      </c>
      <c r="H30" s="67">
        <f>SUM('WYDATKI ukł.wyk.'!H80:H81)</f>
        <v>40000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197">
        <v>0</v>
      </c>
    </row>
    <row r="31" spans="1:14" s="42" customFormat="1" ht="25.5">
      <c r="A31" s="149"/>
      <c r="B31" s="80">
        <v>71014</v>
      </c>
      <c r="C31" s="146" t="s">
        <v>116</v>
      </c>
      <c r="D31" s="141">
        <f>'WYDATKI ukł.wyk.'!E83</f>
        <v>22000</v>
      </c>
      <c r="E31" s="141">
        <f>SUM('WYDATKI ukł.wyk.'!F84)</f>
        <v>15000</v>
      </c>
      <c r="F31" s="141">
        <f>SUM('WYDATKI ukł.wyk.'!G84)</f>
        <v>0</v>
      </c>
      <c r="G31" s="141">
        <f>SUM('WYDATKI ukł.wyk.'!H84)</f>
        <v>15000</v>
      </c>
      <c r="H31" s="141">
        <f>SUM('WYDATKI ukł.wyk.'!H84)</f>
        <v>15000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199">
        <v>0</v>
      </c>
    </row>
    <row r="32" spans="1:14" s="42" customFormat="1" ht="12.75">
      <c r="A32" s="149"/>
      <c r="B32" s="80">
        <v>71015</v>
      </c>
      <c r="C32" s="64" t="s">
        <v>117</v>
      </c>
      <c r="D32" s="71">
        <f>'WYDATKI ukł.wyk.'!E86</f>
        <v>207553</v>
      </c>
      <c r="E32" s="71">
        <f>SUM('WYDATKI ukł.wyk.'!F87:F104)</f>
        <v>236317</v>
      </c>
      <c r="F32" s="71">
        <f>SUM('WYDATKI ukł.wyk.'!G87:G104)</f>
        <v>0</v>
      </c>
      <c r="G32" s="71">
        <f>SUM('WYDATKI ukł.wyk.'!H87:H104)</f>
        <v>236317</v>
      </c>
      <c r="H32" s="71">
        <f>SUM('WYDATKI ukł.wyk.'!H87:H104)</f>
        <v>236317</v>
      </c>
      <c r="I32" s="71">
        <f>'WYDATKI ukł.wyk.'!H87+'WYDATKI ukł.wyk.'!H88+'WYDATKI ukł.wyk.'!H91</f>
        <v>151919</v>
      </c>
      <c r="J32" s="71">
        <f>'WYDATKI ukł.wyk.'!H89+'WYDATKI ukł.wyk.'!H90</f>
        <v>30193</v>
      </c>
      <c r="K32" s="69">
        <v>0</v>
      </c>
      <c r="L32" s="69">
        <v>0</v>
      </c>
      <c r="M32" s="69">
        <v>0</v>
      </c>
      <c r="N32" s="202">
        <v>0</v>
      </c>
    </row>
    <row r="33" spans="1:14" s="42" customFormat="1" ht="12.75">
      <c r="A33" s="149"/>
      <c r="B33" s="301"/>
      <c r="C33" s="81"/>
      <c r="D33" s="81"/>
      <c r="E33" s="81"/>
      <c r="F33" s="209"/>
      <c r="G33" s="767"/>
      <c r="H33" s="81"/>
      <c r="I33" s="81"/>
      <c r="J33" s="81"/>
      <c r="K33" s="81"/>
      <c r="L33" s="81"/>
      <c r="M33" s="81"/>
      <c r="N33" s="199"/>
    </row>
    <row r="34" spans="1:21" s="42" customFormat="1" ht="13.5" thickBot="1">
      <c r="A34" s="79">
        <v>750</v>
      </c>
      <c r="B34" s="302"/>
      <c r="C34" s="72" t="s">
        <v>120</v>
      </c>
      <c r="D34" s="303">
        <f>SUM(D35:D39)</f>
        <v>4072894</v>
      </c>
      <c r="E34" s="303">
        <f aca="true" t="shared" si="6" ref="E34:K34">SUM(E35:E39)</f>
        <v>4941581</v>
      </c>
      <c r="F34" s="303">
        <f t="shared" si="6"/>
        <v>-21082</v>
      </c>
      <c r="G34" s="303">
        <f t="shared" si="6"/>
        <v>4920499</v>
      </c>
      <c r="H34" s="303">
        <f t="shared" si="6"/>
        <v>4186249</v>
      </c>
      <c r="I34" s="303">
        <f t="shared" si="6"/>
        <v>2272233</v>
      </c>
      <c r="J34" s="303">
        <f t="shared" si="6"/>
        <v>408832</v>
      </c>
      <c r="K34" s="303">
        <f t="shared" si="6"/>
        <v>0</v>
      </c>
      <c r="L34" s="303">
        <f>SUM(L35:L39)</f>
        <v>0</v>
      </c>
      <c r="M34" s="303">
        <f>SUM(M35:M39)</f>
        <v>0</v>
      </c>
      <c r="N34" s="304">
        <f>SUM(N35:N39)</f>
        <v>734250</v>
      </c>
      <c r="O34"/>
      <c r="P34"/>
      <c r="Q34"/>
      <c r="R34"/>
      <c r="S34"/>
      <c r="T34"/>
      <c r="U34"/>
    </row>
    <row r="35" spans="1:14" s="42" customFormat="1" ht="12.75">
      <c r="A35" s="300"/>
      <c r="B35" s="120">
        <v>75011</v>
      </c>
      <c r="C35" s="75" t="s">
        <v>121</v>
      </c>
      <c r="D35" s="67">
        <f>'WYDATKI ukł.wyk.'!E107</f>
        <v>256034</v>
      </c>
      <c r="E35" s="61">
        <f>SUM('WYDATKI ukł.wyk.'!F108:F125)</f>
        <v>257210</v>
      </c>
      <c r="F35" s="61">
        <f>SUM('WYDATKI ukł.wyk.'!G108:G125)</f>
        <v>0</v>
      </c>
      <c r="G35" s="61">
        <f>SUM('WYDATKI ukł.wyk.'!H108:H125)</f>
        <v>257210</v>
      </c>
      <c r="H35" s="67">
        <f>SUM('WYDATKI ukł.wyk.'!H108:H125)</f>
        <v>257210</v>
      </c>
      <c r="I35" s="67">
        <f>'WYDATKI ukł.wyk.'!H109+'WYDATKI ukł.wyk.'!H110+'WYDATKI ukł.wyk.'!H113</f>
        <v>191899</v>
      </c>
      <c r="J35" s="67">
        <f>'WYDATKI ukł.wyk.'!H111+'WYDATKI ukł.wyk.'!H112</f>
        <v>33291</v>
      </c>
      <c r="K35" s="66">
        <v>0</v>
      </c>
      <c r="L35" s="66">
        <v>0</v>
      </c>
      <c r="M35" s="66">
        <v>0</v>
      </c>
      <c r="N35" s="197">
        <v>0</v>
      </c>
    </row>
    <row r="36" spans="1:14" s="42" customFormat="1" ht="12.75">
      <c r="A36" s="149"/>
      <c r="B36" s="80">
        <v>75019</v>
      </c>
      <c r="C36" s="64" t="s">
        <v>124</v>
      </c>
      <c r="D36" s="76">
        <f>'WYDATKI ukł.wyk.'!E127</f>
        <v>238300</v>
      </c>
      <c r="E36" s="76">
        <f>SUM('WYDATKI ukł.wyk.'!F128:F136)</f>
        <v>265850</v>
      </c>
      <c r="F36" s="76">
        <f>SUM('WYDATKI ukł.wyk.'!G128:G136)</f>
        <v>0</v>
      </c>
      <c r="G36" s="76">
        <f>SUM('WYDATKI ukł.wyk.'!H128:H136)</f>
        <v>265850</v>
      </c>
      <c r="H36" s="76">
        <f>SUM('WYDATKI ukł.wyk.'!H128:H136)</f>
        <v>265850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203"/>
    </row>
    <row r="37" spans="1:14" s="42" customFormat="1" ht="12.75">
      <c r="A37" s="149"/>
      <c r="B37" s="80">
        <v>75020</v>
      </c>
      <c r="C37" s="64" t="s">
        <v>127</v>
      </c>
      <c r="D37" s="76">
        <f>'WYDATKI ukł.wyk.'!E138</f>
        <v>3552571</v>
      </c>
      <c r="E37" s="76">
        <f>SUM('WYDATKI ukł.wyk.'!F139:F163)</f>
        <v>4364543</v>
      </c>
      <c r="F37" s="76">
        <f>SUM('WYDATKI ukł.wyk.'!G139:G163)</f>
        <v>0</v>
      </c>
      <c r="G37" s="76">
        <f>SUM('WYDATKI ukł.wyk.'!H139:H163)</f>
        <v>4364543</v>
      </c>
      <c r="H37" s="76">
        <f>SUM('WYDATKI ukł.wyk.'!H139:H160)</f>
        <v>3630293</v>
      </c>
      <c r="I37" s="76">
        <f>'WYDATKI ukł.wyk.'!H140+'WYDATKI ukł.wyk.'!H141+'WYDATKI ukł.wyk.'!H144</f>
        <v>2071016</v>
      </c>
      <c r="J37" s="76">
        <f>'WYDATKI ukł.wyk.'!H142+'WYDATKI ukł.wyk.'!H143</f>
        <v>374259</v>
      </c>
      <c r="K37" s="82">
        <v>0</v>
      </c>
      <c r="L37" s="82">
        <v>0</v>
      </c>
      <c r="M37" s="82">
        <v>0</v>
      </c>
      <c r="N37" s="204">
        <f>'WYDATKI ukł.wyk.'!H161+'WYDATKI ukł.wyk.'!H162+'WYDATKI ukł.wyk.'!H163</f>
        <v>734250</v>
      </c>
    </row>
    <row r="38" spans="1:14" s="42" customFormat="1" ht="12.75">
      <c r="A38" s="149"/>
      <c r="B38" s="151">
        <v>75045</v>
      </c>
      <c r="C38" s="70" t="s">
        <v>131</v>
      </c>
      <c r="D38" s="71">
        <f>'WYDATKI ukł.wyk.'!E166</f>
        <v>15999</v>
      </c>
      <c r="E38" s="71">
        <f>SUM('WYDATKI ukł.wyk.'!F167:F177)</f>
        <v>16978</v>
      </c>
      <c r="F38" s="71">
        <f>SUM('WYDATKI ukł.wyk.'!G167:G177)</f>
        <v>0</v>
      </c>
      <c r="G38" s="71">
        <f>SUM('WYDATKI ukł.wyk.'!H167:H177)</f>
        <v>16978</v>
      </c>
      <c r="H38" s="71">
        <f>SUM('WYDATKI ukł.wyk.'!H167:H177)</f>
        <v>16978</v>
      </c>
      <c r="I38" s="71">
        <f>'WYDATKI ukł.wyk.'!H170</f>
        <v>6800</v>
      </c>
      <c r="J38" s="71">
        <f>'WYDATKI ukł.wyk.'!H168+'WYDATKI ukł.wyk.'!H169</f>
        <v>1282</v>
      </c>
      <c r="K38" s="69">
        <v>0</v>
      </c>
      <c r="L38" s="69">
        <v>0</v>
      </c>
      <c r="M38" s="69">
        <v>0</v>
      </c>
      <c r="N38" s="198">
        <v>0</v>
      </c>
    </row>
    <row r="39" spans="1:14" s="42" customFormat="1" ht="12.75">
      <c r="A39" s="149"/>
      <c r="B39" s="151">
        <v>75095</v>
      </c>
      <c r="C39" s="70" t="s">
        <v>58</v>
      </c>
      <c r="D39" s="71">
        <f>'WYDATKI ukł.wyk.'!E179</f>
        <v>9990</v>
      </c>
      <c r="E39" s="71">
        <f>SUM('WYDATKI ukł.wyk.'!F180:F183)</f>
        <v>37000</v>
      </c>
      <c r="F39" s="71">
        <f>SUM('WYDATKI ukł.wyk.'!G180:G183)</f>
        <v>-21082</v>
      </c>
      <c r="G39" s="71">
        <f>SUM('WYDATKI ukł.wyk.'!H180:H183)</f>
        <v>15918</v>
      </c>
      <c r="H39" s="71">
        <f>SUM('WYDATKI ukł.wyk.'!H180:H183)</f>
        <v>15918</v>
      </c>
      <c r="I39" s="71">
        <f>'WYDATKI ukł.wyk.'!H180</f>
        <v>2518</v>
      </c>
      <c r="J39" s="69">
        <v>0</v>
      </c>
      <c r="K39" s="69">
        <v>0</v>
      </c>
      <c r="L39" s="69">
        <v>0</v>
      </c>
      <c r="M39" s="69">
        <v>0</v>
      </c>
      <c r="N39" s="202">
        <v>0</v>
      </c>
    </row>
    <row r="40" spans="1:14" s="42" customFormat="1" ht="12.75">
      <c r="A40" s="149"/>
      <c r="B40" s="299"/>
      <c r="C40" s="143"/>
      <c r="D40" s="143"/>
      <c r="E40" s="143"/>
      <c r="F40" s="209"/>
      <c r="G40" s="209"/>
      <c r="H40" s="143"/>
      <c r="I40" s="143"/>
      <c r="J40" s="143"/>
      <c r="K40" s="143"/>
      <c r="L40" s="143"/>
      <c r="M40" s="143"/>
      <c r="N40" s="144"/>
    </row>
    <row r="41" spans="1:14" s="42" customFormat="1" ht="13.5" thickBot="1">
      <c r="A41" s="305">
        <v>752</v>
      </c>
      <c r="B41" s="307"/>
      <c r="C41" s="810" t="s">
        <v>726</v>
      </c>
      <c r="D41" s="306"/>
      <c r="E41" s="77">
        <f>E42</f>
        <v>1000</v>
      </c>
      <c r="F41" s="77">
        <f aca="true" t="shared" si="7" ref="F41:K41">F42</f>
        <v>0</v>
      </c>
      <c r="G41" s="77">
        <f t="shared" si="7"/>
        <v>1000</v>
      </c>
      <c r="H41" s="77">
        <f t="shared" si="7"/>
        <v>1000</v>
      </c>
      <c r="I41" s="77">
        <f t="shared" si="7"/>
        <v>200</v>
      </c>
      <c r="J41" s="77">
        <f t="shared" si="7"/>
        <v>0</v>
      </c>
      <c r="K41" s="77">
        <f t="shared" si="7"/>
        <v>0</v>
      </c>
      <c r="L41" s="77">
        <f>L42</f>
        <v>0</v>
      </c>
      <c r="M41" s="77">
        <f>M42</f>
        <v>0</v>
      </c>
      <c r="N41" s="77">
        <f>N42</f>
        <v>0</v>
      </c>
    </row>
    <row r="42" spans="1:14" s="42" customFormat="1" ht="12.75">
      <c r="A42" s="149"/>
      <c r="B42" s="65" t="s">
        <v>729</v>
      </c>
      <c r="C42" s="811" t="s">
        <v>727</v>
      </c>
      <c r="D42" s="66"/>
      <c r="E42" s="67">
        <f>SUM('WYDATKI ukł.wyk.'!F187:F189)</f>
        <v>1000</v>
      </c>
      <c r="F42" s="67">
        <f>SUM('WYDATKI ukł.wyk.'!G187:G189)</f>
        <v>0</v>
      </c>
      <c r="G42" s="67">
        <f>SUM('WYDATKI ukł.wyk.'!H187:H189)</f>
        <v>1000</v>
      </c>
      <c r="H42" s="67">
        <f>SUM('WYDATKI ukł.wyk.'!H187:H189)</f>
        <v>1000</v>
      </c>
      <c r="I42" s="67">
        <f>'WYDATKI ukł.wyk.'!H187</f>
        <v>200</v>
      </c>
      <c r="J42" s="66">
        <v>0</v>
      </c>
      <c r="K42" s="66">
        <v>0</v>
      </c>
      <c r="L42" s="66">
        <v>0</v>
      </c>
      <c r="M42" s="66">
        <v>0</v>
      </c>
      <c r="N42" s="197">
        <v>0</v>
      </c>
    </row>
    <row r="43" spans="1:14" s="42" customFormat="1" ht="12.75">
      <c r="A43" s="149"/>
      <c r="B43" s="301"/>
      <c r="C43" s="809"/>
      <c r="D43" s="81"/>
      <c r="E43" s="81"/>
      <c r="F43" s="767"/>
      <c r="G43" s="767"/>
      <c r="H43" s="81"/>
      <c r="I43" s="81"/>
      <c r="J43" s="81"/>
      <c r="K43" s="81"/>
      <c r="L43" s="81"/>
      <c r="M43" s="81"/>
      <c r="N43" s="199"/>
    </row>
    <row r="44" spans="1:14" s="42" customFormat="1" ht="26.25" thickBot="1">
      <c r="A44" s="79">
        <v>754</v>
      </c>
      <c r="B44" s="302"/>
      <c r="C44" s="185" t="s">
        <v>132</v>
      </c>
      <c r="D44" s="303">
        <f>SUM(D45:D47)</f>
        <v>7300</v>
      </c>
      <c r="E44" s="303">
        <f>SUM(E45:E47)</f>
        <v>8300</v>
      </c>
      <c r="F44" s="303">
        <f>SUM(F45:F47)</f>
        <v>12800</v>
      </c>
      <c r="G44" s="303">
        <f aca="true" t="shared" si="8" ref="E44:N44">SUM(G45:G47)</f>
        <v>21100</v>
      </c>
      <c r="H44" s="303">
        <f t="shared" si="8"/>
        <v>21100</v>
      </c>
      <c r="I44" s="303">
        <f t="shared" si="8"/>
        <v>452</v>
      </c>
      <c r="J44" s="303">
        <f t="shared" si="8"/>
        <v>0</v>
      </c>
      <c r="K44" s="303">
        <f t="shared" si="8"/>
        <v>0</v>
      </c>
      <c r="L44" s="303">
        <f t="shared" si="8"/>
        <v>0</v>
      </c>
      <c r="M44" s="303">
        <f t="shared" si="8"/>
        <v>0</v>
      </c>
      <c r="N44" s="304">
        <f t="shared" si="8"/>
        <v>0</v>
      </c>
    </row>
    <row r="45" spans="1:14" s="42" customFormat="1" ht="12.75">
      <c r="A45" s="300"/>
      <c r="B45" s="120">
        <v>75414</v>
      </c>
      <c r="C45" s="75" t="s">
        <v>133</v>
      </c>
      <c r="D45" s="67">
        <f>'WYDATKI ukł.wyk.'!E193</f>
        <v>0</v>
      </c>
      <c r="E45" s="67">
        <f>SUM('WYDATKI ukł.wyk.'!F194:F196)</f>
        <v>2000</v>
      </c>
      <c r="F45" s="67">
        <f>SUM('WYDATKI ukł.wyk.'!G194:G196)</f>
        <v>0</v>
      </c>
      <c r="G45" s="67">
        <f>SUM('WYDATKI ukł.wyk.'!H194:H196)</f>
        <v>2000</v>
      </c>
      <c r="H45" s="67">
        <f>SUM('WYDATKI ukł.wyk.'!H194:H196)</f>
        <v>2000</v>
      </c>
      <c r="I45" s="67">
        <f>'WYDATKI ukł.wyk.'!H194</f>
        <v>300</v>
      </c>
      <c r="J45" s="66">
        <v>0</v>
      </c>
      <c r="K45" s="66">
        <v>0</v>
      </c>
      <c r="L45" s="66">
        <v>0</v>
      </c>
      <c r="M45" s="66">
        <v>0</v>
      </c>
      <c r="N45" s="201">
        <v>0</v>
      </c>
    </row>
    <row r="46" spans="1:14" s="42" customFormat="1" ht="12.75">
      <c r="A46" s="149"/>
      <c r="B46" s="80">
        <v>75421</v>
      </c>
      <c r="C46" s="64" t="s">
        <v>795</v>
      </c>
      <c r="D46" s="76"/>
      <c r="E46" s="76">
        <f>SUM('WYDATKI ukł.wyk.'!F199:F202)</f>
        <v>0</v>
      </c>
      <c r="F46" s="76">
        <f>SUM('WYDATKI ukł.wyk.'!G199:G202)</f>
        <v>12800</v>
      </c>
      <c r="G46" s="76">
        <f>SUM('WYDATKI ukł.wyk.'!H199:H202)</f>
        <v>12800</v>
      </c>
      <c r="H46" s="76">
        <f>SUM('WYDATKI ukł.wyk.'!H199:H202)</f>
        <v>12800</v>
      </c>
      <c r="I46" s="76"/>
      <c r="J46" s="82"/>
      <c r="K46" s="82"/>
      <c r="L46" s="82"/>
      <c r="M46" s="82"/>
      <c r="N46" s="204"/>
    </row>
    <row r="47" spans="1:14" s="42" customFormat="1" ht="12.75">
      <c r="A47" s="149"/>
      <c r="B47" s="80">
        <v>75495</v>
      </c>
      <c r="C47" s="64" t="s">
        <v>58</v>
      </c>
      <c r="D47" s="76">
        <f>'WYDATKI ukł.wyk.'!E204</f>
        <v>7300</v>
      </c>
      <c r="E47" s="71">
        <f>SUM('WYDATKI ukł.wyk.'!F205:F208)</f>
        <v>6300</v>
      </c>
      <c r="F47" s="71">
        <f>SUM('WYDATKI ukł.wyk.'!G205:G208)</f>
        <v>0</v>
      </c>
      <c r="G47" s="71">
        <f>SUM('WYDATKI ukł.wyk.'!H205:H208)</f>
        <v>6300</v>
      </c>
      <c r="H47" s="76">
        <f>SUM('WYDATKI ukł.wyk.'!H205:H208)</f>
        <v>6300</v>
      </c>
      <c r="I47" s="76">
        <f>'WYDATKI ukł.wyk.'!H205</f>
        <v>152</v>
      </c>
      <c r="J47" s="82">
        <v>0</v>
      </c>
      <c r="K47" s="76">
        <v>0</v>
      </c>
      <c r="L47" s="82">
        <v>0</v>
      </c>
      <c r="M47" s="82">
        <v>0</v>
      </c>
      <c r="N47" s="203">
        <v>0</v>
      </c>
    </row>
    <row r="48" spans="1:14" s="42" customFormat="1" ht="12.75">
      <c r="A48" s="149"/>
      <c r="B48" s="301"/>
      <c r="C48" s="81"/>
      <c r="D48" s="81"/>
      <c r="E48" s="81"/>
      <c r="F48" s="209"/>
      <c r="G48" s="767"/>
      <c r="H48" s="81"/>
      <c r="I48" s="81"/>
      <c r="J48" s="81"/>
      <c r="K48" s="81"/>
      <c r="L48" s="81"/>
      <c r="M48" s="81"/>
      <c r="N48" s="199"/>
    </row>
    <row r="49" spans="1:14" s="42" customFormat="1" ht="13.5" thickBot="1">
      <c r="A49" s="79">
        <v>757</v>
      </c>
      <c r="B49" s="73"/>
      <c r="C49" s="72" t="s">
        <v>134</v>
      </c>
      <c r="D49" s="77">
        <f aca="true" t="shared" si="9" ref="D49:N49">SUM(D50:D50)</f>
        <v>630000</v>
      </c>
      <c r="E49" s="77">
        <f t="shared" si="9"/>
        <v>649097</v>
      </c>
      <c r="F49" s="77">
        <f t="shared" si="9"/>
        <v>6100</v>
      </c>
      <c r="G49" s="77">
        <f t="shared" si="9"/>
        <v>655197</v>
      </c>
      <c r="H49" s="77">
        <f t="shared" si="9"/>
        <v>655197</v>
      </c>
      <c r="I49" s="77">
        <f t="shared" si="9"/>
        <v>0</v>
      </c>
      <c r="J49" s="77">
        <f t="shared" si="9"/>
        <v>0</v>
      </c>
      <c r="K49" s="77">
        <f t="shared" si="9"/>
        <v>0</v>
      </c>
      <c r="L49" s="77">
        <f t="shared" si="9"/>
        <v>655197</v>
      </c>
      <c r="M49" s="77">
        <f t="shared" si="9"/>
        <v>0</v>
      </c>
      <c r="N49" s="200">
        <f t="shared" si="9"/>
        <v>0</v>
      </c>
    </row>
    <row r="50" spans="1:14" s="42" customFormat="1" ht="25.5">
      <c r="A50" s="300"/>
      <c r="B50" s="80">
        <v>75702</v>
      </c>
      <c r="C50" s="186" t="s">
        <v>135</v>
      </c>
      <c r="D50" s="67">
        <f>'WYDATKI ukł.wyk.'!E211</f>
        <v>630000</v>
      </c>
      <c r="E50" s="67">
        <f>SUM('WYDATKI ukł.wyk.'!F211)</f>
        <v>649097</v>
      </c>
      <c r="F50" s="67">
        <f>SUM('WYDATKI ukł.wyk.'!G211)</f>
        <v>6100</v>
      </c>
      <c r="G50" s="67">
        <f>SUM('WYDATKI ukł.wyk.'!H211)</f>
        <v>655197</v>
      </c>
      <c r="H50" s="67">
        <f>'WYDATKI ukł.wyk.'!H212+'WYDATKI ukł.wyk.'!H214</f>
        <v>655197</v>
      </c>
      <c r="I50" s="66">
        <v>0</v>
      </c>
      <c r="J50" s="66">
        <v>0</v>
      </c>
      <c r="K50" s="66">
        <v>0</v>
      </c>
      <c r="L50" s="67">
        <f>'WYDATKI ukł.wyk.'!H214+'WYDATKI ukł.wyk.'!H212</f>
        <v>655197</v>
      </c>
      <c r="M50" s="66">
        <v>0</v>
      </c>
      <c r="N50" s="197">
        <v>0</v>
      </c>
    </row>
    <row r="51" spans="1:14" s="42" customFormat="1" ht="12.75">
      <c r="A51" s="149"/>
      <c r="B51" s="299"/>
      <c r="C51" s="143"/>
      <c r="D51" s="143"/>
      <c r="E51" s="143"/>
      <c r="F51" s="209"/>
      <c r="G51" s="209"/>
      <c r="H51" s="143"/>
      <c r="I51" s="143"/>
      <c r="J51" s="143"/>
      <c r="K51" s="143"/>
      <c r="L51" s="143"/>
      <c r="M51" s="143"/>
      <c r="N51" s="144"/>
    </row>
    <row r="52" spans="1:14" s="42" customFormat="1" ht="13.5" thickBot="1">
      <c r="A52" s="79">
        <v>758</v>
      </c>
      <c r="B52" s="73"/>
      <c r="C52" s="72" t="s">
        <v>137</v>
      </c>
      <c r="D52" s="77">
        <f>D53</f>
        <v>0</v>
      </c>
      <c r="E52" s="77">
        <f aca="true" t="shared" si="10" ref="E52:N52">E53</f>
        <v>934393</v>
      </c>
      <c r="F52" s="77">
        <f t="shared" si="10"/>
        <v>-934393</v>
      </c>
      <c r="G52" s="77">
        <f t="shared" si="10"/>
        <v>0</v>
      </c>
      <c r="H52" s="77">
        <f t="shared" si="10"/>
        <v>0</v>
      </c>
      <c r="I52" s="77">
        <f t="shared" si="10"/>
        <v>0</v>
      </c>
      <c r="J52" s="77">
        <f t="shared" si="10"/>
        <v>0</v>
      </c>
      <c r="K52" s="77">
        <f t="shared" si="10"/>
        <v>0</v>
      </c>
      <c r="L52" s="77">
        <f t="shared" si="10"/>
        <v>0</v>
      </c>
      <c r="M52" s="77">
        <f t="shared" si="10"/>
        <v>0</v>
      </c>
      <c r="N52" s="200">
        <f t="shared" si="10"/>
        <v>0</v>
      </c>
    </row>
    <row r="53" spans="1:14" s="42" customFormat="1" ht="12.75">
      <c r="A53" s="300"/>
      <c r="B53" s="109">
        <v>75818</v>
      </c>
      <c r="C53" s="108" t="s">
        <v>138</v>
      </c>
      <c r="D53" s="141">
        <f>'WYDATKI ukł.wyk.'!E217</f>
        <v>0</v>
      </c>
      <c r="E53" s="141">
        <f>SUM('WYDATKI ukł.wyk.'!F218)</f>
        <v>934393</v>
      </c>
      <c r="F53" s="141">
        <f>SUM('WYDATKI ukł.wyk.'!G218)</f>
        <v>-934393</v>
      </c>
      <c r="G53" s="141">
        <f>SUM('WYDATKI ukł.wyk.'!H218)</f>
        <v>0</v>
      </c>
      <c r="H53" s="141">
        <f>SUM('WYDATKI ukł.wyk.'!H218)</f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199">
        <v>0</v>
      </c>
    </row>
    <row r="54" spans="1:14" s="42" customFormat="1" ht="12.75">
      <c r="A54" s="149"/>
      <c r="B54" s="299"/>
      <c r="C54" s="143"/>
      <c r="D54" s="143"/>
      <c r="E54" s="143"/>
      <c r="F54" s="209"/>
      <c r="G54" s="209"/>
      <c r="H54" s="143"/>
      <c r="I54" s="143"/>
      <c r="J54" s="143"/>
      <c r="K54" s="143"/>
      <c r="L54" s="143"/>
      <c r="M54" s="143"/>
      <c r="N54" s="144"/>
    </row>
    <row r="55" spans="1:14" s="42" customFormat="1" ht="13.5" thickBot="1">
      <c r="A55" s="79">
        <v>801</v>
      </c>
      <c r="B55" s="73"/>
      <c r="C55" s="72" t="s">
        <v>140</v>
      </c>
      <c r="D55" s="77">
        <f>SUM(D56:D62)</f>
        <v>6876770</v>
      </c>
      <c r="E55" s="77">
        <f aca="true" t="shared" si="11" ref="E55:N55">SUM(E56:E62)</f>
        <v>7789954</v>
      </c>
      <c r="F55" s="77">
        <f t="shared" si="11"/>
        <v>-116908</v>
      </c>
      <c r="G55" s="77">
        <f t="shared" si="11"/>
        <v>7673046</v>
      </c>
      <c r="H55" s="77">
        <f t="shared" si="11"/>
        <v>7643046</v>
      </c>
      <c r="I55" s="77">
        <f t="shared" si="11"/>
        <v>4664169</v>
      </c>
      <c r="J55" s="77">
        <f t="shared" si="11"/>
        <v>917237</v>
      </c>
      <c r="K55" s="77">
        <f t="shared" si="11"/>
        <v>10000</v>
      </c>
      <c r="L55" s="77">
        <f t="shared" si="11"/>
        <v>0</v>
      </c>
      <c r="M55" s="77">
        <f t="shared" si="11"/>
        <v>0</v>
      </c>
      <c r="N55" s="200">
        <f t="shared" si="11"/>
        <v>30000</v>
      </c>
    </row>
    <row r="56" spans="1:14" s="42" customFormat="1" ht="12.75">
      <c r="A56" s="300"/>
      <c r="B56" s="80">
        <v>80101</v>
      </c>
      <c r="C56" s="64" t="s">
        <v>141</v>
      </c>
      <c r="D56" s="67">
        <f>'WYDATKI ukł.wyk.'!E221</f>
        <v>88232</v>
      </c>
      <c r="E56" s="67">
        <f>SUM('WYDATKI ukł.wyk.'!F222:F235)</f>
        <v>119664</v>
      </c>
      <c r="F56" s="67">
        <f>SUM('WYDATKI ukł.wyk.'!G222:G235)</f>
        <v>-25602</v>
      </c>
      <c r="G56" s="67">
        <f>SUM('WYDATKI ukł.wyk.'!H222:H235)</f>
        <v>94062</v>
      </c>
      <c r="H56" s="67">
        <f>SUM('WYDATKI ukł.wyk.'!H222:H235)</f>
        <v>94062</v>
      </c>
      <c r="I56" s="67">
        <f>'WYDATKI ukł.wyk.'!H223+'WYDATKI ukł.wyk.'!H224</f>
        <v>53624</v>
      </c>
      <c r="J56" s="67">
        <f>'WYDATKI ukł.wyk.'!H225+'WYDATKI ukł.wyk.'!H226</f>
        <v>12020</v>
      </c>
      <c r="K56" s="66">
        <v>0</v>
      </c>
      <c r="L56" s="66">
        <v>0</v>
      </c>
      <c r="M56" s="66">
        <v>0</v>
      </c>
      <c r="N56" s="197">
        <v>0</v>
      </c>
    </row>
    <row r="57" spans="1:14" s="42" customFormat="1" ht="12.75">
      <c r="A57" s="149"/>
      <c r="B57" s="151">
        <v>80110</v>
      </c>
      <c r="C57" s="70" t="s">
        <v>143</v>
      </c>
      <c r="D57" s="71">
        <f>'WYDATKI ukł.wyk.'!E237</f>
        <v>373330</v>
      </c>
      <c r="E57" s="71">
        <f>SUM('WYDATKI ukł.wyk.'!F238:F252)</f>
        <v>642264</v>
      </c>
      <c r="F57" s="71">
        <f>SUM('WYDATKI ukł.wyk.'!G238:G252)</f>
        <v>-50994</v>
      </c>
      <c r="G57" s="71">
        <f>SUM('WYDATKI ukł.wyk.'!H238:H252)</f>
        <v>591270</v>
      </c>
      <c r="H57" s="71">
        <f>SUM('WYDATKI ukł.wyk.'!H238:H252)</f>
        <v>591270</v>
      </c>
      <c r="I57" s="71">
        <f>'WYDATKI ukł.wyk.'!H239+'WYDATKI ukł.wyk.'!H240</f>
        <v>276063</v>
      </c>
      <c r="J57" s="71">
        <f>'WYDATKI ukł.wyk.'!H241+'WYDATKI ukł.wyk.'!H242</f>
        <v>58121</v>
      </c>
      <c r="K57" s="69">
        <v>0</v>
      </c>
      <c r="L57" s="69">
        <v>0</v>
      </c>
      <c r="M57" s="69">
        <v>0</v>
      </c>
      <c r="N57" s="198">
        <v>0</v>
      </c>
    </row>
    <row r="58" spans="1:14" s="42" customFormat="1" ht="12.75">
      <c r="A58" s="149"/>
      <c r="B58" s="190" t="s">
        <v>230</v>
      </c>
      <c r="C58" s="64" t="s">
        <v>145</v>
      </c>
      <c r="D58" s="76">
        <f>'WYDATKI ukł.wyk.'!E254</f>
        <v>2150137</v>
      </c>
      <c r="E58" s="76">
        <f>SUM('WYDATKI ukł.wyk.'!F255:F276)</f>
        <v>2277139</v>
      </c>
      <c r="F58" s="76">
        <f>SUM('WYDATKI ukł.wyk.'!G255:G276)</f>
        <v>-35997</v>
      </c>
      <c r="G58" s="76">
        <f>SUM('WYDATKI ukł.wyk.'!H255:H276)</f>
        <v>2241142</v>
      </c>
      <c r="H58" s="76">
        <f>SUM('WYDATKI ukł.wyk.'!H255:H275)</f>
        <v>2221142</v>
      </c>
      <c r="I58" s="76">
        <f>'WYDATKI ukł.wyk.'!H256+'WYDATKI ukł.wyk.'!H257+'WYDATKI ukł.wyk.'!H260</f>
        <v>1597828</v>
      </c>
      <c r="J58" s="76">
        <f>'WYDATKI ukł.wyk.'!H258+'WYDATKI ukł.wyk.'!H259</f>
        <v>301513</v>
      </c>
      <c r="K58" s="82">
        <v>0</v>
      </c>
      <c r="L58" s="82">
        <v>0</v>
      </c>
      <c r="M58" s="82">
        <v>0</v>
      </c>
      <c r="N58" s="204">
        <f>'WYDATKI ukł.wyk.'!H276</f>
        <v>20000</v>
      </c>
    </row>
    <row r="59" spans="1:14" s="42" customFormat="1" ht="12.75">
      <c r="A59" s="149"/>
      <c r="B59" s="191" t="s">
        <v>231</v>
      </c>
      <c r="C59" s="69" t="s">
        <v>147</v>
      </c>
      <c r="D59" s="71">
        <f>'WYDATKI ukł.wyk.'!E278</f>
        <v>4130896</v>
      </c>
      <c r="E59" s="71">
        <f>SUM('WYDATKI ukł.wyk.'!F279:F304)</f>
        <v>4546368</v>
      </c>
      <c r="F59" s="71">
        <f>SUM('WYDATKI ukł.wyk.'!G279:G304)</f>
        <v>36326</v>
      </c>
      <c r="G59" s="71">
        <f>SUM('WYDATKI ukł.wyk.'!H279:H304)</f>
        <v>4582694</v>
      </c>
      <c r="H59" s="71">
        <f>SUM('WYDATKI ukł.wyk.'!H279:H302)</f>
        <v>4572694</v>
      </c>
      <c r="I59" s="71">
        <f>'WYDATKI ukł.wyk.'!H280+'WYDATKI ukł.wyk.'!H281+'WYDATKI ukł.wyk.'!H284</f>
        <v>2719002</v>
      </c>
      <c r="J59" s="71">
        <f>'WYDATKI ukł.wyk.'!H282+'WYDATKI ukł.wyk.'!H283</f>
        <v>519117</v>
      </c>
      <c r="K59" s="69">
        <v>0</v>
      </c>
      <c r="L59" s="69">
        <v>0</v>
      </c>
      <c r="M59" s="69">
        <v>0</v>
      </c>
      <c r="N59" s="202">
        <f>'WYDATKI ukł.wyk.'!H303+'WYDATKI ukł.wyk.'!H304</f>
        <v>10000</v>
      </c>
    </row>
    <row r="60" spans="1:14" s="42" customFormat="1" ht="25.5">
      <c r="A60" s="149"/>
      <c r="B60" s="191" t="s">
        <v>232</v>
      </c>
      <c r="C60" s="193" t="s">
        <v>148</v>
      </c>
      <c r="D60" s="71">
        <f>'WYDATKI ukł.wyk.'!E306</f>
        <v>28271</v>
      </c>
      <c r="E60" s="71">
        <f>SUM('WYDATKI ukł.wyk.'!F307:F311)</f>
        <v>44780</v>
      </c>
      <c r="F60" s="71">
        <f>SUM('WYDATKI ukł.wyk.'!G307:G311)</f>
        <v>-12545</v>
      </c>
      <c r="G60" s="71">
        <f>SUM('WYDATKI ukł.wyk.'!H307:H311)</f>
        <v>32235</v>
      </c>
      <c r="H60" s="71">
        <f>SUM('WYDATKI ukł.wyk.'!H307:H311)</f>
        <v>32235</v>
      </c>
      <c r="I60" s="71">
        <f>0</f>
        <v>0</v>
      </c>
      <c r="J60" s="69">
        <v>0</v>
      </c>
      <c r="K60" s="69">
        <v>0</v>
      </c>
      <c r="L60" s="69">
        <v>0</v>
      </c>
      <c r="M60" s="69">
        <v>0</v>
      </c>
      <c r="N60" s="198">
        <v>0</v>
      </c>
    </row>
    <row r="61" spans="1:14" s="42" customFormat="1" ht="12.75">
      <c r="A61" s="149"/>
      <c r="B61" s="191" t="s">
        <v>233</v>
      </c>
      <c r="C61" s="70" t="s">
        <v>58</v>
      </c>
      <c r="D61" s="71">
        <f>'WYDATKI ukł.wyk.'!E313</f>
        <v>75864</v>
      </c>
      <c r="E61" s="71">
        <f>SUM('WYDATKI ukł.wyk.'!F314:F324)</f>
        <v>136741</v>
      </c>
      <c r="F61" s="71">
        <f>SUM('WYDATKI ukł.wyk.'!G314:G324)</f>
        <v>-28096</v>
      </c>
      <c r="G61" s="71">
        <f>SUM('WYDATKI ukł.wyk.'!H314:H324)</f>
        <v>108645</v>
      </c>
      <c r="H61" s="71">
        <f>SUM('WYDATKI ukł.wyk.'!H314:H324)</f>
        <v>108645</v>
      </c>
      <c r="I61" s="71">
        <f>'WYDATKI ukł.wyk.'!H317+'WYDATKI ukł.wyk.'!H320</f>
        <v>17652</v>
      </c>
      <c r="J61" s="71">
        <f>'WYDATKI ukł.wyk.'!H318+'WYDATKI ukł.wyk.'!H319</f>
        <v>3468</v>
      </c>
      <c r="K61" s="71">
        <f>'WYDATKI ukł.wyk.'!F314</f>
        <v>10000</v>
      </c>
      <c r="L61" s="69">
        <v>0</v>
      </c>
      <c r="M61" s="69">
        <v>0</v>
      </c>
      <c r="N61" s="198">
        <v>0</v>
      </c>
    </row>
    <row r="62" spans="1:14" s="42" customFormat="1" ht="12.75">
      <c r="A62" s="149"/>
      <c r="B62" s="191" t="s">
        <v>234</v>
      </c>
      <c r="C62" s="70" t="s">
        <v>598</v>
      </c>
      <c r="D62" s="71">
        <f>'WYDATKI ukł.wyk.'!E326</f>
        <v>30040</v>
      </c>
      <c r="E62" s="71">
        <f>SUM('WYDATKI ukł.wyk.'!F327)</f>
        <v>22998</v>
      </c>
      <c r="F62" s="71">
        <f>SUM('WYDATKI ukł.wyk.'!G327)</f>
        <v>0</v>
      </c>
      <c r="G62" s="71">
        <f>SUM('WYDATKI ukł.wyk.'!H327)</f>
        <v>22998</v>
      </c>
      <c r="H62" s="71">
        <f>SUM('WYDATKI ukł.wyk.'!H327)</f>
        <v>22998</v>
      </c>
      <c r="I62" s="69">
        <v>0</v>
      </c>
      <c r="J62" s="71">
        <f>'WYDATKI ukł.wyk.'!H327</f>
        <v>22998</v>
      </c>
      <c r="K62" s="69">
        <v>0</v>
      </c>
      <c r="L62" s="69">
        <v>0</v>
      </c>
      <c r="M62" s="69">
        <v>0</v>
      </c>
      <c r="N62" s="198">
        <v>0</v>
      </c>
    </row>
    <row r="63" spans="1:14" s="42" customFormat="1" ht="12.75">
      <c r="A63" s="149"/>
      <c r="B63" s="301"/>
      <c r="C63" s="81"/>
      <c r="D63" s="81"/>
      <c r="E63" s="81"/>
      <c r="F63" s="209"/>
      <c r="G63" s="767"/>
      <c r="H63" s="81"/>
      <c r="I63" s="81"/>
      <c r="J63" s="81"/>
      <c r="K63" s="81"/>
      <c r="L63" s="81"/>
      <c r="M63" s="81"/>
      <c r="N63" s="199"/>
    </row>
    <row r="64" spans="1:14" s="42" customFormat="1" ht="13.5" thickBot="1">
      <c r="A64" s="305">
        <v>803</v>
      </c>
      <c r="B64" s="73"/>
      <c r="C64" s="306" t="s">
        <v>151</v>
      </c>
      <c r="D64" s="77">
        <f>D65</f>
        <v>388183</v>
      </c>
      <c r="E64" s="77">
        <f aca="true" t="shared" si="12" ref="E64:N64">E65</f>
        <v>614084</v>
      </c>
      <c r="F64" s="77">
        <f t="shared" si="12"/>
        <v>-7861</v>
      </c>
      <c r="G64" s="77">
        <f t="shared" si="12"/>
        <v>606223</v>
      </c>
      <c r="H64" s="77">
        <f t="shared" si="12"/>
        <v>606223</v>
      </c>
      <c r="I64" s="77">
        <f t="shared" si="12"/>
        <v>25100</v>
      </c>
      <c r="J64" s="77">
        <f t="shared" si="12"/>
        <v>0</v>
      </c>
      <c r="K64" s="77">
        <f t="shared" si="12"/>
        <v>0</v>
      </c>
      <c r="L64" s="77">
        <f t="shared" si="12"/>
        <v>0</v>
      </c>
      <c r="M64" s="77">
        <f t="shared" si="12"/>
        <v>0</v>
      </c>
      <c r="N64" s="200">
        <f t="shared" si="12"/>
        <v>0</v>
      </c>
    </row>
    <row r="65" spans="1:14" s="42" customFormat="1" ht="25.5">
      <c r="A65" s="300"/>
      <c r="B65" s="190" t="s">
        <v>235</v>
      </c>
      <c r="C65" s="146" t="s">
        <v>152</v>
      </c>
      <c r="D65" s="76">
        <f>'WYDATKI ukł.wyk.'!E330</f>
        <v>388183</v>
      </c>
      <c r="E65" s="76">
        <f>SUM('WYDATKI ukł.wyk.'!F331:F345)</f>
        <v>614084</v>
      </c>
      <c r="F65" s="76">
        <f>SUM('WYDATKI ukł.wyk.'!G331:G345)</f>
        <v>-7861</v>
      </c>
      <c r="G65" s="76">
        <f>SUM('WYDATKI ukł.wyk.'!H331:H345)</f>
        <v>606223</v>
      </c>
      <c r="H65" s="76">
        <f>SUM('WYDATKI ukł.wyk.'!H331:H345)</f>
        <v>606223</v>
      </c>
      <c r="I65" s="76">
        <f>'WYDATKI ukł.wyk.'!H334+'WYDATKI ukł.wyk.'!H335+'WYDATKI ukł.wyk.'!H336</f>
        <v>25100</v>
      </c>
      <c r="J65" s="82">
        <v>0</v>
      </c>
      <c r="K65" s="82">
        <v>0</v>
      </c>
      <c r="L65" s="82">
        <v>0</v>
      </c>
      <c r="M65" s="82">
        <v>0</v>
      </c>
      <c r="N65" s="203">
        <v>0</v>
      </c>
    </row>
    <row r="66" spans="1:14" s="42" customFormat="1" ht="12.75">
      <c r="A66" s="149"/>
      <c r="B66" s="301"/>
      <c r="C66" s="81"/>
      <c r="D66" s="81"/>
      <c r="E66" s="81"/>
      <c r="F66" s="209"/>
      <c r="G66" s="767"/>
      <c r="H66" s="81"/>
      <c r="I66" s="81"/>
      <c r="J66" s="81"/>
      <c r="K66" s="81"/>
      <c r="L66" s="81"/>
      <c r="M66" s="81"/>
      <c r="N66" s="199"/>
    </row>
    <row r="67" spans="1:14" s="42" customFormat="1" ht="13.5" thickBot="1">
      <c r="A67" s="305">
        <v>851</v>
      </c>
      <c r="B67" s="73"/>
      <c r="C67" s="306" t="s">
        <v>154</v>
      </c>
      <c r="D67" s="77">
        <f>SUM(D69:D71)</f>
        <v>2546833</v>
      </c>
      <c r="E67" s="77">
        <f aca="true" t="shared" si="13" ref="E67:N67">SUM(E68:E71)</f>
        <v>86342</v>
      </c>
      <c r="F67" s="77">
        <f t="shared" si="13"/>
        <v>0</v>
      </c>
      <c r="G67" s="77">
        <f t="shared" si="13"/>
        <v>86342</v>
      </c>
      <c r="H67" s="77">
        <f t="shared" si="13"/>
        <v>73342</v>
      </c>
      <c r="I67" s="77">
        <f t="shared" si="13"/>
        <v>2704</v>
      </c>
      <c r="J67" s="77">
        <f t="shared" si="13"/>
        <v>846</v>
      </c>
      <c r="K67" s="77">
        <f t="shared" si="13"/>
        <v>0</v>
      </c>
      <c r="L67" s="77">
        <f t="shared" si="13"/>
        <v>0</v>
      </c>
      <c r="M67" s="77">
        <f t="shared" si="13"/>
        <v>0</v>
      </c>
      <c r="N67" s="200">
        <f t="shared" si="13"/>
        <v>13000</v>
      </c>
    </row>
    <row r="68" spans="1:14" s="42" customFormat="1" ht="12.75">
      <c r="A68" s="782"/>
      <c r="B68" s="65" t="s">
        <v>705</v>
      </c>
      <c r="C68" s="826" t="s">
        <v>701</v>
      </c>
      <c r="D68" s="827"/>
      <c r="E68" s="828">
        <f>SUM('WYDATKI ukł.wyk.'!F349)</f>
        <v>13000</v>
      </c>
      <c r="F68" s="828">
        <f>SUM('WYDATKI ukł.wyk.'!G349)</f>
        <v>0</v>
      </c>
      <c r="G68" s="828">
        <f>SUM('WYDATKI ukł.wyk.'!H349)</f>
        <v>13000</v>
      </c>
      <c r="H68" s="828">
        <v>0</v>
      </c>
      <c r="I68" s="828">
        <v>0</v>
      </c>
      <c r="J68" s="828">
        <v>0</v>
      </c>
      <c r="K68" s="828">
        <v>0</v>
      </c>
      <c r="L68" s="828"/>
      <c r="M68" s="828"/>
      <c r="N68" s="829">
        <f>SUM('WYDATKI ukł.wyk.'!H349)</f>
        <v>13000</v>
      </c>
    </row>
    <row r="69" spans="1:14" s="42" customFormat="1" ht="12.75">
      <c r="A69" s="149"/>
      <c r="B69" s="80">
        <v>85149</v>
      </c>
      <c r="C69" s="130" t="s">
        <v>156</v>
      </c>
      <c r="D69" s="76">
        <f>'WYDATKI ukł.wyk.'!E353</f>
        <v>3000</v>
      </c>
      <c r="E69" s="76">
        <f>SUM('WYDATKI ukł.wyk.'!F354)</f>
        <v>3000</v>
      </c>
      <c r="F69" s="76">
        <f>SUM('WYDATKI ukł.wyk.'!G354)</f>
        <v>0</v>
      </c>
      <c r="G69" s="76">
        <f>SUM('WYDATKI ukł.wyk.'!H354)</f>
        <v>3000</v>
      </c>
      <c r="H69" s="76">
        <f>SUM('WYDATKI ukł.wyk.'!H354)</f>
        <v>3000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203">
        <v>0</v>
      </c>
    </row>
    <row r="70" spans="1:14" s="42" customFormat="1" ht="12.75">
      <c r="A70" s="149"/>
      <c r="B70" s="80">
        <v>85154</v>
      </c>
      <c r="C70" s="130" t="s">
        <v>314</v>
      </c>
      <c r="D70" s="76">
        <f>'WYDATKI ukł.wyk.'!E356</f>
        <v>14833</v>
      </c>
      <c r="E70" s="76">
        <f>SUM('WYDATKI ukł.wyk.'!F357:F359)</f>
        <v>13925</v>
      </c>
      <c r="F70" s="76">
        <f>SUM('WYDATKI ukł.wyk.'!G357:G359)</f>
        <v>0</v>
      </c>
      <c r="G70" s="76">
        <f>SUM('WYDATKI ukł.wyk.'!H357:H359)</f>
        <v>13925</v>
      </c>
      <c r="H70" s="76">
        <f>SUM('WYDATKI ukł.wyk.'!H357:H359)</f>
        <v>13925</v>
      </c>
      <c r="I70" s="76">
        <f>SUM('WYDATKI ukł.wyk.'!H358)</f>
        <v>2704</v>
      </c>
      <c r="J70" s="76">
        <f>SUM('WYDATKI ukł.wyk.'!H357)</f>
        <v>846</v>
      </c>
      <c r="K70" s="82">
        <v>0</v>
      </c>
      <c r="L70" s="82">
        <v>0</v>
      </c>
      <c r="M70" s="82">
        <v>0</v>
      </c>
      <c r="N70" s="203"/>
    </row>
    <row r="71" spans="1:14" s="42" customFormat="1" ht="12.75">
      <c r="A71" s="149"/>
      <c r="B71" s="80">
        <v>85156</v>
      </c>
      <c r="C71" s="64" t="s">
        <v>157</v>
      </c>
      <c r="D71" s="76">
        <f>'WYDATKI ukł.wyk.'!E361</f>
        <v>2529000</v>
      </c>
      <c r="E71" s="76">
        <f>SUM('WYDATKI ukł.wyk.'!F363)</f>
        <v>56417</v>
      </c>
      <c r="F71" s="76">
        <f>SUM('WYDATKI ukł.wyk.'!G363)</f>
        <v>0</v>
      </c>
      <c r="G71" s="76">
        <f>SUM('WYDATKI ukł.wyk.'!H363)</f>
        <v>56417</v>
      </c>
      <c r="H71" s="76">
        <f>SUM('WYDATKI ukł.wyk.'!H363)</f>
        <v>56417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203">
        <v>0</v>
      </c>
    </row>
    <row r="72" spans="1:14" s="42" customFormat="1" ht="12.75">
      <c r="A72" s="149"/>
      <c r="B72" s="299"/>
      <c r="C72" s="143"/>
      <c r="D72" s="143"/>
      <c r="E72" s="143"/>
      <c r="F72" s="209"/>
      <c r="G72" s="209"/>
      <c r="H72" s="143"/>
      <c r="I72" s="143"/>
      <c r="J72" s="143"/>
      <c r="K72" s="143"/>
      <c r="L72" s="143"/>
      <c r="M72" s="143"/>
      <c r="N72" s="144"/>
    </row>
    <row r="73" spans="1:14" s="42" customFormat="1" ht="13.5" thickBot="1">
      <c r="A73" s="305">
        <v>852</v>
      </c>
      <c r="B73" s="73"/>
      <c r="C73" s="306" t="s">
        <v>236</v>
      </c>
      <c r="D73" s="77">
        <f>SUM(D74:D79)</f>
        <v>8676425</v>
      </c>
      <c r="E73" s="77">
        <f aca="true" t="shared" si="14" ref="E73:N73">SUM(E74:E81)</f>
        <v>10013281</v>
      </c>
      <c r="F73" s="77">
        <f t="shared" si="14"/>
        <v>43355</v>
      </c>
      <c r="G73" s="77">
        <f t="shared" si="14"/>
        <v>10056636</v>
      </c>
      <c r="H73" s="77">
        <f t="shared" si="14"/>
        <v>9898853</v>
      </c>
      <c r="I73" s="77">
        <f t="shared" si="14"/>
        <v>3497173</v>
      </c>
      <c r="J73" s="77">
        <f t="shared" si="14"/>
        <v>674201</v>
      </c>
      <c r="K73" s="77">
        <f t="shared" si="14"/>
        <v>543449</v>
      </c>
      <c r="L73" s="77">
        <f t="shared" si="14"/>
        <v>0</v>
      </c>
      <c r="M73" s="77">
        <f t="shared" si="14"/>
        <v>0</v>
      </c>
      <c r="N73" s="200">
        <f t="shared" si="14"/>
        <v>157783</v>
      </c>
    </row>
    <row r="74" spans="1:14" s="42" customFormat="1" ht="12.75">
      <c r="A74" s="300"/>
      <c r="B74" s="80">
        <v>85201</v>
      </c>
      <c r="C74" s="64" t="s">
        <v>161</v>
      </c>
      <c r="D74" s="67">
        <f>'WYDATKI ukł.wyk.'!E366</f>
        <v>2019498</v>
      </c>
      <c r="E74" s="67">
        <f>SUM('WYDATKI ukł.wyk.'!F367:F392)</f>
        <v>2154180</v>
      </c>
      <c r="F74" s="67">
        <f>SUM('WYDATKI ukł.wyk.'!G367:G392)</f>
        <v>-97866</v>
      </c>
      <c r="G74" s="67">
        <f>SUM('WYDATKI ukł.wyk.'!H367:H392)</f>
        <v>2056314</v>
      </c>
      <c r="H74" s="67">
        <f>SUM('WYDATKI ukł.wyk.'!H367:H392)</f>
        <v>2056314</v>
      </c>
      <c r="I74" s="67">
        <f>'WYDATKI ukł.wyk.'!H370+'WYDATKI ukł.wyk.'!H371+'WYDATKI ukł.wyk.'!H374</f>
        <v>733598</v>
      </c>
      <c r="J74" s="67">
        <f>'WYDATKI ukł.wyk.'!H372+'WYDATKI ukł.wyk.'!H373</f>
        <v>145278</v>
      </c>
      <c r="K74" s="67">
        <f>'WYDATKI ukł.wyk.'!H367</f>
        <v>452479</v>
      </c>
      <c r="L74" s="66">
        <v>0</v>
      </c>
      <c r="M74" s="66">
        <v>0</v>
      </c>
      <c r="N74" s="201">
        <v>0</v>
      </c>
    </row>
    <row r="75" spans="1:14" s="42" customFormat="1" ht="12.75">
      <c r="A75" s="149"/>
      <c r="B75" s="59" t="s">
        <v>237</v>
      </c>
      <c r="C75" s="44" t="s">
        <v>238</v>
      </c>
      <c r="D75" s="76">
        <f>'WYDATKI ukł.wyk.'!E394</f>
        <v>4256602</v>
      </c>
      <c r="E75" s="76">
        <f>SUM('WYDATKI ukł.wyk.'!F395:F423)</f>
        <v>5063448</v>
      </c>
      <c r="F75" s="76">
        <f>SUM('WYDATKI ukł.wyk.'!G395:G423)</f>
        <v>18678</v>
      </c>
      <c r="G75" s="76">
        <f>SUM('WYDATKI ukł.wyk.'!H395:H423)</f>
        <v>5082126</v>
      </c>
      <c r="H75" s="76">
        <f>SUM('WYDATKI ukł.wyk.'!H395:H421)</f>
        <v>4924343</v>
      </c>
      <c r="I75" s="76">
        <f>'WYDATKI ukł.wyk.'!H396+'WYDATKI ukł.wyk.'!H397+'WYDATKI ukł.wyk.'!H400</f>
        <v>2236174</v>
      </c>
      <c r="J75" s="76">
        <f>'WYDATKI ukł.wyk.'!H398+'WYDATKI ukł.wyk.'!H399</f>
        <v>429454</v>
      </c>
      <c r="K75" s="82">
        <v>0</v>
      </c>
      <c r="L75" s="82">
        <v>0</v>
      </c>
      <c r="M75" s="82">
        <v>0</v>
      </c>
      <c r="N75" s="204">
        <f>'WYDATKI ukł.wyk.'!H422+'WYDATKI ukł.wyk.'!H423</f>
        <v>157783</v>
      </c>
    </row>
    <row r="76" spans="1:14" s="42" customFormat="1" ht="12.75">
      <c r="A76" s="149"/>
      <c r="B76" s="191" t="s">
        <v>239</v>
      </c>
      <c r="C76" s="69" t="s">
        <v>167</v>
      </c>
      <c r="D76" s="71">
        <f>'WYDATKI ukł.wyk.'!E425</f>
        <v>220593</v>
      </c>
      <c r="E76" s="71">
        <f>SUM('WYDATKI ukł.wyk.'!F426:F448)</f>
        <v>322930</v>
      </c>
      <c r="F76" s="71">
        <f>SUM('WYDATKI ukł.wyk.'!G426:G448)</f>
        <v>0</v>
      </c>
      <c r="G76" s="71">
        <f>SUM('WYDATKI ukł.wyk.'!H426:H448)</f>
        <v>322930</v>
      </c>
      <c r="H76" s="71">
        <f>SUM('WYDATKI ukł.wyk.'!H426:H448)</f>
        <v>322930</v>
      </c>
      <c r="I76" s="71">
        <f>'WYDATKI ukł.wyk.'!H427+'WYDATKI ukł.wyk.'!H428+'WYDATKI ukł.wyk.'!H431</f>
        <v>125596</v>
      </c>
      <c r="J76" s="71">
        <f>'WYDATKI ukł.wyk.'!H429+'WYDATKI ukł.wyk.'!H430</f>
        <v>23922</v>
      </c>
      <c r="K76" s="69">
        <v>0</v>
      </c>
      <c r="L76" s="69">
        <v>0</v>
      </c>
      <c r="M76" s="69">
        <v>0</v>
      </c>
      <c r="N76" s="202">
        <v>0</v>
      </c>
    </row>
    <row r="77" spans="1:14" s="42" customFormat="1" ht="12.75">
      <c r="A77" s="149"/>
      <c r="B77" s="191" t="s">
        <v>240</v>
      </c>
      <c r="C77" s="69" t="s">
        <v>169</v>
      </c>
      <c r="D77" s="71">
        <f>'WYDATKI ukł.wyk.'!E450</f>
        <v>1496800</v>
      </c>
      <c r="E77" s="71">
        <f>SUM('WYDATKI ukł.wyk.'!F451:F457)</f>
        <v>1407995</v>
      </c>
      <c r="F77" s="71">
        <f>SUM('WYDATKI ukł.wyk.'!G451:G457)</f>
        <v>143497</v>
      </c>
      <c r="G77" s="71">
        <f>SUM('WYDATKI ukł.wyk.'!H451:H457)</f>
        <v>1551492</v>
      </c>
      <c r="H77" s="71">
        <f>SUM('WYDATKI ukł.wyk.'!H451:H457)</f>
        <v>1551492</v>
      </c>
      <c r="I77" s="71">
        <f>'WYDATKI ukł.wyk.'!H455</f>
        <v>19764</v>
      </c>
      <c r="J77" s="71">
        <f>'WYDATKI ukł.wyk.'!H453+'WYDATKI ukł.wyk.'!H454</f>
        <v>3698</v>
      </c>
      <c r="K77" s="71">
        <f>'WYDATKI ukł.wyk.'!H451</f>
        <v>90970</v>
      </c>
      <c r="L77" s="69">
        <v>0</v>
      </c>
      <c r="M77" s="69">
        <v>0</v>
      </c>
      <c r="N77" s="198">
        <v>0</v>
      </c>
    </row>
    <row r="78" spans="1:14" s="42" customFormat="1" ht="12.75">
      <c r="A78" s="149"/>
      <c r="B78" s="191" t="s">
        <v>241</v>
      </c>
      <c r="C78" s="69" t="s">
        <v>170</v>
      </c>
      <c r="D78" s="71">
        <f>'WYDATKI ukł.wyk.'!E459</f>
        <v>548716</v>
      </c>
      <c r="E78" s="71">
        <f>SUM('WYDATKI ukł.wyk.'!F460:F480)</f>
        <v>655990</v>
      </c>
      <c r="F78" s="71">
        <f>SUM('WYDATKI ukł.wyk.'!G460:G480)</f>
        <v>-20954</v>
      </c>
      <c r="G78" s="71">
        <f>SUM('WYDATKI ukł.wyk.'!H460:H480)</f>
        <v>635036</v>
      </c>
      <c r="H78" s="71">
        <f>SUM('WYDATKI ukł.wyk.'!H460:H480)</f>
        <v>635036</v>
      </c>
      <c r="I78" s="71">
        <f>'WYDATKI ukł.wyk.'!H460+'WYDATKI ukł.wyk.'!H461+'WYDATKI ukł.wyk.'!H464</f>
        <v>382041</v>
      </c>
      <c r="J78" s="71">
        <f>'WYDATKI ukł.wyk.'!H462+'WYDATKI ukł.wyk.'!H463</f>
        <v>71849</v>
      </c>
      <c r="K78" s="69">
        <v>0</v>
      </c>
      <c r="L78" s="69">
        <v>0</v>
      </c>
      <c r="M78" s="69">
        <v>0</v>
      </c>
      <c r="N78" s="202">
        <v>0</v>
      </c>
    </row>
    <row r="79" spans="1:14" s="42" customFormat="1" ht="25.5">
      <c r="A79" s="149"/>
      <c r="B79" s="191" t="s">
        <v>242</v>
      </c>
      <c r="C79" s="186" t="s">
        <v>171</v>
      </c>
      <c r="D79" s="71">
        <f>'WYDATKI ukł.wyk.'!E482</f>
        <v>134216</v>
      </c>
      <c r="E79" s="71">
        <f>SUM('WYDATKI ukł.wyk.'!F483:F489)</f>
        <v>21112</v>
      </c>
      <c r="F79" s="71">
        <f>SUM('WYDATKI ukł.wyk.'!G483:G489)</f>
        <v>0</v>
      </c>
      <c r="G79" s="71">
        <f>SUM('WYDATKI ukł.wyk.'!H483:H489)</f>
        <v>21112</v>
      </c>
      <c r="H79" s="71">
        <f>SUM('WYDATKI ukł.wyk.'!H483:H489)</f>
        <v>21112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198">
        <v>0</v>
      </c>
    </row>
    <row r="80" spans="1:14" s="42" customFormat="1" ht="25.5">
      <c r="A80" s="149"/>
      <c r="B80" s="299" t="s">
        <v>733</v>
      </c>
      <c r="C80" s="822" t="s">
        <v>148</v>
      </c>
      <c r="D80" s="139"/>
      <c r="E80" s="139">
        <f>SUM('WYDATKI ukł.wyk.'!F492)</f>
        <v>3100</v>
      </c>
      <c r="F80" s="139">
        <f>SUM('WYDATKI ukł.wyk.'!G492)</f>
        <v>0</v>
      </c>
      <c r="G80" s="139">
        <f>SUM('WYDATKI ukł.wyk.'!H492)</f>
        <v>3100</v>
      </c>
      <c r="H80" s="139">
        <f>SUM('WYDATKI ukł.wyk.'!H492)</f>
        <v>3100</v>
      </c>
      <c r="I80" s="143">
        <v>0</v>
      </c>
      <c r="J80" s="143">
        <v>0</v>
      </c>
      <c r="K80" s="143">
        <v>0</v>
      </c>
      <c r="L80" s="143">
        <v>0</v>
      </c>
      <c r="M80" s="143">
        <v>0</v>
      </c>
      <c r="N80" s="144">
        <v>0</v>
      </c>
    </row>
    <row r="81" spans="1:14" s="42" customFormat="1" ht="12.75">
      <c r="A81" s="149"/>
      <c r="B81" s="299" t="s">
        <v>699</v>
      </c>
      <c r="C81" s="776" t="s">
        <v>58</v>
      </c>
      <c r="D81" s="139"/>
      <c r="E81" s="139">
        <f>SUM('WYDATKI ukł.wyk.'!F495:F498)</f>
        <v>384526</v>
      </c>
      <c r="F81" s="139">
        <f>SUM('WYDATKI ukł.wyk.'!G495:G498)</f>
        <v>0</v>
      </c>
      <c r="G81" s="139">
        <f>SUM('WYDATKI ukł.wyk.'!H495:H498)</f>
        <v>384526</v>
      </c>
      <c r="H81" s="139">
        <f>SUM('WYDATKI ukł.wyk.'!H495:H498)</f>
        <v>384526</v>
      </c>
      <c r="I81" s="143"/>
      <c r="J81" s="143"/>
      <c r="K81" s="143"/>
      <c r="L81" s="143"/>
      <c r="M81" s="143"/>
      <c r="N81" s="144"/>
    </row>
    <row r="82" spans="1:14" s="42" customFormat="1" ht="12.75">
      <c r="A82" s="149"/>
      <c r="B82" s="299"/>
      <c r="C82" s="143"/>
      <c r="D82" s="143"/>
      <c r="E82" s="143"/>
      <c r="F82" s="209"/>
      <c r="G82" s="209"/>
      <c r="H82" s="143"/>
      <c r="I82" s="143"/>
      <c r="J82" s="143"/>
      <c r="K82" s="143"/>
      <c r="L82" s="143"/>
      <c r="M82" s="143"/>
      <c r="N82" s="144"/>
    </row>
    <row r="83" spans="1:14" s="42" customFormat="1" ht="26.25" thickBot="1">
      <c r="A83" s="305">
        <v>853</v>
      </c>
      <c r="B83" s="307"/>
      <c r="C83" s="185" t="s">
        <v>174</v>
      </c>
      <c r="D83" s="77">
        <f>SUM(D85:D87)</f>
        <v>1077503</v>
      </c>
      <c r="E83" s="77">
        <f aca="true" t="shared" si="15" ref="E83:N83">SUM(E84:E87)</f>
        <v>1615092</v>
      </c>
      <c r="F83" s="77">
        <f t="shared" si="15"/>
        <v>-184203</v>
      </c>
      <c r="G83" s="77">
        <f t="shared" si="15"/>
        <v>1430889</v>
      </c>
      <c r="H83" s="77">
        <f t="shared" si="15"/>
        <v>1430889</v>
      </c>
      <c r="I83" s="77">
        <f t="shared" si="15"/>
        <v>122565</v>
      </c>
      <c r="J83" s="77">
        <f t="shared" si="15"/>
        <v>128112</v>
      </c>
      <c r="K83" s="77">
        <f t="shared" si="15"/>
        <v>730090</v>
      </c>
      <c r="L83" s="77">
        <f t="shared" si="15"/>
        <v>0</v>
      </c>
      <c r="M83" s="77">
        <f t="shared" si="15"/>
        <v>0</v>
      </c>
      <c r="N83" s="77">
        <f t="shared" si="15"/>
        <v>0</v>
      </c>
    </row>
    <row r="84" spans="1:14" s="42" customFormat="1" ht="25.5">
      <c r="A84" s="849"/>
      <c r="B84" s="850" t="s">
        <v>766</v>
      </c>
      <c r="C84" s="828" t="s">
        <v>767</v>
      </c>
      <c r="D84" s="828"/>
      <c r="E84" s="828">
        <f>SUM('WYDATKI ukł.wyk.'!F502)</f>
        <v>113987</v>
      </c>
      <c r="F84" s="828">
        <f>SUM('WYDATKI ukł.wyk.'!G502)</f>
        <v>0</v>
      </c>
      <c r="G84" s="828">
        <f>SUM('WYDATKI ukł.wyk.'!H502)</f>
        <v>113987</v>
      </c>
      <c r="H84" s="828">
        <f>SUM('WYDATKI ukł.wyk.'!H502)</f>
        <v>113987</v>
      </c>
      <c r="I84" s="828"/>
      <c r="J84" s="828"/>
      <c r="K84" s="828">
        <f>'WYDATKI ukł.wyk.'!H502</f>
        <v>113987</v>
      </c>
      <c r="L84" s="828"/>
      <c r="M84" s="828"/>
      <c r="N84" s="829"/>
    </row>
    <row r="85" spans="1:14" s="42" customFormat="1" ht="25.5">
      <c r="A85" s="149"/>
      <c r="B85" s="80">
        <v>85321</v>
      </c>
      <c r="C85" s="146" t="s">
        <v>175</v>
      </c>
      <c r="D85" s="76">
        <f>'WYDATKI ukł.wyk.'!E505</f>
        <v>274325</v>
      </c>
      <c r="E85" s="141">
        <f>SUM('WYDATKI ukł.wyk.'!F506:F524)</f>
        <v>342039</v>
      </c>
      <c r="F85" s="141">
        <f>SUM('WYDATKI ukł.wyk.'!G506:G524)</f>
        <v>0</v>
      </c>
      <c r="G85" s="141">
        <f>SUM('WYDATKI ukł.wyk.'!H506:H524)</f>
        <v>342039</v>
      </c>
      <c r="H85" s="76">
        <f>SUM('WYDATKI ukł.wyk.'!H506:H524)</f>
        <v>342039</v>
      </c>
      <c r="I85" s="76">
        <f>'WYDATKI ukł.wyk.'!H506+'WYDATKI ukł.wyk.'!H507+'WYDATKI ukł.wyk.'!H510</f>
        <v>122565</v>
      </c>
      <c r="J85" s="76">
        <f>'WYDATKI ukł.wyk.'!H508+'WYDATKI ukł.wyk.'!H509</f>
        <v>18544</v>
      </c>
      <c r="K85" s="82">
        <v>0</v>
      </c>
      <c r="L85" s="82">
        <v>0</v>
      </c>
      <c r="M85" s="82">
        <v>0</v>
      </c>
      <c r="N85" s="203">
        <v>0</v>
      </c>
    </row>
    <row r="86" spans="1:14" s="42" customFormat="1" ht="12.75">
      <c r="A86" s="149"/>
      <c r="B86" s="80">
        <v>85333</v>
      </c>
      <c r="C86" s="64" t="s">
        <v>176</v>
      </c>
      <c r="D86" s="76">
        <f>'WYDATKI ukł.wyk.'!E526</f>
        <v>87217</v>
      </c>
      <c r="E86" s="71">
        <f>SUM('WYDATKI ukł.wyk.'!F527:F528)</f>
        <v>656809</v>
      </c>
      <c r="F86" s="71">
        <f>SUM('WYDATKI ukł.wyk.'!G527:G528)</f>
        <v>-40706</v>
      </c>
      <c r="G86" s="71">
        <f>SUM('WYDATKI ukł.wyk.'!H527:H528)</f>
        <v>616103</v>
      </c>
      <c r="H86" s="76">
        <f>SUM('WYDATKI ukł.wyk.'!H527:H528)</f>
        <v>616103</v>
      </c>
      <c r="I86" s="82">
        <v>0</v>
      </c>
      <c r="J86" s="82">
        <v>0</v>
      </c>
      <c r="K86" s="76">
        <f>'WYDATKI ukł.wyk.'!H527</f>
        <v>616103</v>
      </c>
      <c r="L86" s="82">
        <v>0</v>
      </c>
      <c r="M86" s="82">
        <v>0</v>
      </c>
      <c r="N86" s="203">
        <v>0</v>
      </c>
    </row>
    <row r="87" spans="1:14" s="42" customFormat="1" ht="12.75">
      <c r="A87" s="149"/>
      <c r="B87" s="80">
        <v>85395</v>
      </c>
      <c r="C87" s="64" t="s">
        <v>58</v>
      </c>
      <c r="D87" s="76">
        <f>'WYDATKI ukł.wyk.'!E530</f>
        <v>715961</v>
      </c>
      <c r="E87" s="76">
        <f>SUM('WYDATKI ukł.wyk.'!F531:F537)</f>
        <v>502257</v>
      </c>
      <c r="F87" s="76">
        <f>SUM('WYDATKI ukł.wyk.'!G531:G537)</f>
        <v>-143497</v>
      </c>
      <c r="G87" s="76">
        <f>SUM('WYDATKI ukł.wyk.'!H531:H537)</f>
        <v>358760</v>
      </c>
      <c r="H87" s="76">
        <f>SUM('WYDATKI ukł.wyk.'!H531:H537)</f>
        <v>358760</v>
      </c>
      <c r="I87" s="76">
        <v>0</v>
      </c>
      <c r="J87" s="76">
        <f>'WYDATKI ukł.wyk.'!H534</f>
        <v>109568</v>
      </c>
      <c r="K87" s="82">
        <v>0</v>
      </c>
      <c r="L87" s="82">
        <v>0</v>
      </c>
      <c r="M87" s="82">
        <v>0</v>
      </c>
      <c r="N87" s="203">
        <v>0</v>
      </c>
    </row>
    <row r="88" spans="1:14" s="42" customFormat="1" ht="12.75">
      <c r="A88" s="149"/>
      <c r="B88" s="299"/>
      <c r="C88" s="143"/>
      <c r="D88" s="143"/>
      <c r="E88" s="143"/>
      <c r="F88" s="209"/>
      <c r="G88" s="209"/>
      <c r="H88" s="143"/>
      <c r="I88" s="143"/>
      <c r="J88" s="143"/>
      <c r="K88" s="143"/>
      <c r="L88" s="143"/>
      <c r="M88" s="143"/>
      <c r="N88" s="144"/>
    </row>
    <row r="89" spans="1:14" s="42" customFormat="1" ht="13.5" thickBot="1">
      <c r="A89" s="79">
        <v>854</v>
      </c>
      <c r="B89" s="73"/>
      <c r="C89" s="72" t="s">
        <v>178</v>
      </c>
      <c r="D89" s="77">
        <f>SUM(D90:D96)</f>
        <v>3643010</v>
      </c>
      <c r="E89" s="77">
        <f>SUM(E90:E96)</f>
        <v>4311177</v>
      </c>
      <c r="F89" s="77">
        <f>SUM(F90:F96)</f>
        <v>335164</v>
      </c>
      <c r="G89" s="77">
        <f>SUM(G90:G96)</f>
        <v>4646341</v>
      </c>
      <c r="H89" s="77">
        <f aca="true" t="shared" si="16" ref="H89:N89">SUM(H90:H96)</f>
        <v>4646341</v>
      </c>
      <c r="I89" s="77">
        <f t="shared" si="16"/>
        <v>1615707</v>
      </c>
      <c r="J89" s="77">
        <f t="shared" si="16"/>
        <v>316370</v>
      </c>
      <c r="K89" s="77">
        <f t="shared" si="16"/>
        <v>128400</v>
      </c>
      <c r="L89" s="77">
        <f t="shared" si="16"/>
        <v>0</v>
      </c>
      <c r="M89" s="77">
        <f t="shared" si="16"/>
        <v>0</v>
      </c>
      <c r="N89" s="200">
        <f t="shared" si="16"/>
        <v>0</v>
      </c>
    </row>
    <row r="90" spans="1:14" s="42" customFormat="1" ht="12.75">
      <c r="A90" s="300"/>
      <c r="B90" s="80">
        <v>85401</v>
      </c>
      <c r="C90" s="64" t="s">
        <v>179</v>
      </c>
      <c r="D90" s="67">
        <f>'WYDATKI ukł.wyk.'!E540</f>
        <v>43170</v>
      </c>
      <c r="E90" s="192">
        <f>SUM('WYDATKI ukł.wyk.'!F541:F549)</f>
        <v>56592</v>
      </c>
      <c r="F90" s="192">
        <f>SUM('WYDATKI ukł.wyk.'!G541:G549)</f>
        <v>978</v>
      </c>
      <c r="G90" s="192">
        <f>SUM('WYDATKI ukł.wyk.'!H541:H549)</f>
        <v>57570</v>
      </c>
      <c r="H90" s="67">
        <f>SUM('WYDATKI ukł.wyk.'!H541:H549)</f>
        <v>57570</v>
      </c>
      <c r="I90" s="67">
        <f>'WYDATKI ukł.wyk.'!H542+'WYDATKI ukł.wyk.'!H543</f>
        <v>41418</v>
      </c>
      <c r="J90" s="67">
        <f>'WYDATKI ukł.wyk.'!H544+'WYDATKI ukł.wyk.'!H545</f>
        <v>7644</v>
      </c>
      <c r="K90" s="66">
        <v>0</v>
      </c>
      <c r="L90" s="66">
        <v>0</v>
      </c>
      <c r="M90" s="66">
        <v>0</v>
      </c>
      <c r="N90" s="197">
        <v>0</v>
      </c>
    </row>
    <row r="91" spans="1:14" s="42" customFormat="1" ht="25.5">
      <c r="A91" s="149"/>
      <c r="B91" s="80">
        <v>85406</v>
      </c>
      <c r="C91" s="146" t="s">
        <v>180</v>
      </c>
      <c r="D91" s="76">
        <f>'WYDATKI ukł.wyk.'!E551</f>
        <v>603699</v>
      </c>
      <c r="E91" s="71">
        <f>SUM('WYDATKI ukł.wyk.'!F552:F573)</f>
        <v>632822</v>
      </c>
      <c r="F91" s="71">
        <f>SUM('WYDATKI ukł.wyk.'!G552:G573)</f>
        <v>13672</v>
      </c>
      <c r="G91" s="71">
        <f>SUM('WYDATKI ukł.wyk.'!H552:H573)</f>
        <v>646494</v>
      </c>
      <c r="H91" s="76">
        <f>SUM('WYDATKI ukł.wyk.'!H552:H573)</f>
        <v>646494</v>
      </c>
      <c r="I91" s="76">
        <f>'WYDATKI ukł.wyk.'!H554+'WYDATKI ukł.wyk.'!H555+'WYDATKI ukł.wyk.'!H558</f>
        <v>378810</v>
      </c>
      <c r="J91" s="76">
        <f>'WYDATKI ukł.wyk.'!H556+'WYDATKI ukł.wyk.'!H557</f>
        <v>69859</v>
      </c>
      <c r="K91" s="76">
        <f>'WYDATKI ukł.wyk.'!H552</f>
        <v>128400</v>
      </c>
      <c r="L91" s="82">
        <v>0</v>
      </c>
      <c r="M91" s="82">
        <v>0</v>
      </c>
      <c r="N91" s="204">
        <v>0</v>
      </c>
    </row>
    <row r="92" spans="1:14" s="42" customFormat="1" ht="12.75">
      <c r="A92" s="149"/>
      <c r="B92" s="80">
        <v>85410</v>
      </c>
      <c r="C92" s="88" t="s">
        <v>181</v>
      </c>
      <c r="D92" s="61">
        <f>'WYDATKI ukł.wyk.'!E575</f>
        <v>235468</v>
      </c>
      <c r="E92" s="76">
        <f>SUM('WYDATKI ukł.wyk.'!F576:F591)</f>
        <v>293877</v>
      </c>
      <c r="F92" s="76">
        <f>SUM('WYDATKI ukł.wyk.'!G576:G591)</f>
        <v>-25926</v>
      </c>
      <c r="G92" s="76">
        <f>SUM('WYDATKI ukł.wyk.'!H576:H591)</f>
        <v>267951</v>
      </c>
      <c r="H92" s="71">
        <f>SUM('WYDATKI ukł.wyk.'!H576:H591)</f>
        <v>267951</v>
      </c>
      <c r="I92" s="71">
        <f>'WYDATKI ukł.wyk.'!H577+'WYDATKI ukł.wyk.'!H578</f>
        <v>90090</v>
      </c>
      <c r="J92" s="71">
        <f>'WYDATKI ukł.wyk.'!H579+'WYDATKI ukł.wyk.'!H580</f>
        <v>17806</v>
      </c>
      <c r="K92" s="69">
        <v>0</v>
      </c>
      <c r="L92" s="69">
        <v>0</v>
      </c>
      <c r="M92" s="69">
        <v>0</v>
      </c>
      <c r="N92" s="202">
        <v>0</v>
      </c>
    </row>
    <row r="93" spans="1:14" s="42" customFormat="1" ht="12.75">
      <c r="A93" s="149"/>
      <c r="B93" s="80">
        <v>85415</v>
      </c>
      <c r="C93" s="64" t="s">
        <v>183</v>
      </c>
      <c r="D93" s="76">
        <f>'WYDATKI ukł.wyk.'!E593</f>
        <v>765283</v>
      </c>
      <c r="E93" s="76">
        <f>SUM('WYDATKI ukł.wyk.'!F594:F609)</f>
        <v>421200</v>
      </c>
      <c r="F93" s="76">
        <f>SUM('WYDATKI ukł.wyk.'!G594:G609)</f>
        <v>-162765</v>
      </c>
      <c r="G93" s="76">
        <f>SUM('WYDATKI ukł.wyk.'!H594:H609)</f>
        <v>258435</v>
      </c>
      <c r="H93" s="76">
        <f>SUM('WYDATKI ukł.wyk.'!H594:H609)</f>
        <v>258435</v>
      </c>
      <c r="I93" s="76">
        <f>'WYDATKI ukł.wyk.'!H601+'WYDATKI ukł.wyk.'!H602</f>
        <v>3400</v>
      </c>
      <c r="J93" s="76">
        <f>'WYDATKI ukł.wyk.'!H597+'WYDATKI ukł.wyk.'!H598+'WYDATKI ukł.wyk.'!H599+'WYDATKI ukł.wyk.'!H600</f>
        <v>200</v>
      </c>
      <c r="K93" s="82">
        <v>0</v>
      </c>
      <c r="L93" s="82">
        <v>0</v>
      </c>
      <c r="M93" s="82">
        <v>0</v>
      </c>
      <c r="N93" s="198">
        <v>0</v>
      </c>
    </row>
    <row r="94" spans="1:14" s="42" customFormat="1" ht="12.75">
      <c r="A94" s="149"/>
      <c r="B94" s="151">
        <v>85420</v>
      </c>
      <c r="C94" s="70" t="s">
        <v>186</v>
      </c>
      <c r="D94" s="71">
        <f>'WYDATKI ukł.wyk.'!E611</f>
        <v>1988771</v>
      </c>
      <c r="E94" s="71">
        <f>SUM('WYDATKI ukł.wyk.'!F612:F636)</f>
        <v>2895377</v>
      </c>
      <c r="F94" s="71">
        <f>SUM('WYDATKI ukł.wyk.'!G612:G636)</f>
        <v>508348</v>
      </c>
      <c r="G94" s="71">
        <f>SUM('WYDATKI ukł.wyk.'!H612:H636)</f>
        <v>3403725</v>
      </c>
      <c r="H94" s="71">
        <f>SUM('WYDATKI ukł.wyk.'!H612:H636)</f>
        <v>3403725</v>
      </c>
      <c r="I94" s="71">
        <f>'WYDATKI ukł.wyk.'!H614+'WYDATKI ukł.wyk.'!H615+'WYDATKI ukł.wyk.'!H618</f>
        <v>1101989</v>
      </c>
      <c r="J94" s="71">
        <f>'WYDATKI ukł.wyk.'!H616+'WYDATKI ukł.wyk.'!H617</f>
        <v>220861</v>
      </c>
      <c r="K94" s="69">
        <v>0</v>
      </c>
      <c r="L94" s="69">
        <v>0</v>
      </c>
      <c r="M94" s="71">
        <v>0</v>
      </c>
      <c r="N94" s="198">
        <v>0</v>
      </c>
    </row>
    <row r="95" spans="1:14" s="42" customFormat="1" ht="12.75">
      <c r="A95" s="149"/>
      <c r="B95" s="151">
        <v>85446</v>
      </c>
      <c r="C95" s="70" t="s">
        <v>713</v>
      </c>
      <c r="D95" s="71"/>
      <c r="E95" s="71">
        <f>SUM('WYDATKI ukł.wyk.'!F639:F641)</f>
        <v>4615</v>
      </c>
      <c r="F95" s="71">
        <f>SUM('WYDATKI ukł.wyk.'!G639:G641)</f>
        <v>0</v>
      </c>
      <c r="G95" s="71">
        <f>SUM('WYDATKI ukł.wyk.'!H639:H641)</f>
        <v>4615</v>
      </c>
      <c r="H95" s="71">
        <f>SUM('WYDATKI ukł.wyk.'!H639:H641)</f>
        <v>4615</v>
      </c>
      <c r="I95" s="71">
        <v>0</v>
      </c>
      <c r="J95" s="71">
        <v>0</v>
      </c>
      <c r="K95" s="69">
        <v>0</v>
      </c>
      <c r="L95" s="69">
        <v>0</v>
      </c>
      <c r="M95" s="71">
        <v>0</v>
      </c>
      <c r="N95" s="198">
        <v>0</v>
      </c>
    </row>
    <row r="96" spans="1:14" s="42" customFormat="1" ht="12.75">
      <c r="A96" s="149"/>
      <c r="B96" s="151">
        <v>85495</v>
      </c>
      <c r="C96" s="70" t="s">
        <v>58</v>
      </c>
      <c r="D96" s="71">
        <f>'WYDATKI ukł.wyk.'!E643</f>
        <v>6619</v>
      </c>
      <c r="E96" s="71">
        <f>SUM('WYDATKI ukł.wyk.'!F644)</f>
        <v>6694</v>
      </c>
      <c r="F96" s="71">
        <f>SUM('WYDATKI ukł.wyk.'!G644)</f>
        <v>857</v>
      </c>
      <c r="G96" s="71">
        <f>SUM('WYDATKI ukł.wyk.'!H644)</f>
        <v>7551</v>
      </c>
      <c r="H96" s="71">
        <f>'WYDATKI ukł.wyk.'!H644</f>
        <v>7551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198">
        <v>0</v>
      </c>
    </row>
    <row r="97" spans="1:14" s="42" customFormat="1" ht="12.75">
      <c r="A97" s="149"/>
      <c r="B97" s="299"/>
      <c r="C97" s="143"/>
      <c r="D97" s="143"/>
      <c r="E97" s="143"/>
      <c r="F97" s="209"/>
      <c r="G97" s="209"/>
      <c r="H97" s="143"/>
      <c r="I97" s="143"/>
      <c r="J97" s="143"/>
      <c r="K97" s="143"/>
      <c r="L97" s="143"/>
      <c r="M97" s="143"/>
      <c r="N97" s="144"/>
    </row>
    <row r="98" spans="1:14" s="42" customFormat="1" ht="13.5" thickBot="1">
      <c r="A98" s="79">
        <v>921</v>
      </c>
      <c r="B98" s="73"/>
      <c r="C98" s="72" t="s">
        <v>187</v>
      </c>
      <c r="D98" s="77">
        <f>SUM(D99:D100)</f>
        <v>55000</v>
      </c>
      <c r="E98" s="77">
        <f>SUM(E99:E100)</f>
        <v>55000</v>
      </c>
      <c r="F98" s="77">
        <f>SUM(F99:F100)</f>
        <v>6744</v>
      </c>
      <c r="G98" s="77">
        <f>SUM(G99:G100)</f>
        <v>61744</v>
      </c>
      <c r="H98" s="77">
        <f aca="true" t="shared" si="17" ref="H98:N98">SUM(H99:H100)</f>
        <v>61744</v>
      </c>
      <c r="I98" s="77">
        <f t="shared" si="17"/>
        <v>3123</v>
      </c>
      <c r="J98" s="77">
        <f t="shared" si="17"/>
        <v>0</v>
      </c>
      <c r="K98" s="77">
        <f t="shared" si="17"/>
        <v>38000</v>
      </c>
      <c r="L98" s="77">
        <f t="shared" si="17"/>
        <v>0</v>
      </c>
      <c r="M98" s="77">
        <f t="shared" si="17"/>
        <v>0</v>
      </c>
      <c r="N98" s="200">
        <f t="shared" si="17"/>
        <v>0</v>
      </c>
    </row>
    <row r="99" spans="1:14" s="42" customFormat="1" ht="12.75">
      <c r="A99" s="300"/>
      <c r="B99" s="120">
        <v>92105</v>
      </c>
      <c r="C99" s="75" t="s">
        <v>188</v>
      </c>
      <c r="D99" s="67">
        <f>'WYDATKI ukł.wyk.'!E647</f>
        <v>20000</v>
      </c>
      <c r="E99" s="192">
        <f>SUM('WYDATKI ukł.wyk.'!F648:F653)</f>
        <v>20000</v>
      </c>
      <c r="F99" s="192">
        <f>SUM('WYDATKI ukł.wyk.'!G648:G653)</f>
        <v>6744</v>
      </c>
      <c r="G99" s="192">
        <f>SUM('WYDATKI ukł.wyk.'!H648:H653)</f>
        <v>26744</v>
      </c>
      <c r="H99" s="67">
        <f>SUM('WYDATKI ukł.wyk.'!H648:H653)</f>
        <v>26744</v>
      </c>
      <c r="I99" s="67">
        <f>'WYDATKI ukł.wyk.'!H651</f>
        <v>3123</v>
      </c>
      <c r="J99" s="66">
        <v>0</v>
      </c>
      <c r="K99" s="67">
        <f>'WYDATKI ukł.wyk.'!H648</f>
        <v>3000</v>
      </c>
      <c r="L99" s="66">
        <v>0</v>
      </c>
      <c r="M99" s="66">
        <v>0</v>
      </c>
      <c r="N99" s="197">
        <v>0</v>
      </c>
    </row>
    <row r="100" spans="1:14" s="42" customFormat="1" ht="12.75">
      <c r="A100" s="149"/>
      <c r="B100" s="151">
        <v>92116</v>
      </c>
      <c r="C100" s="194" t="s">
        <v>189</v>
      </c>
      <c r="D100" s="71">
        <f>'WYDATKI ukł.wyk.'!E655</f>
        <v>35000</v>
      </c>
      <c r="E100" s="71">
        <f>SUM('WYDATKI ukł.wyk.'!F656)</f>
        <v>35000</v>
      </c>
      <c r="F100" s="71">
        <f>SUM('WYDATKI ukł.wyk.'!G656)</f>
        <v>0</v>
      </c>
      <c r="G100" s="71">
        <f>SUM('WYDATKI ukł.wyk.'!H656)</f>
        <v>35000</v>
      </c>
      <c r="H100" s="71">
        <f>'WYDATKI ukł.wyk.'!H656</f>
        <v>35000</v>
      </c>
      <c r="I100" s="69">
        <v>0</v>
      </c>
      <c r="J100" s="69">
        <v>0</v>
      </c>
      <c r="K100" s="71">
        <f>'WYDATKI ukł.wyk.'!H656</f>
        <v>35000</v>
      </c>
      <c r="L100" s="69">
        <v>0</v>
      </c>
      <c r="M100" s="69">
        <v>0</v>
      </c>
      <c r="N100" s="198"/>
    </row>
    <row r="101" spans="1:14" s="42" customFormat="1" ht="12.75">
      <c r="A101" s="149"/>
      <c r="B101" s="299"/>
      <c r="C101" s="143"/>
      <c r="D101" s="143"/>
      <c r="E101" s="143"/>
      <c r="F101" s="209"/>
      <c r="G101" s="209"/>
      <c r="H101" s="143"/>
      <c r="I101" s="143"/>
      <c r="J101" s="143"/>
      <c r="K101" s="143"/>
      <c r="L101" s="143"/>
      <c r="M101" s="143"/>
      <c r="N101" s="144"/>
    </row>
    <row r="102" spans="1:14" s="42" customFormat="1" ht="13.5" thickBot="1">
      <c r="A102" s="79">
        <v>926</v>
      </c>
      <c r="B102" s="302"/>
      <c r="C102" s="72" t="s">
        <v>190</v>
      </c>
      <c r="D102" s="303">
        <f>D103</f>
        <v>94700</v>
      </c>
      <c r="E102" s="303">
        <f>E103</f>
        <v>100000</v>
      </c>
      <c r="F102" s="303">
        <f>F103</f>
        <v>-6744</v>
      </c>
      <c r="G102" s="303">
        <f>G103</f>
        <v>93256</v>
      </c>
      <c r="H102" s="303">
        <f aca="true" t="shared" si="18" ref="H102:N102">H103</f>
        <v>93256</v>
      </c>
      <c r="I102" s="303">
        <f t="shared" si="18"/>
        <v>0</v>
      </c>
      <c r="J102" s="303">
        <f t="shared" si="18"/>
        <v>0</v>
      </c>
      <c r="K102" s="303">
        <f t="shared" si="18"/>
        <v>70000</v>
      </c>
      <c r="L102" s="303">
        <f t="shared" si="18"/>
        <v>0</v>
      </c>
      <c r="M102" s="303">
        <f t="shared" si="18"/>
        <v>0</v>
      </c>
      <c r="N102" s="304">
        <f t="shared" si="18"/>
        <v>0</v>
      </c>
    </row>
    <row r="103" spans="1:14" s="42" customFormat="1" ht="25.5">
      <c r="A103" s="148"/>
      <c r="B103" s="120">
        <v>92605</v>
      </c>
      <c r="C103" s="150" t="s">
        <v>191</v>
      </c>
      <c r="D103" s="67">
        <f>'WYDATKI ukł.wyk.'!E659</f>
        <v>94700</v>
      </c>
      <c r="E103" s="67">
        <f>SUM('WYDATKI ukł.wyk.'!F660:F664)</f>
        <v>100000</v>
      </c>
      <c r="F103" s="67">
        <f>SUM('WYDATKI ukł.wyk.'!G660:G664)</f>
        <v>-6744</v>
      </c>
      <c r="G103" s="67">
        <f>SUM('WYDATKI ukł.wyk.'!H660:H664)</f>
        <v>93256</v>
      </c>
      <c r="H103" s="67">
        <f>SUM('WYDATKI ukł.wyk.'!H660:H664)</f>
        <v>93256</v>
      </c>
      <c r="I103" s="66">
        <v>0</v>
      </c>
      <c r="J103" s="66">
        <v>0</v>
      </c>
      <c r="K103" s="67">
        <f>'WYDATKI ukł.wyk.'!F660</f>
        <v>70000</v>
      </c>
      <c r="L103" s="66">
        <v>0</v>
      </c>
      <c r="M103" s="66">
        <v>0</v>
      </c>
      <c r="N103" s="197"/>
    </row>
    <row r="104" spans="1:14" s="45" customFormat="1" ht="24.75" customHeight="1" thickBot="1">
      <c r="A104" s="923" t="s">
        <v>685</v>
      </c>
      <c r="B104" s="924"/>
      <c r="C104" s="925"/>
      <c r="D104" s="205" t="e">
        <f>D102+D98+D89+D83+D73+D67+D64+D55+D52+D49+D44+#REF!+D34+D29+D26+D23+D20+D16+D12</f>
        <v>#REF!</v>
      </c>
      <c r="E104" s="800">
        <f aca="true" t="shared" si="19" ref="E104:N104">E102+E98+E89+E83+E73+E67+E64+E55+E52+E49+E44+E34+E29+E26+E23+E20+E16+E12+E41</f>
        <v>34798119</v>
      </c>
      <c r="F104" s="800">
        <f t="shared" si="19"/>
        <v>-802437</v>
      </c>
      <c r="G104" s="800">
        <f t="shared" si="19"/>
        <v>33995682</v>
      </c>
      <c r="H104" s="800">
        <f t="shared" si="19"/>
        <v>32878649</v>
      </c>
      <c r="I104" s="800">
        <f t="shared" si="19"/>
        <v>13319297</v>
      </c>
      <c r="J104" s="800">
        <f t="shared" si="19"/>
        <v>2657842</v>
      </c>
      <c r="K104" s="800">
        <f t="shared" si="19"/>
        <v>1529362</v>
      </c>
      <c r="L104" s="800">
        <f t="shared" si="19"/>
        <v>655197</v>
      </c>
      <c r="M104" s="800">
        <f t="shared" si="19"/>
        <v>0</v>
      </c>
      <c r="N104" s="801">
        <f t="shared" si="19"/>
        <v>1117033</v>
      </c>
    </row>
    <row r="105" spans="1:14" ht="12.75">
      <c r="A105" s="884" t="s">
        <v>724</v>
      </c>
      <c r="B105" s="909"/>
      <c r="C105" s="909"/>
      <c r="D105" s="909"/>
      <c r="E105" s="909"/>
      <c r="F105" s="909"/>
      <c r="G105" s="910"/>
      <c r="H105" s="804">
        <v>33669324</v>
      </c>
      <c r="I105" s="804">
        <v>13374008</v>
      </c>
      <c r="J105" s="804">
        <v>2716500</v>
      </c>
      <c r="K105" s="804">
        <v>1580448</v>
      </c>
      <c r="L105" s="804">
        <v>649097</v>
      </c>
      <c r="M105" s="804">
        <v>0</v>
      </c>
      <c r="N105" s="805">
        <v>1128795</v>
      </c>
    </row>
    <row r="106" spans="1:14" ht="12.75">
      <c r="A106" s="911" t="s">
        <v>693</v>
      </c>
      <c r="B106" s="912"/>
      <c r="C106" s="912"/>
      <c r="D106" s="912"/>
      <c r="E106" s="912"/>
      <c r="F106" s="912"/>
      <c r="G106" s="913"/>
      <c r="H106" s="159">
        <f>H104-H105</f>
        <v>-790675</v>
      </c>
      <c r="I106" s="159">
        <f aca="true" t="shared" si="20" ref="I106:N106">I104-I105</f>
        <v>-54711</v>
      </c>
      <c r="J106" s="159">
        <f t="shared" si="20"/>
        <v>-58658</v>
      </c>
      <c r="K106" s="159">
        <f t="shared" si="20"/>
        <v>-51086</v>
      </c>
      <c r="L106" s="159">
        <f t="shared" si="20"/>
        <v>6100</v>
      </c>
      <c r="M106" s="159">
        <f t="shared" si="20"/>
        <v>0</v>
      </c>
      <c r="N106" s="799">
        <f t="shared" si="20"/>
        <v>-11762</v>
      </c>
    </row>
    <row r="107" spans="1:14" ht="13.5" thickBot="1">
      <c r="A107" s="914" t="s">
        <v>723</v>
      </c>
      <c r="B107" s="915"/>
      <c r="C107" s="915"/>
      <c r="D107" s="915"/>
      <c r="E107" s="915"/>
      <c r="F107" s="915"/>
      <c r="G107" s="916"/>
      <c r="H107" s="802">
        <f>H105+H106</f>
        <v>32878649</v>
      </c>
      <c r="I107" s="802">
        <f aca="true" t="shared" si="21" ref="I107:N107">I105+I106</f>
        <v>13319297</v>
      </c>
      <c r="J107" s="802">
        <f t="shared" si="21"/>
        <v>2657842</v>
      </c>
      <c r="K107" s="802">
        <f t="shared" si="21"/>
        <v>1529362</v>
      </c>
      <c r="L107" s="802">
        <f t="shared" si="21"/>
        <v>655197</v>
      </c>
      <c r="M107" s="802">
        <f t="shared" si="21"/>
        <v>0</v>
      </c>
      <c r="N107" s="803">
        <f t="shared" si="21"/>
        <v>1117033</v>
      </c>
    </row>
  </sheetData>
  <mergeCells count="16">
    <mergeCell ref="A5:N5"/>
    <mergeCell ref="E8:E10"/>
    <mergeCell ref="A8:A10"/>
    <mergeCell ref="C8:C10"/>
    <mergeCell ref="B8:B10"/>
    <mergeCell ref="H8:N8"/>
    <mergeCell ref="I9:M9"/>
    <mergeCell ref="H9:H10"/>
    <mergeCell ref="G8:G10"/>
    <mergeCell ref="N9:N10"/>
    <mergeCell ref="A105:G105"/>
    <mergeCell ref="A106:G106"/>
    <mergeCell ref="A107:G107"/>
    <mergeCell ref="D8:D10"/>
    <mergeCell ref="F8:F10"/>
    <mergeCell ref="A104:C104"/>
  </mergeCells>
  <printOptions horizontalCentered="1"/>
  <pageMargins left="0.2" right="0.22" top="1.02" bottom="0.7874015748031497" header="0.5118110236220472" footer="0.5118110236220472"/>
  <pageSetup fitToHeight="0" fitToWidth="3" horizontalDpi="600" verticalDpi="600" orientation="landscape" paperSize="9" scale="79" r:id="rId1"/>
  <rowBreaks count="2" manualBreakCount="2">
    <brk id="32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1"/>
  <sheetViews>
    <sheetView view="pageBreakPreview" zoomScaleSheetLayoutView="100" workbookViewId="0" topLeftCell="A216">
      <selection activeCell="G199" sqref="G199"/>
    </sheetView>
  </sheetViews>
  <sheetFormatPr defaultColWidth="9.00390625" defaultRowHeight="12.75"/>
  <cols>
    <col min="1" max="1" width="4.125" style="89" customWidth="1"/>
    <col min="2" max="2" width="6.00390625" style="89" customWidth="1"/>
    <col min="3" max="3" width="5.00390625" style="89" customWidth="1"/>
    <col min="4" max="4" width="49.125" style="89" customWidth="1"/>
    <col min="5" max="5" width="13.25390625" style="89" hidden="1" customWidth="1"/>
    <col min="6" max="6" width="10.25390625" style="89" customWidth="1"/>
    <col min="7" max="7" width="10.00390625" style="115" customWidth="1"/>
    <col min="8" max="8" width="10.125" style="91" customWidth="1"/>
    <col min="9" max="9" width="11.625" style="92" customWidth="1"/>
    <col min="10" max="10" width="12.00390625" style="92" customWidth="1"/>
    <col min="11" max="11" width="6.00390625" style="89" customWidth="1"/>
    <col min="12" max="16384" width="9.125" style="89" customWidth="1"/>
  </cols>
  <sheetData>
    <row r="1" spans="6:7" ht="12.75">
      <c r="F1" s="90" t="s">
        <v>360</v>
      </c>
      <c r="G1" s="247"/>
    </row>
    <row r="2" spans="6:7" ht="12.75">
      <c r="F2" s="90" t="s">
        <v>68</v>
      </c>
      <c r="G2" s="247"/>
    </row>
    <row r="3" spans="2:7" ht="12.75">
      <c r="B3" s="93"/>
      <c r="C3" s="93"/>
      <c r="D3" s="93"/>
      <c r="F3" s="90" t="s">
        <v>69</v>
      </c>
      <c r="G3" s="247"/>
    </row>
    <row r="4" spans="6:7" ht="12.75">
      <c r="F4" s="90" t="s">
        <v>690</v>
      </c>
      <c r="G4" s="247"/>
    </row>
    <row r="7" spans="1:8" ht="36" customHeight="1">
      <c r="A7" s="942" t="s">
        <v>37</v>
      </c>
      <c r="B7" s="942"/>
      <c r="C7" s="942"/>
      <c r="D7" s="942"/>
      <c r="E7" s="942"/>
      <c r="F7" s="942"/>
      <c r="G7" s="942"/>
      <c r="H7" s="942"/>
    </row>
    <row r="8" spans="3:4" ht="10.5" customHeight="1">
      <c r="C8" s="93"/>
      <c r="D8" s="94"/>
    </row>
    <row r="9" spans="1:8" ht="12" customHeight="1" thickBot="1">
      <c r="A9" s="941" t="s">
        <v>624</v>
      </c>
      <c r="B9" s="941"/>
      <c r="C9" s="941"/>
      <c r="D9" s="941"/>
      <c r="E9" s="941"/>
      <c r="F9" s="941"/>
      <c r="G9" s="941"/>
      <c r="H9" s="941"/>
    </row>
    <row r="10" spans="1:8" ht="12.75" customHeight="1">
      <c r="A10" s="946" t="s">
        <v>70</v>
      </c>
      <c r="B10" s="949" t="s">
        <v>623</v>
      </c>
      <c r="C10" s="949" t="s">
        <v>588</v>
      </c>
      <c r="D10" s="949" t="s">
        <v>71</v>
      </c>
      <c r="E10" s="943" t="s">
        <v>72</v>
      </c>
      <c r="F10" s="943" t="s">
        <v>640</v>
      </c>
      <c r="G10" s="933" t="s">
        <v>693</v>
      </c>
      <c r="H10" s="938" t="s">
        <v>694</v>
      </c>
    </row>
    <row r="11" spans="1:8" ht="12.75">
      <c r="A11" s="947"/>
      <c r="B11" s="950"/>
      <c r="C11" s="950"/>
      <c r="D11" s="950"/>
      <c r="E11" s="944"/>
      <c r="F11" s="944"/>
      <c r="G11" s="934"/>
      <c r="H11" s="939"/>
    </row>
    <row r="12" spans="1:8" ht="12" customHeight="1" thickBot="1">
      <c r="A12" s="948"/>
      <c r="B12" s="951"/>
      <c r="C12" s="951"/>
      <c r="D12" s="951"/>
      <c r="E12" s="945"/>
      <c r="F12" s="945"/>
      <c r="G12" s="935"/>
      <c r="H12" s="940"/>
    </row>
    <row r="13" spans="1:10" s="99" customFormat="1" ht="9.75" customHeight="1" thickBot="1">
      <c r="A13" s="95">
        <v>1</v>
      </c>
      <c r="B13" s="96">
        <v>2</v>
      </c>
      <c r="C13" s="96">
        <v>3</v>
      </c>
      <c r="D13" s="96">
        <v>4</v>
      </c>
      <c r="E13" s="95">
        <v>5</v>
      </c>
      <c r="F13" s="96">
        <v>5</v>
      </c>
      <c r="G13" s="96">
        <v>6</v>
      </c>
      <c r="H13" s="96">
        <v>7</v>
      </c>
      <c r="I13" s="98"/>
      <c r="J13" s="98"/>
    </row>
    <row r="14" spans="1:8" ht="12.75">
      <c r="A14" s="100"/>
      <c r="B14" s="754"/>
      <c r="C14" s="754"/>
      <c r="D14" s="754"/>
      <c r="E14" s="755"/>
      <c r="F14" s="755"/>
      <c r="G14" s="768"/>
      <c r="H14" s="749"/>
    </row>
    <row r="15" spans="1:8" ht="13.5" thickBot="1">
      <c r="A15" s="58" t="s">
        <v>53</v>
      </c>
      <c r="B15" s="128"/>
      <c r="C15" s="128"/>
      <c r="D15" s="756" t="s">
        <v>54</v>
      </c>
      <c r="E15" s="103">
        <f>E16+E19</f>
        <v>60646</v>
      </c>
      <c r="F15" s="103">
        <f>F16+F19</f>
        <v>74387</v>
      </c>
      <c r="G15" s="103">
        <f>G16+G19</f>
        <v>0</v>
      </c>
      <c r="H15" s="145">
        <f>H16+H19</f>
        <v>74387</v>
      </c>
    </row>
    <row r="16" spans="1:8" ht="12.75">
      <c r="A16" s="104"/>
      <c r="B16" s="60" t="s">
        <v>56</v>
      </c>
      <c r="C16" s="80"/>
      <c r="D16" s="757" t="s">
        <v>55</v>
      </c>
      <c r="E16" s="758">
        <f>E17</f>
        <v>44000</v>
      </c>
      <c r="F16" s="758">
        <f>F17</f>
        <v>25000</v>
      </c>
      <c r="G16" s="758">
        <f>G17</f>
        <v>0</v>
      </c>
      <c r="H16" s="748">
        <f>H17</f>
        <v>25000</v>
      </c>
    </row>
    <row r="17" spans="1:8" ht="12.75">
      <c r="A17" s="104"/>
      <c r="B17" s="109"/>
      <c r="C17" s="140" t="s">
        <v>73</v>
      </c>
      <c r="D17" s="125" t="s">
        <v>74</v>
      </c>
      <c r="E17" s="759">
        <v>44000</v>
      </c>
      <c r="F17" s="759">
        <v>25000</v>
      </c>
      <c r="G17" s="759"/>
      <c r="H17" s="749">
        <f>F17+G17</f>
        <v>25000</v>
      </c>
    </row>
    <row r="18" spans="1:8" ht="12.75">
      <c r="A18" s="104"/>
      <c r="B18" s="109"/>
      <c r="C18" s="140"/>
      <c r="D18" s="125"/>
      <c r="E18" s="759"/>
      <c r="F18" s="759"/>
      <c r="G18" s="759"/>
      <c r="H18" s="749"/>
    </row>
    <row r="19" spans="1:11" ht="12.75">
      <c r="A19" s="104"/>
      <c r="B19" s="60" t="s">
        <v>57</v>
      </c>
      <c r="C19" s="60"/>
      <c r="D19" s="130" t="s">
        <v>58</v>
      </c>
      <c r="E19" s="758">
        <f>E21</f>
        <v>16646</v>
      </c>
      <c r="F19" s="758">
        <f>SUM(F20:F21)</f>
        <v>49387</v>
      </c>
      <c r="G19" s="758">
        <f>G21+G20</f>
        <v>0</v>
      </c>
      <c r="H19" s="748">
        <f>H21+H20</f>
        <v>49387</v>
      </c>
      <c r="J19" s="108"/>
      <c r="K19" s="101"/>
    </row>
    <row r="20" spans="1:11" ht="12.75">
      <c r="A20" s="104"/>
      <c r="B20" s="140"/>
      <c r="C20" s="140" t="s">
        <v>746</v>
      </c>
      <c r="D20" s="125" t="s">
        <v>99</v>
      </c>
      <c r="E20" s="759"/>
      <c r="F20" s="759">
        <v>8905</v>
      </c>
      <c r="G20" s="759"/>
      <c r="H20" s="749">
        <f>F20+G20</f>
        <v>8905</v>
      </c>
      <c r="J20" s="108"/>
      <c r="K20" s="101"/>
    </row>
    <row r="21" spans="1:11" ht="12.75">
      <c r="A21" s="104"/>
      <c r="B21" s="109"/>
      <c r="C21" s="140" t="s">
        <v>75</v>
      </c>
      <c r="D21" s="125" t="s">
        <v>76</v>
      </c>
      <c r="E21" s="759">
        <v>16646</v>
      </c>
      <c r="F21" s="759">
        <v>40482</v>
      </c>
      <c r="G21" s="759"/>
      <c r="H21" s="749">
        <f>F21+G21</f>
        <v>40482</v>
      </c>
      <c r="J21" s="108"/>
      <c r="K21" s="101"/>
    </row>
    <row r="22" spans="1:11" ht="12.75">
      <c r="A22" s="104"/>
      <c r="B22" s="109"/>
      <c r="C22" s="140"/>
      <c r="D22" s="125"/>
      <c r="E22" s="759"/>
      <c r="F22" s="759"/>
      <c r="G22" s="759"/>
      <c r="H22" s="749"/>
      <c r="J22" s="108"/>
      <c r="K22" s="101"/>
    </row>
    <row r="23" spans="1:11" ht="13.5" thickBot="1">
      <c r="A23" s="58" t="s">
        <v>59</v>
      </c>
      <c r="B23" s="128"/>
      <c r="C23" s="128"/>
      <c r="D23" s="86" t="s">
        <v>60</v>
      </c>
      <c r="E23" s="103">
        <f>E27+E24</f>
        <v>193335</v>
      </c>
      <c r="F23" s="103">
        <f>F27+F24</f>
        <v>193335</v>
      </c>
      <c r="G23" s="103">
        <f>G27+G24</f>
        <v>5891</v>
      </c>
      <c r="H23" s="145">
        <f>H27+H24</f>
        <v>199226</v>
      </c>
      <c r="J23" s="111"/>
      <c r="K23" s="101"/>
    </row>
    <row r="24" spans="1:11" ht="12.75">
      <c r="A24" s="760"/>
      <c r="B24" s="60" t="s">
        <v>61</v>
      </c>
      <c r="C24" s="80"/>
      <c r="D24" s="130" t="s">
        <v>263</v>
      </c>
      <c r="E24" s="758">
        <f>SUM(E25)</f>
        <v>188635</v>
      </c>
      <c r="F24" s="758">
        <f>SUM(F25)</f>
        <v>188635</v>
      </c>
      <c r="G24" s="758">
        <f>SUM(G25)</f>
        <v>5891</v>
      </c>
      <c r="H24" s="748">
        <f>SUM(H25)</f>
        <v>194526</v>
      </c>
      <c r="J24" s="108"/>
      <c r="K24" s="101"/>
    </row>
    <row r="25" spans="1:8" ht="12.75">
      <c r="A25" s="760"/>
      <c r="B25" s="140"/>
      <c r="C25" s="298">
        <v>3030</v>
      </c>
      <c r="D25" s="142" t="s">
        <v>77</v>
      </c>
      <c r="E25" s="759">
        <v>188635</v>
      </c>
      <c r="F25" s="759">
        <v>188635</v>
      </c>
      <c r="G25" s="759">
        <v>5891</v>
      </c>
      <c r="H25" s="749">
        <f>F25+G25</f>
        <v>194526</v>
      </c>
    </row>
    <row r="26" spans="1:8" ht="12.75">
      <c r="A26" s="760"/>
      <c r="B26" s="109"/>
      <c r="C26" s="109"/>
      <c r="D26" s="125"/>
      <c r="E26" s="759"/>
      <c r="F26" s="759"/>
      <c r="G26" s="759"/>
      <c r="H26" s="749"/>
    </row>
    <row r="27" spans="1:8" ht="12.75">
      <c r="A27" s="113"/>
      <c r="B27" s="60" t="s">
        <v>63</v>
      </c>
      <c r="C27" s="761"/>
      <c r="D27" s="130" t="s">
        <v>62</v>
      </c>
      <c r="E27" s="758">
        <f>E28</f>
        <v>4700</v>
      </c>
      <c r="F27" s="758">
        <f>F28</f>
        <v>4700</v>
      </c>
      <c r="G27" s="758">
        <f>G28</f>
        <v>0</v>
      </c>
      <c r="H27" s="748">
        <f>H28</f>
        <v>4700</v>
      </c>
    </row>
    <row r="28" spans="1:8" ht="12.75">
      <c r="A28" s="113"/>
      <c r="B28" s="131"/>
      <c r="C28" s="140" t="s">
        <v>73</v>
      </c>
      <c r="D28" s="125" t="s">
        <v>74</v>
      </c>
      <c r="E28" s="759">
        <v>4700</v>
      </c>
      <c r="F28" s="759">
        <v>4700</v>
      </c>
      <c r="G28" s="759"/>
      <c r="H28" s="749">
        <f>F28+G28</f>
        <v>4700</v>
      </c>
    </row>
    <row r="29" spans="1:8" ht="12.75">
      <c r="A29" s="113"/>
      <c r="B29" s="131"/>
      <c r="C29" s="140"/>
      <c r="D29" s="125"/>
      <c r="E29" s="759"/>
      <c r="F29" s="759"/>
      <c r="G29" s="759"/>
      <c r="H29" s="749"/>
    </row>
    <row r="30" spans="1:8" ht="13.5" thickBot="1">
      <c r="A30" s="79">
        <v>600</v>
      </c>
      <c r="B30" s="128"/>
      <c r="C30" s="128"/>
      <c r="D30" s="86" t="s">
        <v>64</v>
      </c>
      <c r="E30" s="103" t="e">
        <f>E31+#REF!</f>
        <v>#REF!</v>
      </c>
      <c r="F30" s="103">
        <f>F31</f>
        <v>3015729</v>
      </c>
      <c r="G30" s="103">
        <f>G31</f>
        <v>50489</v>
      </c>
      <c r="H30" s="145">
        <f>H31</f>
        <v>3066218</v>
      </c>
    </row>
    <row r="31" spans="1:8" ht="12.75">
      <c r="A31" s="113"/>
      <c r="B31" s="80">
        <v>60014</v>
      </c>
      <c r="C31" s="80"/>
      <c r="D31" s="130" t="s">
        <v>66</v>
      </c>
      <c r="E31" s="758">
        <f>SUM(E32:E57)</f>
        <v>3585970</v>
      </c>
      <c r="F31" s="758">
        <f>SUM(F32:F57)</f>
        <v>3015729</v>
      </c>
      <c r="G31" s="758">
        <f>SUM(G32:G57)</f>
        <v>50489</v>
      </c>
      <c r="H31" s="748">
        <f>SUM(H32:H57)</f>
        <v>3066218</v>
      </c>
    </row>
    <row r="32" spans="1:8" ht="12.75">
      <c r="A32" s="113"/>
      <c r="B32" s="109"/>
      <c r="C32" s="109">
        <v>2310</v>
      </c>
      <c r="D32" s="125" t="s">
        <v>78</v>
      </c>
      <c r="E32" s="759">
        <v>0</v>
      </c>
      <c r="F32" s="759">
        <v>8423</v>
      </c>
      <c r="G32" s="759">
        <v>-8423</v>
      </c>
      <c r="H32" s="749">
        <f>F32+G32</f>
        <v>0</v>
      </c>
    </row>
    <row r="33" spans="1:10" ht="12.75">
      <c r="A33" s="113"/>
      <c r="B33" s="109"/>
      <c r="C33" s="109">
        <v>3020</v>
      </c>
      <c r="D33" s="125" t="s">
        <v>79</v>
      </c>
      <c r="E33" s="759">
        <v>21755</v>
      </c>
      <c r="F33" s="759">
        <v>26000</v>
      </c>
      <c r="G33" s="759">
        <v>1555</v>
      </c>
      <c r="H33" s="749">
        <f aca="true" t="shared" si="0" ref="H33:H57">F33+G33</f>
        <v>27555</v>
      </c>
      <c r="J33" s="91"/>
    </row>
    <row r="34" spans="1:8" ht="12.75">
      <c r="A34" s="113"/>
      <c r="B34" s="109"/>
      <c r="C34" s="109">
        <v>4010</v>
      </c>
      <c r="D34" s="125" t="s">
        <v>80</v>
      </c>
      <c r="E34" s="759">
        <v>753580</v>
      </c>
      <c r="F34" s="759">
        <v>820050</v>
      </c>
      <c r="G34" s="759"/>
      <c r="H34" s="749">
        <f t="shared" si="0"/>
        <v>820050</v>
      </c>
    </row>
    <row r="35" spans="1:8" ht="12.75">
      <c r="A35" s="113"/>
      <c r="B35" s="109"/>
      <c r="C35" s="109">
        <v>4040</v>
      </c>
      <c r="D35" s="125" t="s">
        <v>81</v>
      </c>
      <c r="E35" s="759">
        <v>66155</v>
      </c>
      <c r="F35" s="759">
        <v>55862</v>
      </c>
      <c r="G35" s="759"/>
      <c r="H35" s="749">
        <f t="shared" si="0"/>
        <v>55862</v>
      </c>
    </row>
    <row r="36" spans="1:8" ht="12.75">
      <c r="A36" s="113"/>
      <c r="B36" s="109"/>
      <c r="C36" s="109">
        <v>4110</v>
      </c>
      <c r="D36" s="125" t="s">
        <v>82</v>
      </c>
      <c r="E36" s="759">
        <v>138135</v>
      </c>
      <c r="F36" s="759">
        <v>154590</v>
      </c>
      <c r="G36" s="759"/>
      <c r="H36" s="749">
        <f t="shared" si="0"/>
        <v>154590</v>
      </c>
    </row>
    <row r="37" spans="1:8" ht="12.75">
      <c r="A37" s="113"/>
      <c r="B37" s="109"/>
      <c r="C37" s="109">
        <v>4120</v>
      </c>
      <c r="D37" s="125" t="s">
        <v>83</v>
      </c>
      <c r="E37" s="759">
        <v>19147</v>
      </c>
      <c r="F37" s="759">
        <v>21363</v>
      </c>
      <c r="G37" s="759"/>
      <c r="H37" s="749">
        <f t="shared" si="0"/>
        <v>21363</v>
      </c>
    </row>
    <row r="38" spans="1:8" ht="12.75">
      <c r="A38" s="113"/>
      <c r="B38" s="109"/>
      <c r="C38" s="109">
        <v>4170</v>
      </c>
      <c r="D38" s="125" t="s">
        <v>84</v>
      </c>
      <c r="E38" s="759">
        <v>0</v>
      </c>
      <c r="F38" s="759">
        <v>57138</v>
      </c>
      <c r="G38" s="759"/>
      <c r="H38" s="749">
        <f t="shared" si="0"/>
        <v>57138</v>
      </c>
    </row>
    <row r="39" spans="1:12" ht="12.75">
      <c r="A39" s="113"/>
      <c r="B39" s="109"/>
      <c r="C39" s="109">
        <v>4210</v>
      </c>
      <c r="D39" s="125" t="s">
        <v>85</v>
      </c>
      <c r="E39" s="759">
        <v>988132</v>
      </c>
      <c r="F39" s="759">
        <v>929896</v>
      </c>
      <c r="G39" s="759"/>
      <c r="H39" s="749">
        <f t="shared" si="0"/>
        <v>929896</v>
      </c>
      <c r="J39" s="91"/>
      <c r="L39" s="115">
        <f>SUM(E33:E55)</f>
        <v>3372842</v>
      </c>
    </row>
    <row r="40" spans="1:8" ht="12.75">
      <c r="A40" s="113"/>
      <c r="B40" s="109"/>
      <c r="C40" s="109">
        <v>4260</v>
      </c>
      <c r="D40" s="125" t="s">
        <v>86</v>
      </c>
      <c r="E40" s="759">
        <v>50000</v>
      </c>
      <c r="F40" s="759">
        <v>67000</v>
      </c>
      <c r="G40" s="759">
        <v>-38356</v>
      </c>
      <c r="H40" s="749">
        <f t="shared" si="0"/>
        <v>28644</v>
      </c>
    </row>
    <row r="41" spans="1:8" ht="12.75">
      <c r="A41" s="113"/>
      <c r="B41" s="109"/>
      <c r="C41" s="109">
        <v>4270</v>
      </c>
      <c r="D41" s="125" t="s">
        <v>87</v>
      </c>
      <c r="E41" s="759">
        <v>1151746</v>
      </c>
      <c r="F41" s="759">
        <v>526703</v>
      </c>
      <c r="G41" s="759">
        <f>58912+64252</f>
        <v>123164</v>
      </c>
      <c r="H41" s="749">
        <f t="shared" si="0"/>
        <v>649867</v>
      </c>
    </row>
    <row r="42" spans="1:10" ht="12.75">
      <c r="A42" s="113"/>
      <c r="B42" s="109"/>
      <c r="C42" s="109">
        <v>4280</v>
      </c>
      <c r="D42" s="125" t="s">
        <v>88</v>
      </c>
      <c r="E42" s="759">
        <v>2000</v>
      </c>
      <c r="F42" s="759">
        <v>2000</v>
      </c>
      <c r="G42" s="759"/>
      <c r="H42" s="749">
        <f t="shared" si="0"/>
        <v>2000</v>
      </c>
      <c r="J42" s="91"/>
    </row>
    <row r="43" spans="1:8" ht="12.75">
      <c r="A43" s="113"/>
      <c r="B43" s="109"/>
      <c r="C43" s="109">
        <v>4300</v>
      </c>
      <c r="D43" s="125" t="s">
        <v>74</v>
      </c>
      <c r="E43" s="759">
        <v>72100</v>
      </c>
      <c r="F43" s="759">
        <v>29390</v>
      </c>
      <c r="G43" s="759">
        <v>3318</v>
      </c>
      <c r="H43" s="749">
        <f t="shared" si="0"/>
        <v>32708</v>
      </c>
    </row>
    <row r="44" spans="1:8" ht="12.75">
      <c r="A44" s="113"/>
      <c r="B44" s="109"/>
      <c r="C44" s="109">
        <v>4350</v>
      </c>
      <c r="D44" s="125" t="s">
        <v>89</v>
      </c>
      <c r="E44" s="759">
        <v>0</v>
      </c>
      <c r="F44" s="759">
        <v>2533</v>
      </c>
      <c r="G44" s="759">
        <v>-888</v>
      </c>
      <c r="H44" s="749">
        <f t="shared" si="0"/>
        <v>1645</v>
      </c>
    </row>
    <row r="45" spans="1:8" ht="12.75">
      <c r="A45" s="113"/>
      <c r="B45" s="109"/>
      <c r="C45" s="109">
        <v>4360</v>
      </c>
      <c r="D45" s="125" t="s">
        <v>90</v>
      </c>
      <c r="E45" s="759">
        <v>0</v>
      </c>
      <c r="F45" s="759">
        <v>5400</v>
      </c>
      <c r="G45" s="759">
        <v>416</v>
      </c>
      <c r="H45" s="749">
        <f t="shared" si="0"/>
        <v>5816</v>
      </c>
    </row>
    <row r="46" spans="1:8" ht="12.75">
      <c r="A46" s="113"/>
      <c r="B46" s="109"/>
      <c r="C46" s="109">
        <v>4370</v>
      </c>
      <c r="D46" s="125" t="s">
        <v>91</v>
      </c>
      <c r="E46" s="759">
        <v>0</v>
      </c>
      <c r="F46" s="759">
        <v>20567</v>
      </c>
      <c r="G46" s="759">
        <v>-11531</v>
      </c>
      <c r="H46" s="749">
        <f t="shared" si="0"/>
        <v>9036</v>
      </c>
    </row>
    <row r="47" spans="1:8" ht="12.75">
      <c r="A47" s="113"/>
      <c r="B47" s="109"/>
      <c r="C47" s="109">
        <v>4410</v>
      </c>
      <c r="D47" s="125" t="s">
        <v>92</v>
      </c>
      <c r="E47" s="759">
        <v>6000</v>
      </c>
      <c r="F47" s="759">
        <v>6000</v>
      </c>
      <c r="G47" s="759"/>
      <c r="H47" s="749">
        <f t="shared" si="0"/>
        <v>6000</v>
      </c>
    </row>
    <row r="48" spans="1:8" ht="12.75">
      <c r="A48" s="113"/>
      <c r="B48" s="109"/>
      <c r="C48" s="109">
        <v>4430</v>
      </c>
      <c r="D48" s="125" t="s">
        <v>93</v>
      </c>
      <c r="E48" s="759">
        <v>39600</v>
      </c>
      <c r="F48" s="759">
        <v>38800</v>
      </c>
      <c r="G48" s="759">
        <v>-16287</v>
      </c>
      <c r="H48" s="749">
        <f t="shared" si="0"/>
        <v>22513</v>
      </c>
    </row>
    <row r="49" spans="1:10" ht="12.75">
      <c r="A49" s="113"/>
      <c r="B49" s="109"/>
      <c r="C49" s="109">
        <v>4440</v>
      </c>
      <c r="D49" s="125" t="s">
        <v>94</v>
      </c>
      <c r="E49" s="759">
        <v>32507</v>
      </c>
      <c r="F49" s="759">
        <v>24538</v>
      </c>
      <c r="G49" s="759"/>
      <c r="H49" s="749">
        <f t="shared" si="0"/>
        <v>24538</v>
      </c>
      <c r="J49" s="91"/>
    </row>
    <row r="50" spans="1:10" ht="12.75">
      <c r="A50" s="113"/>
      <c r="B50" s="109"/>
      <c r="C50" s="109">
        <v>4480</v>
      </c>
      <c r="D50" s="125" t="s">
        <v>95</v>
      </c>
      <c r="E50" s="759">
        <v>25506</v>
      </c>
      <c r="F50" s="759">
        <v>28000</v>
      </c>
      <c r="G50" s="759">
        <v>-2479</v>
      </c>
      <c r="H50" s="749">
        <f t="shared" si="0"/>
        <v>25521</v>
      </c>
      <c r="J50" s="91">
        <f>F31-F56-F57</f>
        <v>2833729</v>
      </c>
    </row>
    <row r="51" spans="1:10" ht="12.75">
      <c r="A51" s="113"/>
      <c r="B51" s="109"/>
      <c r="C51" s="109">
        <v>4500</v>
      </c>
      <c r="D51" s="125" t="s">
        <v>96</v>
      </c>
      <c r="E51" s="759">
        <v>0</v>
      </c>
      <c r="F51" s="759">
        <v>2786</v>
      </c>
      <c r="G51" s="759"/>
      <c r="H51" s="749">
        <f>F51+G51</f>
        <v>2786</v>
      </c>
      <c r="J51" s="91"/>
    </row>
    <row r="52" spans="1:8" ht="12.75">
      <c r="A52" s="113"/>
      <c r="B52" s="109"/>
      <c r="C52" s="109">
        <v>4510</v>
      </c>
      <c r="D52" s="125" t="s">
        <v>97</v>
      </c>
      <c r="E52" s="759">
        <v>2829</v>
      </c>
      <c r="F52" s="759">
        <v>2829</v>
      </c>
      <c r="G52" s="759"/>
      <c r="H52" s="749">
        <f t="shared" si="0"/>
        <v>2829</v>
      </c>
    </row>
    <row r="53" spans="1:8" ht="12.75">
      <c r="A53" s="113"/>
      <c r="B53" s="109"/>
      <c r="C53" s="109">
        <v>4520</v>
      </c>
      <c r="D53" s="125" t="s">
        <v>98</v>
      </c>
      <c r="E53" s="759">
        <v>1650</v>
      </c>
      <c r="F53" s="759">
        <v>1302</v>
      </c>
      <c r="G53" s="759"/>
      <c r="H53" s="749">
        <f t="shared" si="0"/>
        <v>1302</v>
      </c>
    </row>
    <row r="54" spans="1:8" ht="12.75">
      <c r="A54" s="113"/>
      <c r="B54" s="109"/>
      <c r="C54" s="109">
        <v>4530</v>
      </c>
      <c r="D54" s="125" t="s">
        <v>99</v>
      </c>
      <c r="E54" s="759">
        <v>0</v>
      </c>
      <c r="F54" s="759">
        <v>2559</v>
      </c>
      <c r="G54" s="759"/>
      <c r="H54" s="749">
        <f t="shared" si="0"/>
        <v>2559</v>
      </c>
    </row>
    <row r="55" spans="1:8" ht="12.75">
      <c r="A55" s="113"/>
      <c r="B55" s="109"/>
      <c r="C55" s="109">
        <v>4580</v>
      </c>
      <c r="D55" s="125" t="s">
        <v>100</v>
      </c>
      <c r="E55" s="759">
        <v>2000</v>
      </c>
      <c r="F55" s="759">
        <v>0</v>
      </c>
      <c r="G55" s="759"/>
      <c r="H55" s="749">
        <f t="shared" si="0"/>
        <v>0</v>
      </c>
    </row>
    <row r="56" spans="1:8" ht="12.75">
      <c r="A56" s="113"/>
      <c r="B56" s="109"/>
      <c r="C56" s="109">
        <v>6050</v>
      </c>
      <c r="D56" s="125" t="s">
        <v>101</v>
      </c>
      <c r="E56" s="759">
        <v>179128</v>
      </c>
      <c r="F56" s="759">
        <v>0</v>
      </c>
      <c r="G56" s="759"/>
      <c r="H56" s="749">
        <f t="shared" si="0"/>
        <v>0</v>
      </c>
    </row>
    <row r="57" spans="1:8" ht="12.75">
      <c r="A57" s="113"/>
      <c r="B57" s="109"/>
      <c r="C57" s="109">
        <v>6060</v>
      </c>
      <c r="D57" s="125" t="s">
        <v>102</v>
      </c>
      <c r="E57" s="759">
        <v>34000</v>
      </c>
      <c r="F57" s="759">
        <v>182000</v>
      </c>
      <c r="G57" s="759"/>
      <c r="H57" s="749">
        <f t="shared" si="0"/>
        <v>182000</v>
      </c>
    </row>
    <row r="58" spans="1:8" ht="12.75">
      <c r="A58" s="113"/>
      <c r="B58" s="109"/>
      <c r="C58" s="109"/>
      <c r="D58" s="125"/>
      <c r="E58" s="759"/>
      <c r="F58" s="759"/>
      <c r="G58" s="759"/>
      <c r="H58" s="749"/>
    </row>
    <row r="59" spans="1:8" ht="13.5" thickBot="1">
      <c r="A59" s="79">
        <v>630</v>
      </c>
      <c r="B59" s="128"/>
      <c r="C59" s="343"/>
      <c r="D59" s="86" t="s">
        <v>103</v>
      </c>
      <c r="E59" s="103">
        <f>E60</f>
        <v>2000</v>
      </c>
      <c r="F59" s="103">
        <f>F60</f>
        <v>2000</v>
      </c>
      <c r="G59" s="103">
        <f>G60</f>
        <v>0</v>
      </c>
      <c r="H59" s="145">
        <f>H60</f>
        <v>2000</v>
      </c>
    </row>
    <row r="60" spans="1:8" ht="12.75">
      <c r="A60" s="113"/>
      <c r="B60" s="80">
        <v>63003</v>
      </c>
      <c r="C60" s="60"/>
      <c r="D60" s="130" t="s">
        <v>104</v>
      </c>
      <c r="E60" s="758">
        <f>SUM(E61:E64)</f>
        <v>2000</v>
      </c>
      <c r="F60" s="758">
        <f>SUM(F61:F64)</f>
        <v>2000</v>
      </c>
      <c r="G60" s="758">
        <f>SUM(G61:G64)</f>
        <v>0</v>
      </c>
      <c r="H60" s="748">
        <f>SUM(H61:H64)</f>
        <v>2000</v>
      </c>
    </row>
    <row r="61" spans="1:9" ht="12.75">
      <c r="A61" s="113"/>
      <c r="B61" s="131"/>
      <c r="C61" s="140" t="s">
        <v>105</v>
      </c>
      <c r="D61" s="125" t="s">
        <v>106</v>
      </c>
      <c r="E61" s="759">
        <v>1000</v>
      </c>
      <c r="F61" s="759">
        <v>1000</v>
      </c>
      <c r="G61" s="759"/>
      <c r="H61" s="749">
        <f>F61+G61</f>
        <v>1000</v>
      </c>
      <c r="I61" s="91"/>
    </row>
    <row r="62" spans="1:9" ht="12.75">
      <c r="A62" s="113"/>
      <c r="B62" s="131"/>
      <c r="C62" s="140"/>
      <c r="D62" s="125" t="s">
        <v>691</v>
      </c>
      <c r="E62" s="759"/>
      <c r="F62" s="759"/>
      <c r="G62" s="759"/>
      <c r="H62" s="749"/>
      <c r="I62" s="91"/>
    </row>
    <row r="63" spans="1:8" ht="12.75">
      <c r="A63" s="113"/>
      <c r="B63" s="131"/>
      <c r="C63" s="140" t="s">
        <v>108</v>
      </c>
      <c r="D63" s="125" t="s">
        <v>85</v>
      </c>
      <c r="E63" s="759">
        <v>500</v>
      </c>
      <c r="F63" s="759">
        <v>500</v>
      </c>
      <c r="G63" s="759"/>
      <c r="H63" s="749">
        <f>F63+G63</f>
        <v>500</v>
      </c>
    </row>
    <row r="64" spans="1:8" ht="12.75">
      <c r="A64" s="113"/>
      <c r="B64" s="131"/>
      <c r="C64" s="140" t="s">
        <v>73</v>
      </c>
      <c r="D64" s="125" t="s">
        <v>74</v>
      </c>
      <c r="E64" s="759">
        <v>500</v>
      </c>
      <c r="F64" s="759">
        <v>500</v>
      </c>
      <c r="G64" s="759"/>
      <c r="H64" s="749">
        <f>F64+G64</f>
        <v>500</v>
      </c>
    </row>
    <row r="65" spans="1:8" ht="12.75">
      <c r="A65" s="113"/>
      <c r="B65" s="131"/>
      <c r="C65" s="140"/>
      <c r="D65" s="125"/>
      <c r="E65" s="759"/>
      <c r="F65" s="759"/>
      <c r="G65" s="759"/>
      <c r="H65" s="749"/>
    </row>
    <row r="66" spans="1:8" ht="13.5" thickBot="1">
      <c r="A66" s="79">
        <v>700</v>
      </c>
      <c r="B66" s="128"/>
      <c r="C66" s="128"/>
      <c r="D66" s="86" t="s">
        <v>109</v>
      </c>
      <c r="E66" s="103">
        <f>E67</f>
        <v>92988</v>
      </c>
      <c r="F66" s="103">
        <f>F67</f>
        <v>102050</v>
      </c>
      <c r="G66" s="103">
        <f>G67</f>
        <v>8211</v>
      </c>
      <c r="H66" s="145">
        <f>H67</f>
        <v>110261</v>
      </c>
    </row>
    <row r="67" spans="1:8" ht="12.75">
      <c r="A67" s="113"/>
      <c r="B67" s="80">
        <v>70005</v>
      </c>
      <c r="C67" s="80"/>
      <c r="D67" s="130" t="s">
        <v>110</v>
      </c>
      <c r="E67" s="758">
        <f>SUM(E71:E76)</f>
        <v>92988</v>
      </c>
      <c r="F67" s="758">
        <f>SUM(F68:F76)</f>
        <v>102050</v>
      </c>
      <c r="G67" s="758">
        <f>SUM(G68:G76)</f>
        <v>8211</v>
      </c>
      <c r="H67" s="748">
        <f>SUM(H68:H76)</f>
        <v>110261</v>
      </c>
    </row>
    <row r="68" spans="1:8" ht="12.75">
      <c r="A68" s="113"/>
      <c r="B68" s="109"/>
      <c r="C68" s="109">
        <v>4110</v>
      </c>
      <c r="D68" s="125" t="s">
        <v>82</v>
      </c>
      <c r="E68" s="759"/>
      <c r="F68" s="759">
        <v>5340</v>
      </c>
      <c r="G68" s="759"/>
      <c r="H68" s="749">
        <f aca="true" t="shared" si="1" ref="H68:H76">F68+G68</f>
        <v>5340</v>
      </c>
    </row>
    <row r="69" spans="1:8" ht="12.75">
      <c r="A69" s="113"/>
      <c r="B69" s="109"/>
      <c r="C69" s="109">
        <v>4120</v>
      </c>
      <c r="D69" s="125" t="s">
        <v>83</v>
      </c>
      <c r="E69" s="759"/>
      <c r="F69" s="759">
        <v>758</v>
      </c>
      <c r="G69" s="759"/>
      <c r="H69" s="749">
        <f t="shared" si="1"/>
        <v>758</v>
      </c>
    </row>
    <row r="70" spans="1:8" ht="12.75">
      <c r="A70" s="113"/>
      <c r="B70" s="109"/>
      <c r="C70" s="109">
        <v>4170</v>
      </c>
      <c r="D70" s="125" t="s">
        <v>84</v>
      </c>
      <c r="E70" s="759"/>
      <c r="F70" s="759">
        <v>30902</v>
      </c>
      <c r="G70" s="759"/>
      <c r="H70" s="749">
        <f t="shared" si="1"/>
        <v>30902</v>
      </c>
    </row>
    <row r="71" spans="1:8" ht="12.75">
      <c r="A71" s="113"/>
      <c r="B71" s="109"/>
      <c r="C71" s="109">
        <v>4260</v>
      </c>
      <c r="D71" s="125" t="s">
        <v>86</v>
      </c>
      <c r="E71" s="759">
        <v>10000</v>
      </c>
      <c r="F71" s="759">
        <v>9000</v>
      </c>
      <c r="G71" s="759">
        <v>1571</v>
      </c>
      <c r="H71" s="749">
        <f t="shared" si="1"/>
        <v>10571</v>
      </c>
    </row>
    <row r="72" spans="1:8" ht="12.75">
      <c r="A72" s="113"/>
      <c r="B72" s="109"/>
      <c r="C72" s="109">
        <v>4270</v>
      </c>
      <c r="D72" s="125" t="s">
        <v>87</v>
      </c>
      <c r="E72" s="759">
        <v>20000</v>
      </c>
      <c r="F72" s="759">
        <v>15637</v>
      </c>
      <c r="G72" s="759"/>
      <c r="H72" s="749">
        <f t="shared" si="1"/>
        <v>15637</v>
      </c>
    </row>
    <row r="73" spans="1:8" ht="12.75">
      <c r="A73" s="113"/>
      <c r="B73" s="109"/>
      <c r="C73" s="140" t="s">
        <v>73</v>
      </c>
      <c r="D73" s="125" t="s">
        <v>74</v>
      </c>
      <c r="E73" s="759">
        <v>51488</v>
      </c>
      <c r="F73" s="759">
        <v>34130</v>
      </c>
      <c r="G73" s="759">
        <v>6640</v>
      </c>
      <c r="H73" s="749">
        <f t="shared" si="1"/>
        <v>40770</v>
      </c>
    </row>
    <row r="74" spans="1:8" ht="12.75">
      <c r="A74" s="113"/>
      <c r="B74" s="109"/>
      <c r="C74" s="140" t="s">
        <v>377</v>
      </c>
      <c r="D74" s="125" t="s">
        <v>93</v>
      </c>
      <c r="E74" s="759">
        <v>0</v>
      </c>
      <c r="F74" s="759">
        <v>600</v>
      </c>
      <c r="G74" s="759"/>
      <c r="H74" s="749">
        <f t="shared" si="1"/>
        <v>600</v>
      </c>
    </row>
    <row r="75" spans="1:8" ht="12.75">
      <c r="A75" s="113"/>
      <c r="B75" s="109"/>
      <c r="C75" s="140" t="s">
        <v>111</v>
      </c>
      <c r="D75" s="125" t="s">
        <v>95</v>
      </c>
      <c r="E75" s="759">
        <v>11500</v>
      </c>
      <c r="F75" s="759">
        <v>4623</v>
      </c>
      <c r="G75" s="759"/>
      <c r="H75" s="749">
        <f t="shared" si="1"/>
        <v>4623</v>
      </c>
    </row>
    <row r="76" spans="1:8" ht="12.75">
      <c r="A76" s="113"/>
      <c r="B76" s="109"/>
      <c r="C76" s="140" t="s">
        <v>112</v>
      </c>
      <c r="D76" s="125" t="s">
        <v>113</v>
      </c>
      <c r="E76" s="759">
        <v>0</v>
      </c>
      <c r="F76" s="759">
        <v>1060</v>
      </c>
      <c r="G76" s="759"/>
      <c r="H76" s="749">
        <f t="shared" si="1"/>
        <v>1060</v>
      </c>
    </row>
    <row r="77" spans="1:8" ht="14.25" customHeight="1">
      <c r="A77" s="113"/>
      <c r="B77" s="109"/>
      <c r="C77" s="109"/>
      <c r="D77" s="125"/>
      <c r="E77" s="759"/>
      <c r="F77" s="762"/>
      <c r="G77" s="759"/>
      <c r="H77" s="749"/>
    </row>
    <row r="78" spans="1:8" ht="13.5" thickBot="1">
      <c r="A78" s="79">
        <v>710</v>
      </c>
      <c r="B78" s="128"/>
      <c r="C78" s="343"/>
      <c r="D78" s="86" t="s">
        <v>114</v>
      </c>
      <c r="E78" s="103">
        <f>E79+E83+E86</f>
        <v>269553</v>
      </c>
      <c r="F78" s="103">
        <f>F79+F83+F86</f>
        <v>291317</v>
      </c>
      <c r="G78" s="103">
        <f>G79+G83+G86</f>
        <v>0</v>
      </c>
      <c r="H78" s="145">
        <f>H79+H83+H86</f>
        <v>291317</v>
      </c>
    </row>
    <row r="79" spans="1:8" ht="12.75">
      <c r="A79" s="113"/>
      <c r="B79" s="80">
        <v>71013</v>
      </c>
      <c r="C79" s="60"/>
      <c r="D79" s="130" t="s">
        <v>115</v>
      </c>
      <c r="E79" s="758">
        <f>SUM(E80:E81)</f>
        <v>40000</v>
      </c>
      <c r="F79" s="758">
        <f>SUM(F80:F81)</f>
        <v>40000</v>
      </c>
      <c r="G79" s="758">
        <f>SUM(G80:G81)</f>
        <v>0</v>
      </c>
      <c r="H79" s="748">
        <f>SUM(H80:H81)</f>
        <v>40000</v>
      </c>
    </row>
    <row r="80" spans="1:8" ht="12.75">
      <c r="A80" s="113"/>
      <c r="B80" s="109"/>
      <c r="C80" s="140" t="s">
        <v>73</v>
      </c>
      <c r="D80" s="125" t="s">
        <v>74</v>
      </c>
      <c r="E80" s="759">
        <v>40000</v>
      </c>
      <c r="F80" s="759">
        <v>39520</v>
      </c>
      <c r="G80" s="759"/>
      <c r="H80" s="749">
        <f>F80+G80</f>
        <v>39520</v>
      </c>
    </row>
    <row r="81" spans="1:8" ht="12.75">
      <c r="A81" s="113"/>
      <c r="B81" s="109"/>
      <c r="C81" s="140" t="s">
        <v>112</v>
      </c>
      <c r="D81" s="125" t="s">
        <v>113</v>
      </c>
      <c r="E81" s="759">
        <v>0</v>
      </c>
      <c r="F81" s="759">
        <v>480</v>
      </c>
      <c r="G81" s="759"/>
      <c r="H81" s="749">
        <f>F81+G81</f>
        <v>480</v>
      </c>
    </row>
    <row r="82" spans="1:8" ht="12.75">
      <c r="A82" s="113"/>
      <c r="B82" s="109"/>
      <c r="C82" s="140"/>
      <c r="D82" s="125"/>
      <c r="E82" s="759"/>
      <c r="F82" s="759"/>
      <c r="G82" s="759"/>
      <c r="H82" s="749"/>
    </row>
    <row r="83" spans="1:8" ht="12.75">
      <c r="A83" s="113"/>
      <c r="B83" s="80">
        <v>71014</v>
      </c>
      <c r="C83" s="60"/>
      <c r="D83" s="130" t="s">
        <v>116</v>
      </c>
      <c r="E83" s="758">
        <f>E84</f>
        <v>22000</v>
      </c>
      <c r="F83" s="758">
        <f>F84</f>
        <v>15000</v>
      </c>
      <c r="G83" s="758">
        <f>G84</f>
        <v>0</v>
      </c>
      <c r="H83" s="748">
        <f>H84</f>
        <v>15000</v>
      </c>
    </row>
    <row r="84" spans="1:8" ht="12.75">
      <c r="A84" s="113"/>
      <c r="B84" s="109"/>
      <c r="C84" s="140" t="s">
        <v>73</v>
      </c>
      <c r="D84" s="125" t="s">
        <v>74</v>
      </c>
      <c r="E84" s="759">
        <v>22000</v>
      </c>
      <c r="F84" s="759">
        <v>15000</v>
      </c>
      <c r="G84" s="759"/>
      <c r="H84" s="749">
        <f>F84+G84</f>
        <v>15000</v>
      </c>
    </row>
    <row r="85" spans="1:8" ht="12.75">
      <c r="A85" s="113"/>
      <c r="B85" s="109"/>
      <c r="C85" s="140"/>
      <c r="D85" s="125"/>
      <c r="E85" s="759"/>
      <c r="F85" s="759"/>
      <c r="G85" s="759"/>
      <c r="H85" s="749"/>
    </row>
    <row r="86" spans="1:8" ht="12.75">
      <c r="A86" s="113"/>
      <c r="B86" s="80">
        <v>71015</v>
      </c>
      <c r="C86" s="80"/>
      <c r="D86" s="130" t="s">
        <v>117</v>
      </c>
      <c r="E86" s="758">
        <f>SUM(E87:E102)</f>
        <v>207553</v>
      </c>
      <c r="F86" s="758">
        <f>SUM(F87:F104)</f>
        <v>236317</v>
      </c>
      <c r="G86" s="758">
        <f>SUM(G87:G104)</f>
        <v>0</v>
      </c>
      <c r="H86" s="748">
        <f>SUM(H87:H104)</f>
        <v>236317</v>
      </c>
    </row>
    <row r="87" spans="1:10" ht="12.75">
      <c r="A87" s="113"/>
      <c r="B87" s="109"/>
      <c r="C87" s="109">
        <v>4010</v>
      </c>
      <c r="D87" s="125" t="s">
        <v>80</v>
      </c>
      <c r="E87" s="759">
        <v>129968</v>
      </c>
      <c r="F87" s="759">
        <v>139996</v>
      </c>
      <c r="G87" s="759"/>
      <c r="H87" s="749">
        <f>F87+G87</f>
        <v>139996</v>
      </c>
      <c r="J87" s="91">
        <f>SUM(F87:F91)</f>
        <v>182112</v>
      </c>
    </row>
    <row r="88" spans="1:9" ht="12.75">
      <c r="A88" s="113"/>
      <c r="B88" s="109"/>
      <c r="C88" s="109">
        <v>4040</v>
      </c>
      <c r="D88" s="125" t="s">
        <v>81</v>
      </c>
      <c r="E88" s="759">
        <v>8287</v>
      </c>
      <c r="F88" s="759">
        <v>9723</v>
      </c>
      <c r="G88" s="759"/>
      <c r="H88" s="749">
        <f aca="true" t="shared" si="2" ref="H88:H104">F88+G88</f>
        <v>9723</v>
      </c>
      <c r="I88" s="91"/>
    </row>
    <row r="89" spans="1:10" ht="12.75">
      <c r="A89" s="113"/>
      <c r="B89" s="109"/>
      <c r="C89" s="109">
        <v>4110</v>
      </c>
      <c r="D89" s="125" t="s">
        <v>82</v>
      </c>
      <c r="E89" s="759">
        <v>23966</v>
      </c>
      <c r="F89" s="759">
        <v>26586</v>
      </c>
      <c r="G89" s="759"/>
      <c r="H89" s="749">
        <f t="shared" si="2"/>
        <v>26586</v>
      </c>
      <c r="J89" s="91">
        <f>SUM(H87:H91)</f>
        <v>182112</v>
      </c>
    </row>
    <row r="90" spans="1:8" ht="12.75">
      <c r="A90" s="113"/>
      <c r="B90" s="109"/>
      <c r="C90" s="109">
        <v>4120</v>
      </c>
      <c r="D90" s="125" t="s">
        <v>83</v>
      </c>
      <c r="E90" s="759">
        <v>3230</v>
      </c>
      <c r="F90" s="759">
        <v>3607</v>
      </c>
      <c r="G90" s="759"/>
      <c r="H90" s="749">
        <f t="shared" si="2"/>
        <v>3607</v>
      </c>
    </row>
    <row r="91" spans="1:8" ht="12.75">
      <c r="A91" s="113"/>
      <c r="B91" s="109"/>
      <c r="C91" s="109">
        <v>4170</v>
      </c>
      <c r="D91" s="125" t="s">
        <v>84</v>
      </c>
      <c r="E91" s="759">
        <v>1500</v>
      </c>
      <c r="F91" s="759">
        <v>2200</v>
      </c>
      <c r="G91" s="759"/>
      <c r="H91" s="749">
        <f t="shared" si="2"/>
        <v>2200</v>
      </c>
    </row>
    <row r="92" spans="1:10" ht="12.75">
      <c r="A92" s="113"/>
      <c r="B92" s="109"/>
      <c r="C92" s="109">
        <v>4210</v>
      </c>
      <c r="D92" s="125" t="s">
        <v>85</v>
      </c>
      <c r="E92" s="759">
        <v>16300</v>
      </c>
      <c r="F92" s="759">
        <v>20423</v>
      </c>
      <c r="G92" s="759">
        <v>1301</v>
      </c>
      <c r="H92" s="749">
        <f t="shared" si="2"/>
        <v>21724</v>
      </c>
      <c r="J92" s="91"/>
    </row>
    <row r="93" spans="1:10" ht="12.75">
      <c r="A93" s="113"/>
      <c r="B93" s="109"/>
      <c r="C93" s="109">
        <v>4270</v>
      </c>
      <c r="D93" s="125" t="s">
        <v>87</v>
      </c>
      <c r="E93" s="759">
        <v>0</v>
      </c>
      <c r="F93" s="759">
        <v>1385</v>
      </c>
      <c r="G93" s="759">
        <v>305</v>
      </c>
      <c r="H93" s="749">
        <f t="shared" si="2"/>
        <v>1690</v>
      </c>
      <c r="J93" s="91"/>
    </row>
    <row r="94" spans="1:10" ht="12.75">
      <c r="A94" s="113"/>
      <c r="B94" s="109"/>
      <c r="C94" s="109">
        <v>4280</v>
      </c>
      <c r="D94" s="125" t="s">
        <v>88</v>
      </c>
      <c r="E94" s="759">
        <v>0</v>
      </c>
      <c r="F94" s="759">
        <v>107</v>
      </c>
      <c r="G94" s="759">
        <v>-10</v>
      </c>
      <c r="H94" s="749">
        <f t="shared" si="2"/>
        <v>97</v>
      </c>
      <c r="J94" s="91"/>
    </row>
    <row r="95" spans="1:10" ht="12.75">
      <c r="A95" s="113"/>
      <c r="B95" s="109"/>
      <c r="C95" s="109">
        <v>4300</v>
      </c>
      <c r="D95" s="125" t="s">
        <v>74</v>
      </c>
      <c r="E95" s="759">
        <v>18902</v>
      </c>
      <c r="F95" s="759">
        <v>7852</v>
      </c>
      <c r="G95" s="759"/>
      <c r="H95" s="749">
        <f t="shared" si="2"/>
        <v>7852</v>
      </c>
      <c r="J95" s="91"/>
    </row>
    <row r="96" spans="1:10" ht="12.75">
      <c r="A96" s="113"/>
      <c r="B96" s="109"/>
      <c r="C96" s="109">
        <v>4350</v>
      </c>
      <c r="D96" s="125" t="s">
        <v>89</v>
      </c>
      <c r="E96" s="759">
        <v>0</v>
      </c>
      <c r="F96" s="759">
        <v>2430</v>
      </c>
      <c r="G96" s="759">
        <v>102</v>
      </c>
      <c r="H96" s="749">
        <f t="shared" si="2"/>
        <v>2532</v>
      </c>
      <c r="J96" s="91"/>
    </row>
    <row r="97" spans="1:10" ht="12.75">
      <c r="A97" s="113"/>
      <c r="B97" s="109"/>
      <c r="C97" s="109">
        <v>4360</v>
      </c>
      <c r="D97" s="125" t="s">
        <v>129</v>
      </c>
      <c r="E97" s="759"/>
      <c r="F97" s="759">
        <v>100</v>
      </c>
      <c r="G97" s="759">
        <v>-13</v>
      </c>
      <c r="H97" s="749">
        <f t="shared" si="2"/>
        <v>87</v>
      </c>
      <c r="J97" s="91"/>
    </row>
    <row r="98" spans="1:10" ht="12.75">
      <c r="A98" s="113"/>
      <c r="B98" s="109"/>
      <c r="C98" s="109">
        <v>4370</v>
      </c>
      <c r="D98" s="125" t="s">
        <v>91</v>
      </c>
      <c r="E98" s="759">
        <v>0</v>
      </c>
      <c r="F98" s="759">
        <v>3378</v>
      </c>
      <c r="G98" s="759">
        <v>5</v>
      </c>
      <c r="H98" s="749">
        <f t="shared" si="2"/>
        <v>3383</v>
      </c>
      <c r="J98" s="91"/>
    </row>
    <row r="99" spans="1:10" ht="12.75">
      <c r="A99" s="113"/>
      <c r="B99" s="109"/>
      <c r="C99" s="109">
        <v>4400</v>
      </c>
      <c r="D99" s="125" t="s">
        <v>748</v>
      </c>
      <c r="E99" s="759">
        <v>0</v>
      </c>
      <c r="F99" s="759">
        <v>5570</v>
      </c>
      <c r="G99" s="759">
        <v>-4</v>
      </c>
      <c r="H99" s="749">
        <f t="shared" si="2"/>
        <v>5566</v>
      </c>
      <c r="J99" s="91"/>
    </row>
    <row r="100" spans="1:10" ht="12.75">
      <c r="A100" s="113"/>
      <c r="B100" s="109"/>
      <c r="C100" s="109">
        <v>4410</v>
      </c>
      <c r="D100" s="125" t="s">
        <v>92</v>
      </c>
      <c r="E100" s="759">
        <v>0</v>
      </c>
      <c r="F100" s="759">
        <v>400</v>
      </c>
      <c r="G100" s="759">
        <v>-353</v>
      </c>
      <c r="H100" s="749">
        <f>F100+G100</f>
        <v>47</v>
      </c>
      <c r="J100" s="91"/>
    </row>
    <row r="101" spans="1:8" ht="12.75">
      <c r="A101" s="113"/>
      <c r="B101" s="109"/>
      <c r="C101" s="109">
        <v>4430</v>
      </c>
      <c r="D101" s="125" t="s">
        <v>93</v>
      </c>
      <c r="E101" s="759">
        <v>2100</v>
      </c>
      <c r="F101" s="759">
        <v>1940</v>
      </c>
      <c r="G101" s="759">
        <v>-87</v>
      </c>
      <c r="H101" s="749">
        <f t="shared" si="2"/>
        <v>1853</v>
      </c>
    </row>
    <row r="102" spans="1:8" ht="12.75">
      <c r="A102" s="113"/>
      <c r="B102" s="109"/>
      <c r="C102" s="109">
        <v>4440</v>
      </c>
      <c r="D102" s="125" t="s">
        <v>94</v>
      </c>
      <c r="E102" s="759">
        <v>3300</v>
      </c>
      <c r="F102" s="759">
        <v>3420</v>
      </c>
      <c r="G102" s="759"/>
      <c r="H102" s="749">
        <f t="shared" si="2"/>
        <v>3420</v>
      </c>
    </row>
    <row r="103" spans="1:8" ht="12.75">
      <c r="A103" s="113"/>
      <c r="B103" s="109"/>
      <c r="C103" s="140" t="s">
        <v>112</v>
      </c>
      <c r="D103" s="125" t="s">
        <v>113</v>
      </c>
      <c r="E103" s="759"/>
      <c r="F103" s="759">
        <v>900</v>
      </c>
      <c r="G103" s="759">
        <v>-50</v>
      </c>
      <c r="H103" s="749">
        <f t="shared" si="2"/>
        <v>850</v>
      </c>
    </row>
    <row r="104" spans="1:8" ht="12.75">
      <c r="A104" s="113"/>
      <c r="B104" s="109"/>
      <c r="C104" s="109">
        <v>4750</v>
      </c>
      <c r="D104" s="125" t="s">
        <v>123</v>
      </c>
      <c r="E104" s="759"/>
      <c r="F104" s="759">
        <v>6300</v>
      </c>
      <c r="G104" s="759">
        <v>-1196</v>
      </c>
      <c r="H104" s="749">
        <f t="shared" si="2"/>
        <v>5104</v>
      </c>
    </row>
    <row r="105" spans="1:8" ht="12" customHeight="1">
      <c r="A105" s="113"/>
      <c r="B105" s="109"/>
      <c r="C105" s="109"/>
      <c r="D105" s="125"/>
      <c r="E105" s="759"/>
      <c r="F105" s="759"/>
      <c r="G105" s="759"/>
      <c r="H105" s="749"/>
    </row>
    <row r="106" spans="1:8" ht="13.5" thickBot="1">
      <c r="A106" s="79">
        <v>750</v>
      </c>
      <c r="B106" s="128"/>
      <c r="C106" s="128"/>
      <c r="D106" s="86" t="s">
        <v>120</v>
      </c>
      <c r="E106" s="103">
        <f>E107+E127+E138+E166+E179</f>
        <v>4072894</v>
      </c>
      <c r="F106" s="103">
        <f>F107+F127+F138+F166+F179</f>
        <v>4941581</v>
      </c>
      <c r="G106" s="103">
        <f>G107+G127+G138+G166+G179</f>
        <v>-21082</v>
      </c>
      <c r="H106" s="145">
        <f>H107+H127+H138+H166+H179</f>
        <v>4920499</v>
      </c>
    </row>
    <row r="107" spans="1:8" ht="12.75">
      <c r="A107" s="113"/>
      <c r="B107" s="80">
        <v>75011</v>
      </c>
      <c r="C107" s="80"/>
      <c r="D107" s="130" t="s">
        <v>121</v>
      </c>
      <c r="E107" s="758">
        <f>SUM(E108:E125)</f>
        <v>256034</v>
      </c>
      <c r="F107" s="758">
        <f>SUM(F108:F125)</f>
        <v>257210</v>
      </c>
      <c r="G107" s="758">
        <f>SUM(G108:G125)</f>
        <v>0</v>
      </c>
      <c r="H107" s="748">
        <f>SUM(H108:H125)</f>
        <v>257210</v>
      </c>
    </row>
    <row r="108" spans="1:8" ht="12.75">
      <c r="A108" s="113"/>
      <c r="B108" s="109"/>
      <c r="C108" s="109">
        <v>3020</v>
      </c>
      <c r="D108" s="125" t="s">
        <v>79</v>
      </c>
      <c r="E108" s="759">
        <v>915</v>
      </c>
      <c r="F108" s="759">
        <v>470</v>
      </c>
      <c r="G108" s="759">
        <v>-290</v>
      </c>
      <c r="H108" s="749">
        <f>F108+G108</f>
        <v>180</v>
      </c>
    </row>
    <row r="109" spans="1:8" ht="12.75">
      <c r="A109" s="113"/>
      <c r="B109" s="109"/>
      <c r="C109" s="109">
        <v>4010</v>
      </c>
      <c r="D109" s="125" t="s">
        <v>80</v>
      </c>
      <c r="E109" s="759">
        <v>159127</v>
      </c>
      <c r="F109" s="759">
        <v>163919</v>
      </c>
      <c r="G109" s="759">
        <v>9913</v>
      </c>
      <c r="H109" s="749">
        <f aca="true" t="shared" si="3" ref="H109:H125">F109+G109</f>
        <v>173832</v>
      </c>
    </row>
    <row r="110" spans="1:10" ht="12.75">
      <c r="A110" s="113"/>
      <c r="B110" s="109"/>
      <c r="C110" s="109">
        <v>4040</v>
      </c>
      <c r="D110" s="125" t="s">
        <v>81</v>
      </c>
      <c r="E110" s="759">
        <v>11314</v>
      </c>
      <c r="F110" s="759">
        <v>12416</v>
      </c>
      <c r="G110" s="759"/>
      <c r="H110" s="749">
        <f t="shared" si="3"/>
        <v>12416</v>
      </c>
      <c r="J110" s="91">
        <f>SUM(H109:H113)</f>
        <v>225190</v>
      </c>
    </row>
    <row r="111" spans="1:8" ht="12.75">
      <c r="A111" s="113"/>
      <c r="B111" s="109"/>
      <c r="C111" s="109">
        <v>4110</v>
      </c>
      <c r="D111" s="125" t="s">
        <v>82</v>
      </c>
      <c r="E111" s="759">
        <v>29834</v>
      </c>
      <c r="F111" s="759">
        <v>29817</v>
      </c>
      <c r="G111" s="759">
        <v>-667</v>
      </c>
      <c r="H111" s="749">
        <f t="shared" si="3"/>
        <v>29150</v>
      </c>
    </row>
    <row r="112" spans="1:10" ht="12.75">
      <c r="A112" s="113"/>
      <c r="B112" s="109"/>
      <c r="C112" s="109">
        <v>4120</v>
      </c>
      <c r="D112" s="125" t="s">
        <v>83</v>
      </c>
      <c r="E112" s="759">
        <v>4330</v>
      </c>
      <c r="F112" s="759">
        <v>4254</v>
      </c>
      <c r="G112" s="759">
        <v>-113</v>
      </c>
      <c r="H112" s="749">
        <f t="shared" si="3"/>
        <v>4141</v>
      </c>
      <c r="J112" s="91">
        <f>SUM(F109:F113)</f>
        <v>216046</v>
      </c>
    </row>
    <row r="113" spans="1:8" ht="12.75">
      <c r="A113" s="113"/>
      <c r="B113" s="109"/>
      <c r="C113" s="109">
        <v>4170</v>
      </c>
      <c r="D113" s="125" t="s">
        <v>84</v>
      </c>
      <c r="E113" s="759">
        <v>5640</v>
      </c>
      <c r="F113" s="759">
        <v>5640</v>
      </c>
      <c r="G113" s="759">
        <v>11</v>
      </c>
      <c r="H113" s="749">
        <f t="shared" si="3"/>
        <v>5651</v>
      </c>
    </row>
    <row r="114" spans="1:8" ht="12.75">
      <c r="A114" s="113"/>
      <c r="B114" s="109"/>
      <c r="C114" s="109">
        <v>4210</v>
      </c>
      <c r="D114" s="125" t="s">
        <v>85</v>
      </c>
      <c r="E114" s="759">
        <v>5581</v>
      </c>
      <c r="F114" s="759">
        <v>2055</v>
      </c>
      <c r="G114" s="759">
        <v>-462</v>
      </c>
      <c r="H114" s="749">
        <f t="shared" si="3"/>
        <v>1593</v>
      </c>
    </row>
    <row r="115" spans="1:8" ht="12.75">
      <c r="A115" s="113"/>
      <c r="B115" s="109"/>
      <c r="C115" s="109">
        <v>4260</v>
      </c>
      <c r="D115" s="125" t="s">
        <v>86</v>
      </c>
      <c r="E115" s="759">
        <v>5425</v>
      </c>
      <c r="F115" s="759">
        <v>7725</v>
      </c>
      <c r="G115" s="759">
        <v>4024</v>
      </c>
      <c r="H115" s="749">
        <f t="shared" si="3"/>
        <v>11749</v>
      </c>
    </row>
    <row r="116" spans="1:8" ht="12.75">
      <c r="A116" s="113"/>
      <c r="B116" s="109"/>
      <c r="C116" s="109">
        <v>4270</v>
      </c>
      <c r="D116" s="125" t="s">
        <v>87</v>
      </c>
      <c r="E116" s="759">
        <v>2600</v>
      </c>
      <c r="F116" s="759">
        <v>1500</v>
      </c>
      <c r="G116" s="759">
        <v>-640</v>
      </c>
      <c r="H116" s="749">
        <f t="shared" si="3"/>
        <v>860</v>
      </c>
    </row>
    <row r="117" spans="1:8" ht="12.75">
      <c r="A117" s="113"/>
      <c r="B117" s="109"/>
      <c r="C117" s="109">
        <v>4280</v>
      </c>
      <c r="D117" s="125" t="s">
        <v>88</v>
      </c>
      <c r="E117" s="759">
        <v>245</v>
      </c>
      <c r="F117" s="759">
        <v>303</v>
      </c>
      <c r="G117" s="759">
        <v>-145</v>
      </c>
      <c r="H117" s="749">
        <f t="shared" si="3"/>
        <v>158</v>
      </c>
    </row>
    <row r="118" spans="1:8" ht="12.75">
      <c r="A118" s="113"/>
      <c r="B118" s="109"/>
      <c r="C118" s="109">
        <v>4300</v>
      </c>
      <c r="D118" s="125" t="s">
        <v>74</v>
      </c>
      <c r="E118" s="759">
        <v>22067</v>
      </c>
      <c r="F118" s="759">
        <v>7090</v>
      </c>
      <c r="G118" s="759">
        <v>-2002</v>
      </c>
      <c r="H118" s="749">
        <f t="shared" si="3"/>
        <v>5088</v>
      </c>
    </row>
    <row r="119" spans="1:8" ht="12.75">
      <c r="A119" s="113"/>
      <c r="B119" s="109"/>
      <c r="C119" s="109">
        <v>4350</v>
      </c>
      <c r="D119" s="125" t="s">
        <v>89</v>
      </c>
      <c r="E119" s="759">
        <v>2828</v>
      </c>
      <c r="F119" s="759">
        <v>5023</v>
      </c>
      <c r="G119" s="759">
        <v>-2061</v>
      </c>
      <c r="H119" s="749">
        <f t="shared" si="3"/>
        <v>2962</v>
      </c>
    </row>
    <row r="120" spans="1:8" ht="12.75">
      <c r="A120" s="113"/>
      <c r="B120" s="109"/>
      <c r="C120" s="109">
        <v>4370</v>
      </c>
      <c r="D120" s="125" t="s">
        <v>91</v>
      </c>
      <c r="E120" s="759">
        <v>0</v>
      </c>
      <c r="F120" s="759">
        <v>3467</v>
      </c>
      <c r="G120" s="759">
        <v>-2337</v>
      </c>
      <c r="H120" s="749">
        <f t="shared" si="3"/>
        <v>1130</v>
      </c>
    </row>
    <row r="121" spans="1:8" ht="12.75">
      <c r="A121" s="113"/>
      <c r="B121" s="109"/>
      <c r="C121" s="109">
        <v>4410</v>
      </c>
      <c r="D121" s="125" t="s">
        <v>92</v>
      </c>
      <c r="E121" s="759">
        <v>1179</v>
      </c>
      <c r="F121" s="759">
        <v>2500</v>
      </c>
      <c r="G121" s="759">
        <v>-1476</v>
      </c>
      <c r="H121" s="749">
        <f t="shared" si="3"/>
        <v>1024</v>
      </c>
    </row>
    <row r="122" spans="1:8" ht="12.75">
      <c r="A122" s="113"/>
      <c r="B122" s="109"/>
      <c r="C122" s="109">
        <v>4440</v>
      </c>
      <c r="D122" s="125" t="s">
        <v>94</v>
      </c>
      <c r="E122" s="759">
        <v>4949</v>
      </c>
      <c r="F122" s="759">
        <v>5431</v>
      </c>
      <c r="G122" s="759"/>
      <c r="H122" s="749">
        <f t="shared" si="3"/>
        <v>5431</v>
      </c>
    </row>
    <row r="123" spans="1:8" ht="12.75">
      <c r="A123" s="113"/>
      <c r="B123" s="109"/>
      <c r="C123" s="109">
        <v>4700</v>
      </c>
      <c r="D123" s="125" t="s">
        <v>113</v>
      </c>
      <c r="E123" s="759">
        <v>0</v>
      </c>
      <c r="F123" s="759">
        <v>500</v>
      </c>
      <c r="G123" s="759">
        <v>-500</v>
      </c>
      <c r="H123" s="749">
        <f>F123+G123</f>
        <v>0</v>
      </c>
    </row>
    <row r="124" spans="1:8" ht="12.75">
      <c r="A124" s="113"/>
      <c r="B124" s="109"/>
      <c r="C124" s="109">
        <v>4740</v>
      </c>
      <c r="D124" s="125" t="s">
        <v>122</v>
      </c>
      <c r="E124" s="759">
        <v>0</v>
      </c>
      <c r="F124" s="759">
        <v>1100</v>
      </c>
      <c r="G124" s="759">
        <v>-600</v>
      </c>
      <c r="H124" s="749">
        <f t="shared" si="3"/>
        <v>500</v>
      </c>
    </row>
    <row r="125" spans="1:8" ht="12.75">
      <c r="A125" s="113"/>
      <c r="B125" s="109"/>
      <c r="C125" s="109">
        <v>4750</v>
      </c>
      <c r="D125" s="125" t="s">
        <v>123</v>
      </c>
      <c r="E125" s="759">
        <v>0</v>
      </c>
      <c r="F125" s="759">
        <v>4000</v>
      </c>
      <c r="G125" s="759">
        <v>-2655</v>
      </c>
      <c r="H125" s="749">
        <f t="shared" si="3"/>
        <v>1345</v>
      </c>
    </row>
    <row r="126" spans="1:8" ht="12.75">
      <c r="A126" s="113"/>
      <c r="B126" s="109"/>
      <c r="C126" s="109"/>
      <c r="D126" s="125"/>
      <c r="E126" s="759"/>
      <c r="F126" s="759"/>
      <c r="G126" s="759"/>
      <c r="H126" s="749"/>
    </row>
    <row r="127" spans="1:8" ht="12.75">
      <c r="A127" s="113"/>
      <c r="B127" s="80">
        <v>75019</v>
      </c>
      <c r="C127" s="60"/>
      <c r="D127" s="130" t="s">
        <v>124</v>
      </c>
      <c r="E127" s="758">
        <f>SUM(E128:E133)</f>
        <v>238300</v>
      </c>
      <c r="F127" s="758">
        <f>SUM(F128:F136)</f>
        <v>265850</v>
      </c>
      <c r="G127" s="758">
        <f>SUM(G128:G136)</f>
        <v>0</v>
      </c>
      <c r="H127" s="748">
        <f>SUM(H128:H136)</f>
        <v>265850</v>
      </c>
    </row>
    <row r="128" spans="1:8" ht="12.75">
      <c r="A128" s="113"/>
      <c r="B128" s="109"/>
      <c r="C128" s="109">
        <v>3030</v>
      </c>
      <c r="D128" s="125" t="s">
        <v>125</v>
      </c>
      <c r="E128" s="759">
        <v>225600</v>
      </c>
      <c r="F128" s="759">
        <v>249009</v>
      </c>
      <c r="G128" s="759"/>
      <c r="H128" s="749">
        <f aca="true" t="shared" si="4" ref="H128:H136">F128+G128</f>
        <v>249009</v>
      </c>
    </row>
    <row r="129" spans="1:8" ht="12.75">
      <c r="A129" s="113"/>
      <c r="B129" s="109"/>
      <c r="C129" s="109">
        <v>4210</v>
      </c>
      <c r="D129" s="125" t="s">
        <v>85</v>
      </c>
      <c r="E129" s="759">
        <v>6000</v>
      </c>
      <c r="F129" s="759">
        <v>2900</v>
      </c>
      <c r="G129" s="759"/>
      <c r="H129" s="749">
        <f t="shared" si="4"/>
        <v>2900</v>
      </c>
    </row>
    <row r="130" spans="1:8" ht="12.75">
      <c r="A130" s="113"/>
      <c r="B130" s="109"/>
      <c r="C130" s="109">
        <v>4300</v>
      </c>
      <c r="D130" s="125" t="s">
        <v>74</v>
      </c>
      <c r="E130" s="759">
        <v>6000</v>
      </c>
      <c r="F130" s="759">
        <v>8500</v>
      </c>
      <c r="G130" s="759"/>
      <c r="H130" s="749">
        <f t="shared" si="4"/>
        <v>8500</v>
      </c>
    </row>
    <row r="131" spans="1:8" ht="12.75">
      <c r="A131" s="113"/>
      <c r="B131" s="109"/>
      <c r="C131" s="109">
        <v>4370</v>
      </c>
      <c r="D131" s="125" t="s">
        <v>91</v>
      </c>
      <c r="E131" s="759">
        <v>0</v>
      </c>
      <c r="F131" s="759">
        <v>2000</v>
      </c>
      <c r="G131" s="759"/>
      <c r="H131" s="749">
        <f t="shared" si="4"/>
        <v>2000</v>
      </c>
    </row>
    <row r="132" spans="1:8" ht="12.75">
      <c r="A132" s="113"/>
      <c r="B132" s="109"/>
      <c r="C132" s="109">
        <v>4410</v>
      </c>
      <c r="D132" s="125" t="s">
        <v>92</v>
      </c>
      <c r="E132" s="759">
        <v>700</v>
      </c>
      <c r="F132" s="759">
        <v>1600</v>
      </c>
      <c r="G132" s="759"/>
      <c r="H132" s="749">
        <f t="shared" si="4"/>
        <v>1600</v>
      </c>
    </row>
    <row r="133" spans="1:8" ht="12.75">
      <c r="A133" s="113"/>
      <c r="B133" s="109"/>
      <c r="C133" s="109">
        <v>4420</v>
      </c>
      <c r="D133" s="125" t="s">
        <v>126</v>
      </c>
      <c r="E133" s="759">
        <v>0</v>
      </c>
      <c r="F133" s="759">
        <v>1090</v>
      </c>
      <c r="G133" s="759"/>
      <c r="H133" s="749">
        <f t="shared" si="4"/>
        <v>1090</v>
      </c>
    </row>
    <row r="134" spans="1:8" ht="12.75">
      <c r="A134" s="113"/>
      <c r="B134" s="109"/>
      <c r="C134" s="109">
        <v>4430</v>
      </c>
      <c r="D134" s="125" t="s">
        <v>93</v>
      </c>
      <c r="E134" s="759"/>
      <c r="F134" s="759">
        <v>151</v>
      </c>
      <c r="G134" s="759"/>
      <c r="H134" s="749">
        <f t="shared" si="4"/>
        <v>151</v>
      </c>
    </row>
    <row r="135" spans="1:8" ht="12.75">
      <c r="A135" s="113"/>
      <c r="B135" s="109"/>
      <c r="C135" s="109">
        <v>4700</v>
      </c>
      <c r="D135" s="125" t="s">
        <v>113</v>
      </c>
      <c r="E135" s="759"/>
      <c r="F135" s="759">
        <v>500</v>
      </c>
      <c r="G135" s="759"/>
      <c r="H135" s="749">
        <f t="shared" si="4"/>
        <v>500</v>
      </c>
    </row>
    <row r="136" spans="1:8" ht="12.75">
      <c r="A136" s="113"/>
      <c r="B136" s="109"/>
      <c r="C136" s="109">
        <v>4740</v>
      </c>
      <c r="D136" s="125" t="s">
        <v>122</v>
      </c>
      <c r="E136" s="759"/>
      <c r="F136" s="759">
        <v>100</v>
      </c>
      <c r="G136" s="759"/>
      <c r="H136" s="749">
        <f t="shared" si="4"/>
        <v>100</v>
      </c>
    </row>
    <row r="137" spans="1:8" ht="12.75">
      <c r="A137" s="113"/>
      <c r="B137" s="109"/>
      <c r="C137" s="109"/>
      <c r="D137" s="125"/>
      <c r="E137" s="759"/>
      <c r="F137" s="759"/>
      <c r="G137" s="759"/>
      <c r="H137" s="749"/>
    </row>
    <row r="138" spans="1:8" ht="12.75">
      <c r="A138" s="113"/>
      <c r="B138" s="80">
        <v>75020</v>
      </c>
      <c r="C138" s="80"/>
      <c r="D138" s="130" t="s">
        <v>127</v>
      </c>
      <c r="E138" s="758">
        <f>SUM(E139:E162)</f>
        <v>3552571</v>
      </c>
      <c r="F138" s="758">
        <f>SUM(F139:F163)</f>
        <v>4364543</v>
      </c>
      <c r="G138" s="758">
        <f>SUM(G139:G163)</f>
        <v>0</v>
      </c>
      <c r="H138" s="748">
        <f>SUM(H139:H163)</f>
        <v>4364543</v>
      </c>
    </row>
    <row r="139" spans="1:8" ht="12.75">
      <c r="A139" s="113"/>
      <c r="B139" s="109"/>
      <c r="C139" s="109">
        <v>3020</v>
      </c>
      <c r="D139" s="125" t="s">
        <v>79</v>
      </c>
      <c r="E139" s="759">
        <v>3274</v>
      </c>
      <c r="F139" s="759">
        <v>3875</v>
      </c>
      <c r="G139" s="759"/>
      <c r="H139" s="749">
        <f>F139+G139</f>
        <v>3875</v>
      </c>
    </row>
    <row r="140" spans="1:10" ht="12.75">
      <c r="A140" s="113"/>
      <c r="B140" s="763"/>
      <c r="C140" s="109">
        <v>4010</v>
      </c>
      <c r="D140" s="125" t="s">
        <v>80</v>
      </c>
      <c r="E140" s="759">
        <v>1848949</v>
      </c>
      <c r="F140" s="759">
        <v>1969425</v>
      </c>
      <c r="G140" s="759">
        <v>-45000</v>
      </c>
      <c r="H140" s="749">
        <f aca="true" t="shared" si="5" ref="H140:H162">F140+G140</f>
        <v>1924425</v>
      </c>
      <c r="J140" s="91">
        <f>SUM(H140:H144)</f>
        <v>2445275</v>
      </c>
    </row>
    <row r="141" spans="1:8" ht="12.75">
      <c r="A141" s="113"/>
      <c r="B141" s="763"/>
      <c r="C141" s="109">
        <v>4040</v>
      </c>
      <c r="D141" s="125" t="s">
        <v>81</v>
      </c>
      <c r="E141" s="759">
        <v>147416</v>
      </c>
      <c r="F141" s="759">
        <v>136391</v>
      </c>
      <c r="G141" s="759"/>
      <c r="H141" s="749">
        <f t="shared" si="5"/>
        <v>136391</v>
      </c>
    </row>
    <row r="142" spans="1:10" ht="12.75">
      <c r="A142" s="113"/>
      <c r="B142" s="109"/>
      <c r="C142" s="109">
        <v>4110</v>
      </c>
      <c r="D142" s="125" t="s">
        <v>82</v>
      </c>
      <c r="E142" s="759">
        <v>314600</v>
      </c>
      <c r="F142" s="759">
        <f>334470+16027</f>
        <v>350497</v>
      </c>
      <c r="G142" s="759">
        <v>-24670</v>
      </c>
      <c r="H142" s="749">
        <f t="shared" si="5"/>
        <v>325827</v>
      </c>
      <c r="J142" s="91">
        <f>SUM(F140:F144)</f>
        <v>2556050</v>
      </c>
    </row>
    <row r="143" spans="1:8" ht="12.75">
      <c r="A143" s="113"/>
      <c r="B143" s="109"/>
      <c r="C143" s="109">
        <v>4120</v>
      </c>
      <c r="D143" s="125" t="s">
        <v>83</v>
      </c>
      <c r="E143" s="759">
        <v>44744</v>
      </c>
      <c r="F143" s="759">
        <f>47560+1165</f>
        <v>48725</v>
      </c>
      <c r="G143" s="759">
        <v>-293</v>
      </c>
      <c r="H143" s="749">
        <f t="shared" si="5"/>
        <v>48432</v>
      </c>
    </row>
    <row r="144" spans="1:8" ht="12.75">
      <c r="A144" s="113"/>
      <c r="B144" s="109"/>
      <c r="C144" s="109">
        <v>4170</v>
      </c>
      <c r="D144" s="125" t="s">
        <v>84</v>
      </c>
      <c r="E144" s="759">
        <v>43620</v>
      </c>
      <c r="F144" s="759">
        <v>51012</v>
      </c>
      <c r="G144" s="759">
        <v>-40812</v>
      </c>
      <c r="H144" s="749">
        <f t="shared" si="5"/>
        <v>10200</v>
      </c>
    </row>
    <row r="145" spans="1:8" ht="12.75">
      <c r="A145" s="113"/>
      <c r="B145" s="109"/>
      <c r="C145" s="109">
        <v>4210</v>
      </c>
      <c r="D145" s="125" t="s">
        <v>85</v>
      </c>
      <c r="E145" s="759">
        <v>158450</v>
      </c>
      <c r="F145" s="759">
        <v>180933</v>
      </c>
      <c r="G145" s="759">
        <v>98640</v>
      </c>
      <c r="H145" s="749">
        <f t="shared" si="5"/>
        <v>279573</v>
      </c>
    </row>
    <row r="146" spans="1:8" ht="12.75">
      <c r="A146" s="113"/>
      <c r="B146" s="109"/>
      <c r="C146" s="109">
        <v>4260</v>
      </c>
      <c r="D146" s="125" t="s">
        <v>86</v>
      </c>
      <c r="E146" s="759">
        <v>57507</v>
      </c>
      <c r="F146" s="759">
        <v>66197</v>
      </c>
      <c r="G146" s="759">
        <v>-16197</v>
      </c>
      <c r="H146" s="749">
        <f t="shared" si="5"/>
        <v>50000</v>
      </c>
    </row>
    <row r="147" spans="1:8" ht="12.75">
      <c r="A147" s="113"/>
      <c r="B147" s="109"/>
      <c r="C147" s="109">
        <v>4270</v>
      </c>
      <c r="D147" s="125" t="s">
        <v>87</v>
      </c>
      <c r="E147" s="759">
        <v>34643</v>
      </c>
      <c r="F147" s="759">
        <v>13700</v>
      </c>
      <c r="G147" s="759">
        <v>-6200</v>
      </c>
      <c r="H147" s="749">
        <f t="shared" si="5"/>
        <v>7500</v>
      </c>
    </row>
    <row r="148" spans="1:8" ht="12.75">
      <c r="A148" s="113"/>
      <c r="B148" s="109"/>
      <c r="C148" s="109">
        <v>4280</v>
      </c>
      <c r="D148" s="125" t="s">
        <v>88</v>
      </c>
      <c r="E148" s="759">
        <v>3696</v>
      </c>
      <c r="F148" s="759">
        <v>3700</v>
      </c>
      <c r="G148" s="759">
        <v>-2200</v>
      </c>
      <c r="H148" s="749">
        <f t="shared" si="5"/>
        <v>1500</v>
      </c>
    </row>
    <row r="149" spans="1:8" ht="12.75">
      <c r="A149" s="113"/>
      <c r="B149" s="109"/>
      <c r="C149" s="109">
        <v>4300</v>
      </c>
      <c r="D149" s="125" t="s">
        <v>74</v>
      </c>
      <c r="E149" s="759">
        <v>665777</v>
      </c>
      <c r="F149" s="759">
        <v>608667</v>
      </c>
      <c r="G149" s="759">
        <v>40000</v>
      </c>
      <c r="H149" s="749">
        <f t="shared" si="5"/>
        <v>648667</v>
      </c>
    </row>
    <row r="150" spans="1:8" ht="12.75">
      <c r="A150" s="113"/>
      <c r="B150" s="109"/>
      <c r="C150" s="109">
        <v>4350</v>
      </c>
      <c r="D150" s="125" t="s">
        <v>128</v>
      </c>
      <c r="E150" s="759">
        <v>9029</v>
      </c>
      <c r="F150" s="759">
        <v>6040</v>
      </c>
      <c r="G150" s="759"/>
      <c r="H150" s="749">
        <f t="shared" si="5"/>
        <v>6040</v>
      </c>
    </row>
    <row r="151" spans="1:8" ht="12.75">
      <c r="A151" s="113"/>
      <c r="B151" s="109"/>
      <c r="C151" s="109">
        <v>4360</v>
      </c>
      <c r="D151" s="125" t="s">
        <v>90</v>
      </c>
      <c r="E151" s="759">
        <v>0</v>
      </c>
      <c r="F151" s="759">
        <v>7780</v>
      </c>
      <c r="G151" s="759">
        <v>4</v>
      </c>
      <c r="H151" s="749">
        <f>F151+G151</f>
        <v>7784</v>
      </c>
    </row>
    <row r="152" spans="1:8" ht="12.75">
      <c r="A152" s="113"/>
      <c r="B152" s="109"/>
      <c r="C152" s="109">
        <v>4370</v>
      </c>
      <c r="D152" s="125" t="s">
        <v>91</v>
      </c>
      <c r="E152" s="759">
        <v>0</v>
      </c>
      <c r="F152" s="759">
        <v>37528</v>
      </c>
      <c r="G152" s="759">
        <v>-4900</v>
      </c>
      <c r="H152" s="749">
        <f t="shared" si="5"/>
        <v>32628</v>
      </c>
    </row>
    <row r="153" spans="1:8" ht="12.75">
      <c r="A153" s="113"/>
      <c r="B153" s="109"/>
      <c r="C153" s="109">
        <v>4410</v>
      </c>
      <c r="D153" s="125" t="s">
        <v>92</v>
      </c>
      <c r="E153" s="759">
        <v>15000</v>
      </c>
      <c r="F153" s="759">
        <v>15672</v>
      </c>
      <c r="G153" s="759">
        <v>2000</v>
      </c>
      <c r="H153" s="749">
        <f t="shared" si="5"/>
        <v>17672</v>
      </c>
    </row>
    <row r="154" spans="1:8" ht="12.75">
      <c r="A154" s="113"/>
      <c r="B154" s="109"/>
      <c r="C154" s="109">
        <v>4420</v>
      </c>
      <c r="D154" s="125" t="s">
        <v>126</v>
      </c>
      <c r="E154" s="759">
        <v>750</v>
      </c>
      <c r="F154" s="759">
        <v>2304</v>
      </c>
      <c r="G154" s="759">
        <v>239</v>
      </c>
      <c r="H154" s="749">
        <f t="shared" si="5"/>
        <v>2543</v>
      </c>
    </row>
    <row r="155" spans="1:8" ht="12.75">
      <c r="A155" s="113"/>
      <c r="B155" s="109"/>
      <c r="C155" s="109">
        <v>4430</v>
      </c>
      <c r="D155" s="125" t="s">
        <v>93</v>
      </c>
      <c r="E155" s="759">
        <v>5251</v>
      </c>
      <c r="F155" s="759">
        <v>6440</v>
      </c>
      <c r="G155" s="759">
        <v>389</v>
      </c>
      <c r="H155" s="749">
        <f t="shared" si="5"/>
        <v>6829</v>
      </c>
    </row>
    <row r="156" spans="1:8" ht="12.75">
      <c r="A156" s="113"/>
      <c r="B156" s="109"/>
      <c r="C156" s="109">
        <v>4440</v>
      </c>
      <c r="D156" s="125" t="s">
        <v>94</v>
      </c>
      <c r="E156" s="759">
        <v>54150</v>
      </c>
      <c r="F156" s="759">
        <v>56223</v>
      </c>
      <c r="G156" s="759"/>
      <c r="H156" s="749">
        <f t="shared" si="5"/>
        <v>56223</v>
      </c>
    </row>
    <row r="157" spans="1:8" ht="12.75">
      <c r="A157" s="113"/>
      <c r="B157" s="109"/>
      <c r="C157" s="109">
        <v>4530</v>
      </c>
      <c r="D157" s="125" t="s">
        <v>99</v>
      </c>
      <c r="E157" s="759">
        <v>1250</v>
      </c>
      <c r="F157" s="759">
        <v>26345</v>
      </c>
      <c r="G157" s="759"/>
      <c r="H157" s="749">
        <f t="shared" si="5"/>
        <v>26345</v>
      </c>
    </row>
    <row r="158" spans="1:8" ht="12.75">
      <c r="A158" s="113"/>
      <c r="B158" s="109"/>
      <c r="C158" s="109">
        <v>4700</v>
      </c>
      <c r="D158" s="125" t="s">
        <v>113</v>
      </c>
      <c r="E158" s="759">
        <v>0</v>
      </c>
      <c r="F158" s="759">
        <v>8000</v>
      </c>
      <c r="G158" s="759">
        <v>-1500</v>
      </c>
      <c r="H158" s="749">
        <f t="shared" si="5"/>
        <v>6500</v>
      </c>
    </row>
    <row r="159" spans="1:8" ht="12.75">
      <c r="A159" s="113"/>
      <c r="B159" s="109"/>
      <c r="C159" s="109">
        <v>4740</v>
      </c>
      <c r="D159" s="125" t="s">
        <v>122</v>
      </c>
      <c r="E159" s="759">
        <v>0</v>
      </c>
      <c r="F159" s="759">
        <v>6000</v>
      </c>
      <c r="G159" s="759">
        <v>-1500</v>
      </c>
      <c r="H159" s="749">
        <f t="shared" si="5"/>
        <v>4500</v>
      </c>
    </row>
    <row r="160" spans="1:8" ht="12.75">
      <c r="A160" s="113"/>
      <c r="B160" s="109"/>
      <c r="C160" s="109">
        <v>4750</v>
      </c>
      <c r="D160" s="125" t="s">
        <v>123</v>
      </c>
      <c r="E160" s="759">
        <v>0</v>
      </c>
      <c r="F160" s="759">
        <v>24839</v>
      </c>
      <c r="G160" s="759">
        <v>2000</v>
      </c>
      <c r="H160" s="749">
        <f t="shared" si="5"/>
        <v>26839</v>
      </c>
    </row>
    <row r="161" spans="1:8" ht="12.75">
      <c r="A161" s="113"/>
      <c r="B161" s="109"/>
      <c r="C161" s="109">
        <v>6050</v>
      </c>
      <c r="D161" s="125" t="s">
        <v>101</v>
      </c>
      <c r="E161" s="759">
        <v>74465</v>
      </c>
      <c r="F161" s="759">
        <v>520000</v>
      </c>
      <c r="G161" s="759"/>
      <c r="H161" s="749">
        <f t="shared" si="5"/>
        <v>520000</v>
      </c>
    </row>
    <row r="162" spans="1:8" ht="12.75">
      <c r="A162" s="113"/>
      <c r="B162" s="109"/>
      <c r="C162" s="109">
        <v>6060</v>
      </c>
      <c r="D162" s="125" t="s">
        <v>130</v>
      </c>
      <c r="E162" s="759">
        <v>70000</v>
      </c>
      <c r="F162" s="759">
        <v>144250</v>
      </c>
      <c r="G162" s="759"/>
      <c r="H162" s="749">
        <f t="shared" si="5"/>
        <v>144250</v>
      </c>
    </row>
    <row r="163" spans="1:8" ht="12.75">
      <c r="A163" s="113"/>
      <c r="B163" s="109"/>
      <c r="C163" s="109">
        <v>6630</v>
      </c>
      <c r="D163" s="125" t="s">
        <v>750</v>
      </c>
      <c r="E163" s="759"/>
      <c r="F163" s="759">
        <v>70000</v>
      </c>
      <c r="G163" s="759"/>
      <c r="H163" s="749">
        <f>F163+G163</f>
        <v>70000</v>
      </c>
    </row>
    <row r="164" spans="1:8" ht="12.75">
      <c r="A164" s="113"/>
      <c r="B164" s="109"/>
      <c r="C164" s="109"/>
      <c r="D164" s="125" t="s">
        <v>751</v>
      </c>
      <c r="E164" s="759"/>
      <c r="F164" s="759"/>
      <c r="G164" s="759"/>
      <c r="H164" s="749"/>
    </row>
    <row r="165" spans="1:8" ht="12.75">
      <c r="A165" s="113"/>
      <c r="B165" s="109"/>
      <c r="C165" s="109"/>
      <c r="D165" s="125"/>
      <c r="E165" s="759"/>
      <c r="F165" s="759"/>
      <c r="G165" s="759"/>
      <c r="H165" s="749"/>
    </row>
    <row r="166" spans="1:8" ht="12.75">
      <c r="A166" s="113"/>
      <c r="B166" s="80">
        <v>75045</v>
      </c>
      <c r="C166" s="80"/>
      <c r="D166" s="130" t="s">
        <v>131</v>
      </c>
      <c r="E166" s="758">
        <f>SUM(E167:E177)</f>
        <v>15999</v>
      </c>
      <c r="F166" s="758">
        <f>SUM(F167:F177)</f>
        <v>16978</v>
      </c>
      <c r="G166" s="758">
        <f>SUM(G167:G177)</f>
        <v>0</v>
      </c>
      <c r="H166" s="748">
        <f>SUM(H167:H177)</f>
        <v>16978</v>
      </c>
    </row>
    <row r="167" spans="1:8" ht="12.75">
      <c r="A167" s="113"/>
      <c r="B167" s="109"/>
      <c r="C167" s="109">
        <v>3030</v>
      </c>
      <c r="D167" s="125" t="s">
        <v>125</v>
      </c>
      <c r="E167" s="759">
        <v>1330</v>
      </c>
      <c r="F167" s="759">
        <v>1330</v>
      </c>
      <c r="G167" s="759"/>
      <c r="H167" s="749">
        <f>F167+G167</f>
        <v>1330</v>
      </c>
    </row>
    <row r="168" spans="1:10" ht="12.75">
      <c r="A168" s="113"/>
      <c r="B168" s="109"/>
      <c r="C168" s="109">
        <v>4110</v>
      </c>
      <c r="D168" s="125" t="s">
        <v>82</v>
      </c>
      <c r="E168" s="759">
        <v>885</v>
      </c>
      <c r="F168" s="759">
        <v>1123</v>
      </c>
      <c r="G168" s="759"/>
      <c r="H168" s="749">
        <f aca="true" t="shared" si="6" ref="H168:H177">F168+G168</f>
        <v>1123</v>
      </c>
      <c r="J168" s="91">
        <f>SUM(H168:H170)</f>
        <v>8082</v>
      </c>
    </row>
    <row r="169" spans="1:8" ht="12.75">
      <c r="A169" s="113"/>
      <c r="B169" s="109"/>
      <c r="C169" s="109">
        <v>4120</v>
      </c>
      <c r="D169" s="125" t="s">
        <v>83</v>
      </c>
      <c r="E169" s="759">
        <v>126</v>
      </c>
      <c r="F169" s="759">
        <v>159</v>
      </c>
      <c r="G169" s="759"/>
      <c r="H169" s="749">
        <f t="shared" si="6"/>
        <v>159</v>
      </c>
    </row>
    <row r="170" spans="1:8" ht="12.75">
      <c r="A170" s="113"/>
      <c r="B170" s="109"/>
      <c r="C170" s="109">
        <v>4170</v>
      </c>
      <c r="D170" s="125" t="s">
        <v>84</v>
      </c>
      <c r="E170" s="759">
        <v>6800</v>
      </c>
      <c r="F170" s="759">
        <v>6800</v>
      </c>
      <c r="G170" s="759"/>
      <c r="H170" s="749">
        <f t="shared" si="6"/>
        <v>6800</v>
      </c>
    </row>
    <row r="171" spans="1:8" ht="12.75">
      <c r="A171" s="113"/>
      <c r="B171" s="109"/>
      <c r="C171" s="109">
        <v>4210</v>
      </c>
      <c r="D171" s="125" t="s">
        <v>85</v>
      </c>
      <c r="E171" s="759">
        <v>4340</v>
      </c>
      <c r="F171" s="759">
        <v>635</v>
      </c>
      <c r="G171" s="759"/>
      <c r="H171" s="749">
        <f t="shared" si="6"/>
        <v>635</v>
      </c>
    </row>
    <row r="172" spans="1:8" ht="12.75">
      <c r="A172" s="113"/>
      <c r="B172" s="109"/>
      <c r="C172" s="109">
        <v>4300</v>
      </c>
      <c r="D172" s="125" t="s">
        <v>74</v>
      </c>
      <c r="E172" s="759">
        <v>2518</v>
      </c>
      <c r="F172" s="759">
        <v>407</v>
      </c>
      <c r="G172" s="759"/>
      <c r="H172" s="749">
        <f t="shared" si="6"/>
        <v>407</v>
      </c>
    </row>
    <row r="173" spans="1:8" ht="12.75">
      <c r="A173" s="113"/>
      <c r="B173" s="109"/>
      <c r="C173" s="109">
        <v>4370</v>
      </c>
      <c r="D173" s="125" t="s">
        <v>91</v>
      </c>
      <c r="E173" s="759">
        <v>0</v>
      </c>
      <c r="F173" s="759">
        <v>49</v>
      </c>
      <c r="G173" s="759"/>
      <c r="H173" s="749">
        <f t="shared" si="6"/>
        <v>49</v>
      </c>
    </row>
    <row r="174" spans="1:8" ht="12.75">
      <c r="A174" s="113"/>
      <c r="B174" s="109"/>
      <c r="C174" s="109">
        <v>4400</v>
      </c>
      <c r="D174" s="125" t="s">
        <v>748</v>
      </c>
      <c r="E174" s="759"/>
      <c r="F174" s="759">
        <v>2200</v>
      </c>
      <c r="G174" s="759"/>
      <c r="H174" s="749">
        <f t="shared" si="6"/>
        <v>2200</v>
      </c>
    </row>
    <row r="175" spans="1:8" ht="12.75">
      <c r="A175" s="113"/>
      <c r="B175" s="109"/>
      <c r="C175" s="109">
        <v>4410</v>
      </c>
      <c r="D175" s="125" t="s">
        <v>92</v>
      </c>
      <c r="E175" s="759">
        <v>0</v>
      </c>
      <c r="F175" s="759">
        <v>0</v>
      </c>
      <c r="G175" s="759"/>
      <c r="H175" s="749">
        <f t="shared" si="6"/>
        <v>0</v>
      </c>
    </row>
    <row r="176" spans="1:8" ht="12.75">
      <c r="A176" s="113"/>
      <c r="B176" s="109"/>
      <c r="C176" s="109">
        <v>4740</v>
      </c>
      <c r="D176" s="125" t="s">
        <v>122</v>
      </c>
      <c r="E176" s="759">
        <v>0</v>
      </c>
      <c r="F176" s="759">
        <v>120</v>
      </c>
      <c r="G176" s="759"/>
      <c r="H176" s="749">
        <f t="shared" si="6"/>
        <v>120</v>
      </c>
    </row>
    <row r="177" spans="1:8" ht="12.75">
      <c r="A177" s="113"/>
      <c r="B177" s="109"/>
      <c r="C177" s="109">
        <v>4750</v>
      </c>
      <c r="D177" s="125" t="s">
        <v>123</v>
      </c>
      <c r="E177" s="759">
        <v>0</v>
      </c>
      <c r="F177" s="759">
        <v>4155</v>
      </c>
      <c r="G177" s="759"/>
      <c r="H177" s="749">
        <f t="shared" si="6"/>
        <v>4155</v>
      </c>
    </row>
    <row r="178" spans="1:8" ht="12.75">
      <c r="A178" s="113"/>
      <c r="B178" s="109"/>
      <c r="C178" s="109"/>
      <c r="D178" s="125"/>
      <c r="E178" s="759"/>
      <c r="F178" s="759"/>
      <c r="G178" s="759"/>
      <c r="H178" s="749"/>
    </row>
    <row r="179" spans="1:8" ht="12.75">
      <c r="A179" s="113"/>
      <c r="B179" s="80">
        <v>75095</v>
      </c>
      <c r="C179" s="80"/>
      <c r="D179" s="130" t="s">
        <v>58</v>
      </c>
      <c r="E179" s="758">
        <f>SUM(E181:E183)</f>
        <v>9990</v>
      </c>
      <c r="F179" s="758">
        <f>SUM(F180:F183)</f>
        <v>37000</v>
      </c>
      <c r="G179" s="758">
        <f>SUM(G180:G183)</f>
        <v>-21082</v>
      </c>
      <c r="H179" s="748">
        <f>SUM(H180:H183)</f>
        <v>15918</v>
      </c>
    </row>
    <row r="180" spans="1:8" ht="12.75">
      <c r="A180" s="113"/>
      <c r="B180" s="109"/>
      <c r="C180" s="109">
        <v>4170</v>
      </c>
      <c r="D180" s="125" t="s">
        <v>84</v>
      </c>
      <c r="E180" s="759"/>
      <c r="F180" s="759">
        <v>18000</v>
      </c>
      <c r="G180" s="759">
        <v>-15482</v>
      </c>
      <c r="H180" s="749">
        <f>F180+G180</f>
        <v>2518</v>
      </c>
    </row>
    <row r="181" spans="1:8" ht="12.75">
      <c r="A181" s="113"/>
      <c r="B181" s="109"/>
      <c r="C181" s="140" t="s">
        <v>108</v>
      </c>
      <c r="D181" s="125" t="s">
        <v>85</v>
      </c>
      <c r="E181" s="759">
        <v>1940</v>
      </c>
      <c r="F181" s="759">
        <v>7000</v>
      </c>
      <c r="G181" s="759">
        <v>-4600</v>
      </c>
      <c r="H181" s="749">
        <f>F181+G181</f>
        <v>2400</v>
      </c>
    </row>
    <row r="182" spans="1:8" ht="12.75">
      <c r="A182" s="113"/>
      <c r="B182" s="109"/>
      <c r="C182" s="109">
        <v>4430</v>
      </c>
      <c r="D182" s="125" t="s">
        <v>93</v>
      </c>
      <c r="E182" s="759">
        <v>8050</v>
      </c>
      <c r="F182" s="759">
        <v>10000</v>
      </c>
      <c r="G182" s="759">
        <v>1000</v>
      </c>
      <c r="H182" s="749">
        <f>F182+G182</f>
        <v>11000</v>
      </c>
    </row>
    <row r="183" spans="1:8" ht="12.75">
      <c r="A183" s="113"/>
      <c r="B183" s="109"/>
      <c r="C183" s="109">
        <v>4750</v>
      </c>
      <c r="D183" s="125" t="s">
        <v>123</v>
      </c>
      <c r="E183" s="759">
        <v>0</v>
      </c>
      <c r="F183" s="759">
        <v>2000</v>
      </c>
      <c r="G183" s="759">
        <v>-2000</v>
      </c>
      <c r="H183" s="749">
        <f>F183+G183</f>
        <v>0</v>
      </c>
    </row>
    <row r="184" spans="1:8" ht="12.75">
      <c r="A184" s="113"/>
      <c r="B184" s="109"/>
      <c r="C184" s="109"/>
      <c r="D184" s="125"/>
      <c r="E184" s="759"/>
      <c r="F184" s="759"/>
      <c r="G184" s="759"/>
      <c r="H184" s="749"/>
    </row>
    <row r="185" spans="1:8" ht="13.5" thickBot="1">
      <c r="A185" s="79">
        <v>752</v>
      </c>
      <c r="B185" s="128"/>
      <c r="C185" s="128"/>
      <c r="D185" s="86" t="s">
        <v>726</v>
      </c>
      <c r="E185" s="103"/>
      <c r="F185" s="103">
        <f>F186</f>
        <v>1000</v>
      </c>
      <c r="G185" s="103">
        <f>G186</f>
        <v>0</v>
      </c>
      <c r="H185" s="145">
        <f>H186</f>
        <v>1000</v>
      </c>
    </row>
    <row r="186" spans="1:8" ht="12.75">
      <c r="A186" s="113"/>
      <c r="B186" s="120">
        <v>75212</v>
      </c>
      <c r="C186" s="120"/>
      <c r="D186" s="87" t="s">
        <v>727</v>
      </c>
      <c r="E186" s="764"/>
      <c r="F186" s="764">
        <f>SUM(F187:F189)</f>
        <v>1000</v>
      </c>
      <c r="G186" s="764">
        <f>SUM(G187:G189)</f>
        <v>0</v>
      </c>
      <c r="H186" s="750">
        <f>SUM(H187:H189)</f>
        <v>1000</v>
      </c>
    </row>
    <row r="187" spans="1:8" ht="12.75">
      <c r="A187" s="113"/>
      <c r="B187" s="109"/>
      <c r="C187" s="109">
        <v>4170</v>
      </c>
      <c r="D187" s="125" t="s">
        <v>84</v>
      </c>
      <c r="E187" s="759"/>
      <c r="F187" s="759">
        <v>200</v>
      </c>
      <c r="G187" s="759"/>
      <c r="H187" s="749">
        <f>F187+G187</f>
        <v>200</v>
      </c>
    </row>
    <row r="188" spans="1:8" ht="12.75">
      <c r="A188" s="113"/>
      <c r="B188" s="109"/>
      <c r="C188" s="109">
        <v>4210</v>
      </c>
      <c r="D188" s="125" t="s">
        <v>85</v>
      </c>
      <c r="E188" s="759"/>
      <c r="F188" s="759">
        <v>347</v>
      </c>
      <c r="G188" s="759"/>
      <c r="H188" s="749">
        <f>F188+G188</f>
        <v>347</v>
      </c>
    </row>
    <row r="189" spans="1:8" ht="12.75">
      <c r="A189" s="113"/>
      <c r="B189" s="109"/>
      <c r="C189" s="109">
        <v>4300</v>
      </c>
      <c r="D189" s="125" t="s">
        <v>74</v>
      </c>
      <c r="E189" s="759"/>
      <c r="F189" s="759">
        <v>453</v>
      </c>
      <c r="G189" s="759"/>
      <c r="H189" s="749">
        <f>F189+G189</f>
        <v>453</v>
      </c>
    </row>
    <row r="190" spans="1:8" ht="12.75">
      <c r="A190" s="113"/>
      <c r="B190" s="109"/>
      <c r="C190" s="109"/>
      <c r="D190" s="125"/>
      <c r="E190" s="759"/>
      <c r="F190" s="759"/>
      <c r="G190" s="759"/>
      <c r="H190" s="749"/>
    </row>
    <row r="191" spans="1:8" ht="12.75">
      <c r="A191" s="113"/>
      <c r="B191" s="109"/>
      <c r="C191" s="109"/>
      <c r="D191" s="125"/>
      <c r="E191" s="759"/>
      <c r="F191" s="759"/>
      <c r="G191" s="759"/>
      <c r="H191" s="749"/>
    </row>
    <row r="192" spans="1:8" ht="13.5" thickBot="1">
      <c r="A192" s="79">
        <v>754</v>
      </c>
      <c r="B192" s="128"/>
      <c r="C192" s="128"/>
      <c r="D192" s="86" t="s">
        <v>132</v>
      </c>
      <c r="E192" s="103">
        <f>E204+E193</f>
        <v>7300</v>
      </c>
      <c r="F192" s="103">
        <f>F204+F193+F198</f>
        <v>8300</v>
      </c>
      <c r="G192" s="103">
        <f>G204+G193+G198</f>
        <v>12800</v>
      </c>
      <c r="H192" s="145">
        <f>H204+H193+H198</f>
        <v>21100</v>
      </c>
    </row>
    <row r="193" spans="1:8" ht="12.75">
      <c r="A193" s="104"/>
      <c r="B193" s="120">
        <v>75414</v>
      </c>
      <c r="C193" s="120"/>
      <c r="D193" s="87" t="s">
        <v>133</v>
      </c>
      <c r="E193" s="764">
        <f>SUM(E195:E195)</f>
        <v>0</v>
      </c>
      <c r="F193" s="764">
        <f>SUM(F194:F196)</f>
        <v>2000</v>
      </c>
      <c r="G193" s="764">
        <f>SUM(G194:G196)</f>
        <v>0</v>
      </c>
      <c r="H193" s="764">
        <f>SUM(H194:H196)</f>
        <v>2000</v>
      </c>
    </row>
    <row r="194" spans="1:8" ht="12.75">
      <c r="A194" s="104"/>
      <c r="B194" s="109"/>
      <c r="C194" s="109">
        <v>4170</v>
      </c>
      <c r="D194" s="125" t="s">
        <v>84</v>
      </c>
      <c r="E194" s="759"/>
      <c r="F194" s="759">
        <v>300</v>
      </c>
      <c r="G194" s="759"/>
      <c r="H194" s="749">
        <f>F194+G194</f>
        <v>300</v>
      </c>
    </row>
    <row r="195" spans="1:8" ht="12.75">
      <c r="A195" s="104"/>
      <c r="B195" s="109"/>
      <c r="C195" s="109">
        <v>4210</v>
      </c>
      <c r="D195" s="125" t="s">
        <v>85</v>
      </c>
      <c r="E195" s="759">
        <v>0</v>
      </c>
      <c r="F195" s="759">
        <v>1000</v>
      </c>
      <c r="G195" s="759"/>
      <c r="H195" s="749">
        <f>F195+G195</f>
        <v>1000</v>
      </c>
    </row>
    <row r="196" spans="1:8" ht="12.75">
      <c r="A196" s="104"/>
      <c r="B196" s="109"/>
      <c r="C196" s="109">
        <v>4300</v>
      </c>
      <c r="D196" s="125" t="s">
        <v>74</v>
      </c>
      <c r="E196" s="759"/>
      <c r="F196" s="759">
        <v>700</v>
      </c>
      <c r="G196" s="759"/>
      <c r="H196" s="749">
        <f>F196+G196</f>
        <v>700</v>
      </c>
    </row>
    <row r="197" spans="1:8" ht="12.75">
      <c r="A197" s="104"/>
      <c r="B197" s="109"/>
      <c r="C197" s="109"/>
      <c r="D197" s="125"/>
      <c r="E197" s="759"/>
      <c r="F197" s="759"/>
      <c r="G197" s="759"/>
      <c r="H197" s="749"/>
    </row>
    <row r="198" spans="1:8" ht="12.75">
      <c r="A198" s="104"/>
      <c r="B198" s="80">
        <v>75421</v>
      </c>
      <c r="C198" s="80"/>
      <c r="D198" s="130" t="s">
        <v>795</v>
      </c>
      <c r="E198" s="758"/>
      <c r="F198" s="758">
        <f>SUM(F199:F202)</f>
        <v>0</v>
      </c>
      <c r="G198" s="758">
        <f>SUM(G199:G202)</f>
        <v>12800</v>
      </c>
      <c r="H198" s="748">
        <f>SUM(H199:H202)</f>
        <v>12800</v>
      </c>
    </row>
    <row r="199" spans="1:8" ht="12.75">
      <c r="A199" s="104"/>
      <c r="B199" s="109"/>
      <c r="C199" s="109">
        <v>4210</v>
      </c>
      <c r="D199" s="125" t="s">
        <v>85</v>
      </c>
      <c r="E199" s="759"/>
      <c r="F199" s="759">
        <v>0</v>
      </c>
      <c r="G199" s="759">
        <v>3500</v>
      </c>
      <c r="H199" s="749">
        <f>F199+G199</f>
        <v>3500</v>
      </c>
    </row>
    <row r="200" spans="1:8" ht="12.75">
      <c r="A200" s="104"/>
      <c r="B200" s="109"/>
      <c r="C200" s="109">
        <v>4230</v>
      </c>
      <c r="D200" s="125" t="s">
        <v>796</v>
      </c>
      <c r="E200" s="759"/>
      <c r="F200" s="759">
        <v>0</v>
      </c>
      <c r="G200" s="759">
        <v>1800</v>
      </c>
      <c r="H200" s="749">
        <f>F200+G200</f>
        <v>1800</v>
      </c>
    </row>
    <row r="201" spans="1:8" ht="12.75">
      <c r="A201" s="104"/>
      <c r="B201" s="109"/>
      <c r="C201" s="109">
        <v>4300</v>
      </c>
      <c r="D201" s="125" t="s">
        <v>74</v>
      </c>
      <c r="E201" s="759"/>
      <c r="F201" s="759">
        <v>0</v>
      </c>
      <c r="G201" s="759">
        <v>6900</v>
      </c>
      <c r="H201" s="749">
        <f>F201+G201</f>
        <v>6900</v>
      </c>
    </row>
    <row r="202" spans="1:8" ht="12.75">
      <c r="A202" s="104"/>
      <c r="B202" s="109"/>
      <c r="C202" s="109">
        <v>4410</v>
      </c>
      <c r="D202" s="125" t="s">
        <v>92</v>
      </c>
      <c r="E202" s="759"/>
      <c r="F202" s="759">
        <v>0</v>
      </c>
      <c r="G202" s="759">
        <v>600</v>
      </c>
      <c r="H202" s="749">
        <f>F202+G202</f>
        <v>600</v>
      </c>
    </row>
    <row r="203" spans="1:8" ht="12.75">
      <c r="A203" s="104"/>
      <c r="B203" s="109"/>
      <c r="C203" s="109"/>
      <c r="D203" s="125"/>
      <c r="E203" s="759"/>
      <c r="F203" s="759"/>
      <c r="G203" s="759"/>
      <c r="H203" s="749"/>
    </row>
    <row r="204" spans="1:8" ht="12.75">
      <c r="A204" s="113"/>
      <c r="B204" s="80">
        <v>75495</v>
      </c>
      <c r="C204" s="80"/>
      <c r="D204" s="130" t="s">
        <v>58</v>
      </c>
      <c r="E204" s="758">
        <f>SUM(E206:E208)</f>
        <v>7300</v>
      </c>
      <c r="F204" s="758">
        <f>SUM(F205:F208)</f>
        <v>6300</v>
      </c>
      <c r="G204" s="758">
        <f>SUM(G205:G208)</f>
        <v>0</v>
      </c>
      <c r="H204" s="748">
        <f>SUM(H205:H208)</f>
        <v>6300</v>
      </c>
    </row>
    <row r="205" spans="1:8" ht="12.75">
      <c r="A205" s="113"/>
      <c r="B205" s="109"/>
      <c r="C205" s="109">
        <v>4170</v>
      </c>
      <c r="D205" s="125" t="s">
        <v>84</v>
      </c>
      <c r="E205" s="759"/>
      <c r="F205" s="759">
        <v>152</v>
      </c>
      <c r="G205" s="759"/>
      <c r="H205" s="749">
        <f>F205+G205</f>
        <v>152</v>
      </c>
    </row>
    <row r="206" spans="1:8" ht="12.75">
      <c r="A206" s="113"/>
      <c r="B206" s="109"/>
      <c r="C206" s="109">
        <v>4210</v>
      </c>
      <c r="D206" s="125" t="s">
        <v>85</v>
      </c>
      <c r="E206" s="759">
        <v>5700</v>
      </c>
      <c r="F206" s="759">
        <v>4448</v>
      </c>
      <c r="G206" s="759"/>
      <c r="H206" s="749">
        <f>F206+G206</f>
        <v>4448</v>
      </c>
    </row>
    <row r="207" spans="1:8" ht="12.75">
      <c r="A207" s="113"/>
      <c r="B207" s="109"/>
      <c r="C207" s="109">
        <v>4300</v>
      </c>
      <c r="D207" s="125" t="s">
        <v>74</v>
      </c>
      <c r="E207" s="759">
        <v>1200</v>
      </c>
      <c r="F207" s="759">
        <v>1200</v>
      </c>
      <c r="G207" s="759"/>
      <c r="H207" s="749">
        <f>F207+G207</f>
        <v>1200</v>
      </c>
    </row>
    <row r="208" spans="1:8" ht="12.75">
      <c r="A208" s="113"/>
      <c r="B208" s="109"/>
      <c r="C208" s="109">
        <v>4410</v>
      </c>
      <c r="D208" s="125" t="s">
        <v>92</v>
      </c>
      <c r="E208" s="759">
        <v>400</v>
      </c>
      <c r="F208" s="759">
        <v>500</v>
      </c>
      <c r="G208" s="759"/>
      <c r="H208" s="749">
        <f>F208+G208</f>
        <v>500</v>
      </c>
    </row>
    <row r="209" spans="1:8" ht="12.75">
      <c r="A209" s="113"/>
      <c r="B209" s="109"/>
      <c r="C209" s="109"/>
      <c r="D209" s="125"/>
      <c r="E209" s="759"/>
      <c r="F209" s="759"/>
      <c r="G209" s="759"/>
      <c r="H209" s="749"/>
    </row>
    <row r="210" spans="1:8" ht="13.5" thickBot="1">
      <c r="A210" s="79">
        <v>757</v>
      </c>
      <c r="B210" s="128"/>
      <c r="C210" s="128"/>
      <c r="D210" s="86" t="s">
        <v>134</v>
      </c>
      <c r="E210" s="103" t="e">
        <f>E211+#REF!</f>
        <v>#REF!</v>
      </c>
      <c r="F210" s="103">
        <f>F211</f>
        <v>649097</v>
      </c>
      <c r="G210" s="103">
        <f>G211</f>
        <v>6100</v>
      </c>
      <c r="H210" s="145">
        <f>H211</f>
        <v>655197</v>
      </c>
    </row>
    <row r="211" spans="1:8" ht="12.75">
      <c r="A211" s="113"/>
      <c r="B211" s="80">
        <v>75702</v>
      </c>
      <c r="C211" s="80"/>
      <c r="D211" s="130" t="s">
        <v>135</v>
      </c>
      <c r="E211" s="758">
        <f>SUM(E214:E214)</f>
        <v>630000</v>
      </c>
      <c r="F211" s="758">
        <f>SUM(F212:F214)</f>
        <v>649097</v>
      </c>
      <c r="G211" s="758">
        <f>SUM(G212:G214)</f>
        <v>6100</v>
      </c>
      <c r="H211" s="748">
        <f>SUM(H212:H214)</f>
        <v>655197</v>
      </c>
    </row>
    <row r="212" spans="1:8" ht="12.75">
      <c r="A212" s="113"/>
      <c r="B212" s="109"/>
      <c r="C212" s="109">
        <v>4310</v>
      </c>
      <c r="D212" s="125" t="s">
        <v>775</v>
      </c>
      <c r="E212" s="759"/>
      <c r="F212" s="759">
        <v>5200</v>
      </c>
      <c r="G212" s="759"/>
      <c r="H212" s="749">
        <f>F212+G212</f>
        <v>5200</v>
      </c>
    </row>
    <row r="213" spans="1:8" ht="12.75">
      <c r="A213" s="113"/>
      <c r="B213" s="109"/>
      <c r="C213" s="109"/>
      <c r="D213" s="125" t="s">
        <v>776</v>
      </c>
      <c r="E213" s="759"/>
      <c r="F213" s="759"/>
      <c r="G213" s="759"/>
      <c r="H213" s="749"/>
    </row>
    <row r="214" spans="1:8" ht="12.75">
      <c r="A214" s="113"/>
      <c r="B214" s="109"/>
      <c r="C214" s="109">
        <v>8070</v>
      </c>
      <c r="D214" s="125" t="s">
        <v>136</v>
      </c>
      <c r="E214" s="759">
        <v>630000</v>
      </c>
      <c r="F214" s="759">
        <v>643897</v>
      </c>
      <c r="G214" s="759">
        <v>6100</v>
      </c>
      <c r="H214" s="749">
        <f>F214+G214</f>
        <v>649997</v>
      </c>
    </row>
    <row r="215" spans="1:8" ht="12.75">
      <c r="A215" s="113"/>
      <c r="B215" s="109"/>
      <c r="C215" s="109"/>
      <c r="D215" s="125"/>
      <c r="E215" s="759"/>
      <c r="F215" s="759"/>
      <c r="G215" s="759"/>
      <c r="H215" s="749"/>
    </row>
    <row r="216" spans="1:8" ht="13.5" thickBot="1">
      <c r="A216" s="79">
        <v>758</v>
      </c>
      <c r="B216" s="128"/>
      <c r="C216" s="128"/>
      <c r="D216" s="86" t="s">
        <v>137</v>
      </c>
      <c r="E216" s="103">
        <f aca="true" t="shared" si="7" ref="E216:H217">E217</f>
        <v>0</v>
      </c>
      <c r="F216" s="103">
        <f t="shared" si="7"/>
        <v>934393</v>
      </c>
      <c r="G216" s="103">
        <f t="shared" si="7"/>
        <v>-934393</v>
      </c>
      <c r="H216" s="145">
        <f t="shared" si="7"/>
        <v>0</v>
      </c>
    </row>
    <row r="217" spans="1:8" ht="12.75">
      <c r="A217" s="113"/>
      <c r="B217" s="80">
        <v>75818</v>
      </c>
      <c r="C217" s="80"/>
      <c r="D217" s="130" t="s">
        <v>138</v>
      </c>
      <c r="E217" s="758">
        <f t="shared" si="7"/>
        <v>0</v>
      </c>
      <c r="F217" s="758">
        <f t="shared" si="7"/>
        <v>934393</v>
      </c>
      <c r="G217" s="758">
        <f t="shared" si="7"/>
        <v>-934393</v>
      </c>
      <c r="H217" s="748">
        <f t="shared" si="7"/>
        <v>0</v>
      </c>
    </row>
    <row r="218" spans="1:8" ht="12.75">
      <c r="A218" s="113"/>
      <c r="B218" s="109"/>
      <c r="C218" s="109">
        <v>4810</v>
      </c>
      <c r="D218" s="125" t="s">
        <v>139</v>
      </c>
      <c r="E218" s="759">
        <v>0</v>
      </c>
      <c r="F218" s="759">
        <v>934393</v>
      </c>
      <c r="G218" s="759">
        <v>-934393</v>
      </c>
      <c r="H218" s="749">
        <f>F218+G218</f>
        <v>0</v>
      </c>
    </row>
    <row r="219" spans="1:8" ht="12.75">
      <c r="A219" s="113"/>
      <c r="B219" s="109"/>
      <c r="C219" s="109"/>
      <c r="D219" s="125"/>
      <c r="E219" s="759"/>
      <c r="F219" s="759"/>
      <c r="G219" s="759"/>
      <c r="H219" s="749"/>
    </row>
    <row r="220" spans="1:8" ht="13.5" thickBot="1">
      <c r="A220" s="79">
        <v>801</v>
      </c>
      <c r="B220" s="128"/>
      <c r="C220" s="128"/>
      <c r="D220" s="86" t="s">
        <v>140</v>
      </c>
      <c r="E220" s="103">
        <f>E221+E237+E254+E278+E306+E313+E326</f>
        <v>6876770</v>
      </c>
      <c r="F220" s="103">
        <f>F221+F237+F254+F278+F306+F313+F326</f>
        <v>7789954</v>
      </c>
      <c r="G220" s="103">
        <f>G221+G237+G254+G278+G306+G313+G326</f>
        <v>-116908</v>
      </c>
      <c r="H220" s="145">
        <f>H221+H237+H254+H278+H306+H313+H326</f>
        <v>7673046</v>
      </c>
    </row>
    <row r="221" spans="1:8" ht="12.75">
      <c r="A221" s="113"/>
      <c r="B221" s="80">
        <v>80101</v>
      </c>
      <c r="C221" s="80"/>
      <c r="D221" s="130" t="s">
        <v>141</v>
      </c>
      <c r="E221" s="758">
        <f>SUM(E222:E235)</f>
        <v>88232</v>
      </c>
      <c r="F221" s="758">
        <f>SUM(F222:F235)</f>
        <v>119664</v>
      </c>
      <c r="G221" s="758">
        <f>SUM(G222:G235)</f>
        <v>-25602</v>
      </c>
      <c r="H221" s="748">
        <f>SUM(H222:H235)</f>
        <v>94062</v>
      </c>
    </row>
    <row r="222" spans="1:8" ht="12.75">
      <c r="A222" s="113"/>
      <c r="B222" s="109"/>
      <c r="C222" s="109">
        <v>3020</v>
      </c>
      <c r="D222" s="125" t="s">
        <v>79</v>
      </c>
      <c r="E222" s="759">
        <v>4815</v>
      </c>
      <c r="F222" s="759">
        <v>4188</v>
      </c>
      <c r="G222" s="759">
        <v>91</v>
      </c>
      <c r="H222" s="749">
        <f>F222+G222</f>
        <v>4279</v>
      </c>
    </row>
    <row r="223" spans="1:10" ht="12.75">
      <c r="A223" s="113"/>
      <c r="B223" s="109"/>
      <c r="C223" s="109">
        <v>4010</v>
      </c>
      <c r="D223" s="125" t="s">
        <v>80</v>
      </c>
      <c r="E223" s="759">
        <v>53871</v>
      </c>
      <c r="F223" s="759">
        <v>49577</v>
      </c>
      <c r="G223" s="759">
        <v>-430</v>
      </c>
      <c r="H223" s="749">
        <f aca="true" t="shared" si="8" ref="H223:H235">F223+G223</f>
        <v>49147</v>
      </c>
      <c r="J223" s="91">
        <f>SUM(F223:F226)</f>
        <v>65377</v>
      </c>
    </row>
    <row r="224" spans="1:8" ht="12.75">
      <c r="A224" s="113"/>
      <c r="B224" s="109"/>
      <c r="C224" s="109">
        <v>4040</v>
      </c>
      <c r="D224" s="125" t="s">
        <v>81</v>
      </c>
      <c r="E224" s="759">
        <v>3779</v>
      </c>
      <c r="F224" s="759">
        <v>4477</v>
      </c>
      <c r="G224" s="759"/>
      <c r="H224" s="749">
        <f t="shared" si="8"/>
        <v>4477</v>
      </c>
    </row>
    <row r="225" spans="1:8" ht="12.75">
      <c r="A225" s="113"/>
      <c r="B225" s="109"/>
      <c r="C225" s="109">
        <v>4110</v>
      </c>
      <c r="D225" s="125" t="s">
        <v>82</v>
      </c>
      <c r="E225" s="759">
        <v>10339</v>
      </c>
      <c r="F225" s="759">
        <v>9948</v>
      </c>
      <c r="G225" s="759">
        <f>628+45</f>
        <v>673</v>
      </c>
      <c r="H225" s="749">
        <f t="shared" si="8"/>
        <v>10621</v>
      </c>
    </row>
    <row r="226" spans="1:8" ht="12.75">
      <c r="A226" s="113"/>
      <c r="B226" s="109"/>
      <c r="C226" s="109">
        <v>4120</v>
      </c>
      <c r="D226" s="125" t="s">
        <v>83</v>
      </c>
      <c r="E226" s="759">
        <v>1469</v>
      </c>
      <c r="F226" s="759">
        <v>1375</v>
      </c>
      <c r="G226" s="759">
        <v>24</v>
      </c>
      <c r="H226" s="749">
        <f t="shared" si="8"/>
        <v>1399</v>
      </c>
    </row>
    <row r="227" spans="1:8" ht="12.75">
      <c r="A227" s="113"/>
      <c r="B227" s="109"/>
      <c r="C227" s="109">
        <v>4210</v>
      </c>
      <c r="D227" s="125" t="s">
        <v>85</v>
      </c>
      <c r="E227" s="759">
        <v>4500</v>
      </c>
      <c r="F227" s="759">
        <v>37688</v>
      </c>
      <c r="G227" s="759">
        <f>-6581-42-17181</f>
        <v>-23804</v>
      </c>
      <c r="H227" s="749">
        <f t="shared" si="8"/>
        <v>13884</v>
      </c>
    </row>
    <row r="228" spans="1:8" ht="12.75">
      <c r="A228" s="113"/>
      <c r="B228" s="109"/>
      <c r="C228" s="109">
        <v>4240</v>
      </c>
      <c r="D228" s="125" t="s">
        <v>142</v>
      </c>
      <c r="E228" s="759">
        <v>500</v>
      </c>
      <c r="F228" s="759">
        <v>1622</v>
      </c>
      <c r="G228" s="759">
        <v>1500</v>
      </c>
      <c r="H228" s="749">
        <f t="shared" si="8"/>
        <v>3122</v>
      </c>
    </row>
    <row r="229" spans="1:8" ht="12.75">
      <c r="A229" s="113"/>
      <c r="B229" s="109"/>
      <c r="C229" s="109">
        <v>4260</v>
      </c>
      <c r="D229" s="125" t="s">
        <v>86</v>
      </c>
      <c r="E229" s="759">
        <v>2420</v>
      </c>
      <c r="F229" s="759">
        <v>3970</v>
      </c>
      <c r="G229" s="759">
        <v>-2000</v>
      </c>
      <c r="H229" s="749">
        <f t="shared" si="8"/>
        <v>1970</v>
      </c>
    </row>
    <row r="230" spans="1:8" ht="12.75">
      <c r="A230" s="113"/>
      <c r="B230" s="109"/>
      <c r="C230" s="109">
        <v>4270</v>
      </c>
      <c r="D230" s="125" t="s">
        <v>87</v>
      </c>
      <c r="E230" s="759">
        <v>500</v>
      </c>
      <c r="F230" s="759">
        <v>1500</v>
      </c>
      <c r="G230" s="759">
        <v>-1500</v>
      </c>
      <c r="H230" s="749">
        <f t="shared" si="8"/>
        <v>0</v>
      </c>
    </row>
    <row r="231" spans="1:8" ht="12.75">
      <c r="A231" s="113"/>
      <c r="B231" s="109"/>
      <c r="C231" s="109">
        <v>4280</v>
      </c>
      <c r="D231" s="125" t="s">
        <v>88</v>
      </c>
      <c r="E231" s="759"/>
      <c r="F231" s="759">
        <v>0</v>
      </c>
      <c r="G231" s="759">
        <v>135</v>
      </c>
      <c r="H231" s="749">
        <f t="shared" si="8"/>
        <v>135</v>
      </c>
    </row>
    <row r="232" spans="1:8" ht="12.75">
      <c r="A232" s="113"/>
      <c r="B232" s="109"/>
      <c r="C232" s="109">
        <v>4300</v>
      </c>
      <c r="D232" s="125" t="s">
        <v>74</v>
      </c>
      <c r="E232" s="759">
        <v>1447</v>
      </c>
      <c r="F232" s="759">
        <v>1000</v>
      </c>
      <c r="G232" s="759">
        <f>-79-135</f>
        <v>-214</v>
      </c>
      <c r="H232" s="749">
        <f t="shared" si="8"/>
        <v>786</v>
      </c>
    </row>
    <row r="233" spans="1:8" ht="12.75">
      <c r="A233" s="113"/>
      <c r="B233" s="109"/>
      <c r="C233" s="109">
        <v>4410</v>
      </c>
      <c r="D233" s="125" t="s">
        <v>92</v>
      </c>
      <c r="E233" s="759">
        <v>700</v>
      </c>
      <c r="F233" s="759">
        <v>100</v>
      </c>
      <c r="G233" s="759">
        <v>-77</v>
      </c>
      <c r="H233" s="749">
        <f t="shared" si="8"/>
        <v>23</v>
      </c>
    </row>
    <row r="234" spans="1:8" ht="12.75">
      <c r="A234" s="113"/>
      <c r="B234" s="109"/>
      <c r="C234" s="109">
        <v>4420</v>
      </c>
      <c r="D234" s="125" t="s">
        <v>126</v>
      </c>
      <c r="E234" s="759"/>
      <c r="F234" s="759">
        <v>269</v>
      </c>
      <c r="G234" s="759"/>
      <c r="H234" s="749">
        <f t="shared" si="8"/>
        <v>269</v>
      </c>
    </row>
    <row r="235" spans="1:8" ht="12.75">
      <c r="A235" s="113"/>
      <c r="B235" s="109"/>
      <c r="C235" s="109">
        <v>4440</v>
      </c>
      <c r="D235" s="125" t="s">
        <v>94</v>
      </c>
      <c r="E235" s="759">
        <v>3892</v>
      </c>
      <c r="F235" s="759">
        <v>3950</v>
      </c>
      <c r="G235" s="759"/>
      <c r="H235" s="749">
        <f t="shared" si="8"/>
        <v>3950</v>
      </c>
    </row>
    <row r="236" spans="1:8" ht="12.75">
      <c r="A236" s="113"/>
      <c r="B236" s="109"/>
      <c r="C236" s="109"/>
      <c r="D236" s="125"/>
      <c r="E236" s="759"/>
      <c r="F236" s="759"/>
      <c r="G236" s="759"/>
      <c r="H236" s="749"/>
    </row>
    <row r="237" spans="1:8" ht="12.75">
      <c r="A237" s="122"/>
      <c r="B237" s="80">
        <v>80110</v>
      </c>
      <c r="C237" s="80"/>
      <c r="D237" s="130" t="s">
        <v>143</v>
      </c>
      <c r="E237" s="758">
        <f>SUM(E238:E252)</f>
        <v>373330</v>
      </c>
      <c r="F237" s="758">
        <f>SUM(F238:F252)</f>
        <v>642264</v>
      </c>
      <c r="G237" s="758">
        <f>SUM(G238:G252)</f>
        <v>-50994</v>
      </c>
      <c r="H237" s="748">
        <f>SUM(H238:H252)</f>
        <v>591270</v>
      </c>
    </row>
    <row r="238" spans="1:8" ht="12.75">
      <c r="A238" s="122"/>
      <c r="B238" s="109"/>
      <c r="C238" s="109">
        <v>3020</v>
      </c>
      <c r="D238" s="125" t="s">
        <v>79</v>
      </c>
      <c r="E238" s="759">
        <v>13293</v>
      </c>
      <c r="F238" s="759">
        <v>14614</v>
      </c>
      <c r="G238" s="759">
        <v>23</v>
      </c>
      <c r="H238" s="749">
        <f>F238+G238</f>
        <v>14637</v>
      </c>
    </row>
    <row r="239" spans="1:10" ht="12.75">
      <c r="A239" s="122"/>
      <c r="B239" s="109"/>
      <c r="C239" s="109">
        <v>4010</v>
      </c>
      <c r="D239" s="125" t="s">
        <v>80</v>
      </c>
      <c r="E239" s="759">
        <v>231232</v>
      </c>
      <c r="F239" s="759">
        <v>248626</v>
      </c>
      <c r="G239" s="759">
        <f>629+7514</f>
        <v>8143</v>
      </c>
      <c r="H239" s="749">
        <f aca="true" t="shared" si="9" ref="H239:H251">F239+G239</f>
        <v>256769</v>
      </c>
      <c r="J239" s="91">
        <f>SUM(F239:F242)</f>
        <v>325005</v>
      </c>
    </row>
    <row r="240" spans="1:8" ht="12.75">
      <c r="A240" s="122"/>
      <c r="B240" s="109"/>
      <c r="C240" s="109">
        <v>4040</v>
      </c>
      <c r="D240" s="125" t="s">
        <v>81</v>
      </c>
      <c r="E240" s="759">
        <v>15237</v>
      </c>
      <c r="F240" s="759">
        <v>19294</v>
      </c>
      <c r="G240" s="759"/>
      <c r="H240" s="749">
        <f t="shared" si="9"/>
        <v>19294</v>
      </c>
    </row>
    <row r="241" spans="1:8" ht="12.75">
      <c r="A241" s="122"/>
      <c r="B241" s="109"/>
      <c r="C241" s="109">
        <v>4110</v>
      </c>
      <c r="D241" s="125" t="s">
        <v>82</v>
      </c>
      <c r="E241" s="759">
        <v>44191</v>
      </c>
      <c r="F241" s="759">
        <v>50126</v>
      </c>
      <c r="G241" s="759">
        <f>160+856</f>
        <v>1016</v>
      </c>
      <c r="H241" s="749">
        <f t="shared" si="9"/>
        <v>51142</v>
      </c>
    </row>
    <row r="242" spans="1:8" ht="12.75">
      <c r="A242" s="122"/>
      <c r="B242" s="109"/>
      <c r="C242" s="109">
        <v>4120</v>
      </c>
      <c r="D242" s="125" t="s">
        <v>83</v>
      </c>
      <c r="E242" s="759">
        <v>6162</v>
      </c>
      <c r="F242" s="759">
        <v>6959</v>
      </c>
      <c r="G242" s="759">
        <f>65-45</f>
        <v>20</v>
      </c>
      <c r="H242" s="749">
        <f t="shared" si="9"/>
        <v>6979</v>
      </c>
    </row>
    <row r="243" spans="1:8" ht="12.75">
      <c r="A243" s="122"/>
      <c r="B243" s="109"/>
      <c r="C243" s="109">
        <v>4210</v>
      </c>
      <c r="D243" s="125" t="s">
        <v>85</v>
      </c>
      <c r="E243" s="759">
        <v>6820</v>
      </c>
      <c r="F243" s="759">
        <v>40470</v>
      </c>
      <c r="G243" s="759">
        <f>-1195-29000</f>
        <v>-30195</v>
      </c>
      <c r="H243" s="749">
        <f t="shared" si="9"/>
        <v>10275</v>
      </c>
    </row>
    <row r="244" spans="1:8" ht="12.75">
      <c r="A244" s="122"/>
      <c r="B244" s="109"/>
      <c r="C244" s="109">
        <v>4240</v>
      </c>
      <c r="D244" s="125" t="s">
        <v>144</v>
      </c>
      <c r="E244" s="759">
        <v>1000</v>
      </c>
      <c r="F244" s="759">
        <v>72300</v>
      </c>
      <c r="G244" s="759">
        <v>-5000</v>
      </c>
      <c r="H244" s="749">
        <f t="shared" si="9"/>
        <v>67300</v>
      </c>
    </row>
    <row r="245" spans="1:8" ht="12.75">
      <c r="A245" s="122"/>
      <c r="B245" s="109"/>
      <c r="C245" s="109">
        <v>4260</v>
      </c>
      <c r="D245" s="125" t="s">
        <v>86</v>
      </c>
      <c r="E245" s="759">
        <v>3000</v>
      </c>
      <c r="F245" s="759">
        <v>6000</v>
      </c>
      <c r="G245" s="759">
        <v>-4000</v>
      </c>
      <c r="H245" s="749">
        <f t="shared" si="9"/>
        <v>2000</v>
      </c>
    </row>
    <row r="246" spans="1:8" ht="12.75">
      <c r="A246" s="122"/>
      <c r="B246" s="109"/>
      <c r="C246" s="109">
        <v>4270</v>
      </c>
      <c r="D246" s="125" t="s">
        <v>87</v>
      </c>
      <c r="E246" s="759">
        <v>20373</v>
      </c>
      <c r="F246" s="759">
        <v>152511</v>
      </c>
      <c r="G246" s="759">
        <v>-19057</v>
      </c>
      <c r="H246" s="749">
        <f t="shared" si="9"/>
        <v>133454</v>
      </c>
    </row>
    <row r="247" spans="1:8" ht="12.75">
      <c r="A247" s="122"/>
      <c r="B247" s="109"/>
      <c r="C247" s="109">
        <v>4280</v>
      </c>
      <c r="D247" s="125" t="s">
        <v>88</v>
      </c>
      <c r="E247" s="759"/>
      <c r="F247" s="759">
        <v>0</v>
      </c>
      <c r="G247" s="759">
        <v>283</v>
      </c>
      <c r="H247" s="749">
        <f t="shared" si="9"/>
        <v>283</v>
      </c>
    </row>
    <row r="248" spans="1:8" ht="12.75">
      <c r="A248" s="122"/>
      <c r="B248" s="109"/>
      <c r="C248" s="109">
        <v>4300</v>
      </c>
      <c r="D248" s="125" t="s">
        <v>74</v>
      </c>
      <c r="E248" s="759">
        <v>6034</v>
      </c>
      <c r="F248" s="759">
        <v>1000</v>
      </c>
      <c r="G248" s="759">
        <f>-281-283</f>
        <v>-564</v>
      </c>
      <c r="H248" s="749">
        <f t="shared" si="9"/>
        <v>436</v>
      </c>
    </row>
    <row r="249" spans="1:8" ht="12.75">
      <c r="A249" s="122"/>
      <c r="B249" s="109"/>
      <c r="C249" s="109">
        <v>4350</v>
      </c>
      <c r="D249" s="125" t="s">
        <v>128</v>
      </c>
      <c r="E249" s="759">
        <v>0</v>
      </c>
      <c r="F249" s="759">
        <v>2121</v>
      </c>
      <c r="G249" s="759">
        <v>-1509</v>
      </c>
      <c r="H249" s="749">
        <f t="shared" si="9"/>
        <v>612</v>
      </c>
    </row>
    <row r="250" spans="1:8" ht="12.75">
      <c r="A250" s="122"/>
      <c r="B250" s="109"/>
      <c r="C250" s="109">
        <v>4370</v>
      </c>
      <c r="D250" s="125" t="s">
        <v>91</v>
      </c>
      <c r="E250" s="759">
        <v>0</v>
      </c>
      <c r="F250" s="759">
        <v>1000</v>
      </c>
      <c r="G250" s="759"/>
      <c r="H250" s="749">
        <f t="shared" si="9"/>
        <v>1000</v>
      </c>
    </row>
    <row r="251" spans="1:8" ht="12.75">
      <c r="A251" s="122"/>
      <c r="B251" s="109"/>
      <c r="C251" s="109">
        <v>4410</v>
      </c>
      <c r="D251" s="125" t="s">
        <v>92</v>
      </c>
      <c r="E251" s="759">
        <v>500</v>
      </c>
      <c r="F251" s="759">
        <v>200</v>
      </c>
      <c r="G251" s="759">
        <v>-154</v>
      </c>
      <c r="H251" s="749">
        <f t="shared" si="9"/>
        <v>46</v>
      </c>
    </row>
    <row r="252" spans="1:8" ht="12.75">
      <c r="A252" s="122"/>
      <c r="B252" s="109"/>
      <c r="C252" s="109">
        <v>4440</v>
      </c>
      <c r="D252" s="125" t="s">
        <v>94</v>
      </c>
      <c r="E252" s="759">
        <v>25488</v>
      </c>
      <c r="F252" s="759">
        <v>27043</v>
      </c>
      <c r="G252" s="759"/>
      <c r="H252" s="749">
        <f>F252+G252</f>
        <v>27043</v>
      </c>
    </row>
    <row r="253" spans="1:8" ht="12.75">
      <c r="A253" s="122"/>
      <c r="B253" s="109"/>
      <c r="C253" s="109"/>
      <c r="D253" s="125"/>
      <c r="E253" s="759"/>
      <c r="F253" s="759"/>
      <c r="G253" s="759"/>
      <c r="H253" s="749"/>
    </row>
    <row r="254" spans="1:8" ht="12.75">
      <c r="A254" s="122"/>
      <c r="B254" s="80">
        <v>80120</v>
      </c>
      <c r="C254" s="80"/>
      <c r="D254" s="130" t="s">
        <v>145</v>
      </c>
      <c r="E254" s="758">
        <f>SUM(E255:E276)</f>
        <v>2150137</v>
      </c>
      <c r="F254" s="758">
        <f>SUM(F255:F276)</f>
        <v>2277139</v>
      </c>
      <c r="G254" s="758">
        <f>SUM(G255:G276)</f>
        <v>-35997</v>
      </c>
      <c r="H254" s="748">
        <f>SUM(H255:H276)</f>
        <v>2241142</v>
      </c>
    </row>
    <row r="255" spans="1:8" ht="12.75">
      <c r="A255" s="122"/>
      <c r="B255" s="109"/>
      <c r="C255" s="109">
        <v>3020</v>
      </c>
      <c r="D255" s="125" t="s">
        <v>79</v>
      </c>
      <c r="E255" s="759">
        <v>5835</v>
      </c>
      <c r="F255" s="759">
        <v>6487</v>
      </c>
      <c r="G255" s="759">
        <v>2825</v>
      </c>
      <c r="H255" s="749">
        <f>F255+G255</f>
        <v>9312</v>
      </c>
    </row>
    <row r="256" spans="1:10" ht="12.75">
      <c r="A256" s="122"/>
      <c r="B256" s="109"/>
      <c r="C256" s="109">
        <v>4010</v>
      </c>
      <c r="D256" s="125" t="s">
        <v>80</v>
      </c>
      <c r="E256" s="759">
        <v>1375187</v>
      </c>
      <c r="F256" s="759">
        <v>1449463</v>
      </c>
      <c r="G256" s="759">
        <v>39477</v>
      </c>
      <c r="H256" s="749">
        <f aca="true" t="shared" si="10" ref="H256:H276">F256+G256</f>
        <v>1488940</v>
      </c>
      <c r="J256" s="91">
        <f>SUM(F256:F260)</f>
        <v>1863009</v>
      </c>
    </row>
    <row r="257" spans="1:8" ht="12.75">
      <c r="A257" s="122"/>
      <c r="B257" s="109"/>
      <c r="C257" s="109">
        <v>4040</v>
      </c>
      <c r="D257" s="125" t="s">
        <v>81</v>
      </c>
      <c r="E257" s="759">
        <v>109324</v>
      </c>
      <c r="F257" s="759">
        <v>107154</v>
      </c>
      <c r="G257" s="759"/>
      <c r="H257" s="749">
        <f t="shared" si="10"/>
        <v>107154</v>
      </c>
    </row>
    <row r="258" spans="1:8" ht="12.75">
      <c r="A258" s="122"/>
      <c r="B258" s="109"/>
      <c r="C258" s="109">
        <v>4110</v>
      </c>
      <c r="D258" s="125" t="s">
        <v>82</v>
      </c>
      <c r="E258" s="759">
        <v>250240</v>
      </c>
      <c r="F258" s="759">
        <v>265915</v>
      </c>
      <c r="G258" s="759">
        <f>3814-5332</f>
        <v>-1518</v>
      </c>
      <c r="H258" s="749">
        <f t="shared" si="10"/>
        <v>264397</v>
      </c>
    </row>
    <row r="259" spans="1:8" ht="12.75">
      <c r="A259" s="122"/>
      <c r="B259" s="109"/>
      <c r="C259" s="109">
        <v>4120</v>
      </c>
      <c r="D259" s="125" t="s">
        <v>83</v>
      </c>
      <c r="E259" s="759">
        <v>36239</v>
      </c>
      <c r="F259" s="759">
        <v>37477</v>
      </c>
      <c r="G259" s="759">
        <f>-52-309</f>
        <v>-361</v>
      </c>
      <c r="H259" s="749">
        <f t="shared" si="10"/>
        <v>37116</v>
      </c>
    </row>
    <row r="260" spans="1:8" ht="12.75">
      <c r="A260" s="122"/>
      <c r="B260" s="109"/>
      <c r="C260" s="109">
        <v>4170</v>
      </c>
      <c r="D260" s="125" t="s">
        <v>84</v>
      </c>
      <c r="E260" s="759">
        <v>7500</v>
      </c>
      <c r="F260" s="759">
        <v>3000</v>
      </c>
      <c r="G260" s="759">
        <v>-1266</v>
      </c>
      <c r="H260" s="749">
        <f t="shared" si="10"/>
        <v>1734</v>
      </c>
    </row>
    <row r="261" spans="1:8" ht="12.75">
      <c r="A261" s="122"/>
      <c r="B261" s="109"/>
      <c r="C261" s="109">
        <v>4210</v>
      </c>
      <c r="D261" s="125" t="s">
        <v>85</v>
      </c>
      <c r="E261" s="759">
        <v>20060</v>
      </c>
      <c r="F261" s="759">
        <v>13626</v>
      </c>
      <c r="G261" s="759">
        <f>3767+6426</f>
        <v>10193</v>
      </c>
      <c r="H261" s="749">
        <f t="shared" si="10"/>
        <v>23819</v>
      </c>
    </row>
    <row r="262" spans="1:8" ht="12.75">
      <c r="A262" s="122"/>
      <c r="B262" s="109"/>
      <c r="C262" s="109">
        <v>4240</v>
      </c>
      <c r="D262" s="125" t="s">
        <v>144</v>
      </c>
      <c r="E262" s="759">
        <v>2537</v>
      </c>
      <c r="F262" s="759">
        <v>1750</v>
      </c>
      <c r="G262" s="759">
        <v>-1473</v>
      </c>
      <c r="H262" s="749">
        <f t="shared" si="10"/>
        <v>277</v>
      </c>
    </row>
    <row r="263" spans="1:8" ht="12.75">
      <c r="A263" s="122"/>
      <c r="B263" s="109"/>
      <c r="C263" s="109">
        <v>4260</v>
      </c>
      <c r="D263" s="125" t="s">
        <v>86</v>
      </c>
      <c r="E263" s="123">
        <v>73453</v>
      </c>
      <c r="F263" s="759">
        <v>73800</v>
      </c>
      <c r="G263" s="759"/>
      <c r="H263" s="749">
        <f t="shared" si="10"/>
        <v>73800</v>
      </c>
    </row>
    <row r="264" spans="1:10" ht="12.75">
      <c r="A264" s="122"/>
      <c r="B264" s="109"/>
      <c r="C264" s="109">
        <v>4270</v>
      </c>
      <c r="D264" s="125" t="s">
        <v>87</v>
      </c>
      <c r="E264" s="759">
        <v>149839</v>
      </c>
      <c r="F264" s="759">
        <v>159070</v>
      </c>
      <c r="G264" s="759">
        <f>-62466-18481</f>
        <v>-80947</v>
      </c>
      <c r="H264" s="749">
        <f t="shared" si="10"/>
        <v>78123</v>
      </c>
      <c r="J264" s="91">
        <f>SUM(F255:F272)</f>
        <v>2250499</v>
      </c>
    </row>
    <row r="265" spans="1:8" ht="12.75">
      <c r="A265" s="122"/>
      <c r="B265" s="109"/>
      <c r="C265" s="109">
        <v>4280</v>
      </c>
      <c r="D265" s="125" t="s">
        <v>88</v>
      </c>
      <c r="E265" s="759">
        <v>700</v>
      </c>
      <c r="F265" s="759">
        <v>700</v>
      </c>
      <c r="G265" s="759">
        <v>-250</v>
      </c>
      <c r="H265" s="749">
        <f t="shared" si="10"/>
        <v>450</v>
      </c>
    </row>
    <row r="266" spans="1:8" ht="12.75">
      <c r="A266" s="122"/>
      <c r="B266" s="125"/>
      <c r="C266" s="109">
        <v>4300</v>
      </c>
      <c r="D266" s="125" t="s">
        <v>74</v>
      </c>
      <c r="E266" s="759">
        <v>16111</v>
      </c>
      <c r="F266" s="759">
        <v>24590</v>
      </c>
      <c r="G266" s="759"/>
      <c r="H266" s="749">
        <f t="shared" si="10"/>
        <v>24590</v>
      </c>
    </row>
    <row r="267" spans="1:8" ht="12.75">
      <c r="A267" s="122"/>
      <c r="B267" s="125"/>
      <c r="C267" s="109">
        <v>4350</v>
      </c>
      <c r="D267" s="125" t="s">
        <v>128</v>
      </c>
      <c r="E267" s="759">
        <v>600</v>
      </c>
      <c r="F267" s="759">
        <v>990</v>
      </c>
      <c r="G267" s="759">
        <v>-145</v>
      </c>
      <c r="H267" s="749">
        <f t="shared" si="10"/>
        <v>845</v>
      </c>
    </row>
    <row r="268" spans="1:8" ht="12.75">
      <c r="A268" s="122"/>
      <c r="B268" s="125"/>
      <c r="C268" s="109">
        <v>4360</v>
      </c>
      <c r="D268" s="125" t="s">
        <v>90</v>
      </c>
      <c r="E268" s="759">
        <v>0</v>
      </c>
      <c r="F268" s="759">
        <v>0</v>
      </c>
      <c r="G268" s="759"/>
      <c r="H268" s="749">
        <f t="shared" si="10"/>
        <v>0</v>
      </c>
    </row>
    <row r="269" spans="1:8" ht="12.75">
      <c r="A269" s="122"/>
      <c r="B269" s="125"/>
      <c r="C269" s="109">
        <v>4370</v>
      </c>
      <c r="D269" s="125" t="s">
        <v>91</v>
      </c>
      <c r="E269" s="759">
        <v>0</v>
      </c>
      <c r="F269" s="759">
        <v>4200</v>
      </c>
      <c r="G269" s="759"/>
      <c r="H269" s="749">
        <f t="shared" si="10"/>
        <v>4200</v>
      </c>
    </row>
    <row r="270" spans="1:8" ht="12.75">
      <c r="A270" s="122"/>
      <c r="B270" s="125"/>
      <c r="C270" s="109">
        <v>4410</v>
      </c>
      <c r="D270" s="125" t="s">
        <v>92</v>
      </c>
      <c r="E270" s="759">
        <v>4000</v>
      </c>
      <c r="F270" s="759">
        <v>3000</v>
      </c>
      <c r="G270" s="759">
        <v>-615</v>
      </c>
      <c r="H270" s="749">
        <f>F270+G270</f>
        <v>2385</v>
      </c>
    </row>
    <row r="271" spans="1:8" ht="12.75">
      <c r="A271" s="122"/>
      <c r="B271" s="125"/>
      <c r="C271" s="109">
        <v>4430</v>
      </c>
      <c r="D271" s="125" t="s">
        <v>93</v>
      </c>
      <c r="E271" s="759">
        <v>7761</v>
      </c>
      <c r="F271" s="759">
        <v>10750</v>
      </c>
      <c r="G271" s="759"/>
      <c r="H271" s="749">
        <f t="shared" si="10"/>
        <v>10750</v>
      </c>
    </row>
    <row r="272" spans="1:8" ht="12.75">
      <c r="A272" s="122"/>
      <c r="B272" s="125"/>
      <c r="C272" s="109">
        <v>4440</v>
      </c>
      <c r="D272" s="125" t="s">
        <v>94</v>
      </c>
      <c r="E272" s="759">
        <v>90751</v>
      </c>
      <c r="F272" s="759">
        <v>88527</v>
      </c>
      <c r="G272" s="759"/>
      <c r="H272" s="749">
        <f t="shared" si="10"/>
        <v>88527</v>
      </c>
    </row>
    <row r="273" spans="1:8" ht="12.75">
      <c r="A273" s="122"/>
      <c r="B273" s="125"/>
      <c r="C273" s="109">
        <v>4700</v>
      </c>
      <c r="D273" s="125" t="s">
        <v>113</v>
      </c>
      <c r="E273" s="759"/>
      <c r="F273" s="759">
        <v>260</v>
      </c>
      <c r="G273" s="759"/>
      <c r="H273" s="749">
        <f t="shared" si="10"/>
        <v>260</v>
      </c>
    </row>
    <row r="274" spans="1:8" ht="12.75">
      <c r="A274" s="122"/>
      <c r="B274" s="125"/>
      <c r="C274" s="109">
        <v>4740</v>
      </c>
      <c r="D274" s="125" t="s">
        <v>122</v>
      </c>
      <c r="E274" s="759">
        <v>0</v>
      </c>
      <c r="F274" s="759">
        <v>4380</v>
      </c>
      <c r="G274" s="759">
        <v>-3824</v>
      </c>
      <c r="H274" s="749">
        <f t="shared" si="10"/>
        <v>556</v>
      </c>
    </row>
    <row r="275" spans="1:8" ht="12.75">
      <c r="A275" s="122"/>
      <c r="B275" s="125"/>
      <c r="C275" s="109">
        <v>4750</v>
      </c>
      <c r="D275" s="125" t="s">
        <v>123</v>
      </c>
      <c r="E275" s="759">
        <v>0</v>
      </c>
      <c r="F275" s="759">
        <v>2000</v>
      </c>
      <c r="G275" s="759">
        <v>1907</v>
      </c>
      <c r="H275" s="749">
        <f t="shared" si="10"/>
        <v>3907</v>
      </c>
    </row>
    <row r="276" spans="1:8" ht="12.75">
      <c r="A276" s="122"/>
      <c r="B276" s="125"/>
      <c r="C276" s="109">
        <v>6060</v>
      </c>
      <c r="D276" s="125" t="s">
        <v>146</v>
      </c>
      <c r="E276" s="759">
        <v>0</v>
      </c>
      <c r="F276" s="759">
        <v>20000</v>
      </c>
      <c r="G276" s="759"/>
      <c r="H276" s="749">
        <f t="shared" si="10"/>
        <v>20000</v>
      </c>
    </row>
    <row r="277" spans="1:8" ht="12.75">
      <c r="A277" s="122"/>
      <c r="B277" s="109"/>
      <c r="C277" s="109"/>
      <c r="D277" s="125"/>
      <c r="E277" s="759"/>
      <c r="F277" s="759"/>
      <c r="G277" s="759"/>
      <c r="H277" s="749"/>
    </row>
    <row r="278" spans="1:8" ht="12.75">
      <c r="A278" s="122"/>
      <c r="B278" s="80">
        <v>80130</v>
      </c>
      <c r="C278" s="80"/>
      <c r="D278" s="130" t="s">
        <v>147</v>
      </c>
      <c r="E278" s="758">
        <f>SUM(E279:E303)</f>
        <v>4130896</v>
      </c>
      <c r="F278" s="758">
        <f>SUM(F279:F304)</f>
        <v>4546368</v>
      </c>
      <c r="G278" s="758">
        <f>SUM(G279:G304)</f>
        <v>36326</v>
      </c>
      <c r="H278" s="748">
        <f>SUM(H279:H304)</f>
        <v>4582694</v>
      </c>
    </row>
    <row r="279" spans="1:8" ht="12.75">
      <c r="A279" s="122"/>
      <c r="B279" s="125"/>
      <c r="C279" s="109">
        <v>3020</v>
      </c>
      <c r="D279" s="125" t="s">
        <v>79</v>
      </c>
      <c r="E279" s="759">
        <v>41591</v>
      </c>
      <c r="F279" s="759">
        <v>38173</v>
      </c>
      <c r="G279" s="759">
        <f>339-101+2598</f>
        <v>2836</v>
      </c>
      <c r="H279" s="749">
        <f>F279+G279</f>
        <v>41009</v>
      </c>
    </row>
    <row r="280" spans="1:10" ht="12.75">
      <c r="A280" s="122"/>
      <c r="B280" s="125"/>
      <c r="C280" s="109">
        <v>4010</v>
      </c>
      <c r="D280" s="125" t="s">
        <v>80</v>
      </c>
      <c r="E280" s="759">
        <v>2379698</v>
      </c>
      <c r="F280" s="759">
        <v>2488837</v>
      </c>
      <c r="G280" s="759">
        <f>11438+5433+16423+5332</f>
        <v>38626</v>
      </c>
      <c r="H280" s="749">
        <f aca="true" t="shared" si="11" ref="H280:H304">F280+G280</f>
        <v>2527463</v>
      </c>
      <c r="J280" s="91">
        <f>SUM(F280:F283)</f>
        <v>3207678</v>
      </c>
    </row>
    <row r="281" spans="1:8" ht="12.75">
      <c r="A281" s="122"/>
      <c r="B281" s="125"/>
      <c r="C281" s="109">
        <v>4040</v>
      </c>
      <c r="D281" s="125" t="s">
        <v>81</v>
      </c>
      <c r="E281" s="759">
        <v>194010</v>
      </c>
      <c r="F281" s="759">
        <v>189836</v>
      </c>
      <c r="G281" s="759"/>
      <c r="H281" s="749">
        <f t="shared" si="11"/>
        <v>189836</v>
      </c>
    </row>
    <row r="282" spans="1:8" ht="12.75">
      <c r="A282" s="122"/>
      <c r="B282" s="125"/>
      <c r="C282" s="109">
        <v>4110</v>
      </c>
      <c r="D282" s="125" t="s">
        <v>82</v>
      </c>
      <c r="E282" s="759">
        <v>460914</v>
      </c>
      <c r="F282" s="759">
        <v>464493</v>
      </c>
      <c r="G282" s="759">
        <f>-12129+260+2553</f>
        <v>-9316</v>
      </c>
      <c r="H282" s="749">
        <f t="shared" si="11"/>
        <v>455177</v>
      </c>
    </row>
    <row r="283" spans="1:8" ht="12.75">
      <c r="A283" s="122"/>
      <c r="B283" s="125"/>
      <c r="C283" s="109">
        <v>4120</v>
      </c>
      <c r="D283" s="125" t="s">
        <v>83</v>
      </c>
      <c r="E283" s="759">
        <v>64933</v>
      </c>
      <c r="F283" s="759">
        <v>64512</v>
      </c>
      <c r="G283" s="759">
        <f>-1459+39+539+309</f>
        <v>-572</v>
      </c>
      <c r="H283" s="749">
        <f t="shared" si="11"/>
        <v>63940</v>
      </c>
    </row>
    <row r="284" spans="1:8" ht="12.75">
      <c r="A284" s="122"/>
      <c r="B284" s="125"/>
      <c r="C284" s="109">
        <v>4170</v>
      </c>
      <c r="D284" s="125" t="s">
        <v>84</v>
      </c>
      <c r="E284" s="759"/>
      <c r="F284" s="759">
        <v>1703</v>
      </c>
      <c r="G284" s="759"/>
      <c r="H284" s="749">
        <f t="shared" si="11"/>
        <v>1703</v>
      </c>
    </row>
    <row r="285" spans="1:8" ht="12.75">
      <c r="A285" s="122"/>
      <c r="B285" s="125"/>
      <c r="C285" s="109">
        <v>4210</v>
      </c>
      <c r="D285" s="125" t="s">
        <v>85</v>
      </c>
      <c r="E285" s="759">
        <v>343744</v>
      </c>
      <c r="F285" s="759">
        <v>325076</v>
      </c>
      <c r="G285" s="759">
        <f>-8118+160-50+16314+3450</f>
        <v>11756</v>
      </c>
      <c r="H285" s="749">
        <f t="shared" si="11"/>
        <v>336832</v>
      </c>
    </row>
    <row r="286" spans="1:8" ht="12.75">
      <c r="A286" s="122"/>
      <c r="B286" s="125"/>
      <c r="C286" s="109">
        <v>4240</v>
      </c>
      <c r="D286" s="125" t="s">
        <v>144</v>
      </c>
      <c r="E286" s="759">
        <v>27318</v>
      </c>
      <c r="F286" s="759">
        <v>159490</v>
      </c>
      <c r="G286" s="759">
        <f>-703-122000+817-3935</f>
        <v>-125821</v>
      </c>
      <c r="H286" s="749">
        <f t="shared" si="11"/>
        <v>33669</v>
      </c>
    </row>
    <row r="287" spans="1:10" ht="12.75">
      <c r="A287" s="122"/>
      <c r="B287" s="125"/>
      <c r="C287" s="109">
        <v>4260</v>
      </c>
      <c r="D287" s="125" t="s">
        <v>86</v>
      </c>
      <c r="E287" s="759">
        <v>125204</v>
      </c>
      <c r="F287" s="759">
        <v>120880</v>
      </c>
      <c r="G287" s="759">
        <f>-1300+3000-8197</f>
        <v>-6497</v>
      </c>
      <c r="H287" s="749">
        <f t="shared" si="11"/>
        <v>114383</v>
      </c>
      <c r="J287" s="91">
        <f>SUM(F279:F298)</f>
        <v>4486980</v>
      </c>
    </row>
    <row r="288" spans="1:8" ht="12.75">
      <c r="A288" s="122"/>
      <c r="B288" s="125"/>
      <c r="C288" s="109">
        <v>4270</v>
      </c>
      <c r="D288" s="125" t="s">
        <v>87</v>
      </c>
      <c r="E288" s="759">
        <v>137666</v>
      </c>
      <c r="F288" s="759">
        <v>302052</v>
      </c>
      <c r="G288" s="759">
        <v>126450</v>
      </c>
      <c r="H288" s="749">
        <f t="shared" si="11"/>
        <v>428502</v>
      </c>
    </row>
    <row r="289" spans="1:8" ht="12.75">
      <c r="A289" s="122"/>
      <c r="B289" s="125"/>
      <c r="C289" s="109">
        <v>4280</v>
      </c>
      <c r="D289" s="125" t="s">
        <v>88</v>
      </c>
      <c r="E289" s="759">
        <v>1800</v>
      </c>
      <c r="F289" s="759">
        <v>4876</v>
      </c>
      <c r="G289" s="759">
        <v>-400</v>
      </c>
      <c r="H289" s="749">
        <f t="shared" si="11"/>
        <v>4476</v>
      </c>
    </row>
    <row r="290" spans="1:8" ht="12.75">
      <c r="A290" s="122"/>
      <c r="B290" s="125"/>
      <c r="C290" s="109">
        <v>4300</v>
      </c>
      <c r="D290" s="125" t="s">
        <v>74</v>
      </c>
      <c r="E290" s="759">
        <v>170655</v>
      </c>
      <c r="F290" s="759">
        <v>95480</v>
      </c>
      <c r="G290" s="759">
        <f>7283+778+454</f>
        <v>8515</v>
      </c>
      <c r="H290" s="749">
        <f t="shared" si="11"/>
        <v>103995</v>
      </c>
    </row>
    <row r="291" spans="1:8" ht="12.75">
      <c r="A291" s="122"/>
      <c r="B291" s="125"/>
      <c r="C291" s="109">
        <v>4350</v>
      </c>
      <c r="D291" s="125" t="s">
        <v>128</v>
      </c>
      <c r="E291" s="759">
        <v>5247</v>
      </c>
      <c r="F291" s="759">
        <v>8152</v>
      </c>
      <c r="G291" s="759">
        <f>-240-243-386</f>
        <v>-869</v>
      </c>
      <c r="H291" s="749">
        <f t="shared" si="11"/>
        <v>7283</v>
      </c>
    </row>
    <row r="292" spans="1:8" ht="12.75">
      <c r="A292" s="122"/>
      <c r="B292" s="125"/>
      <c r="C292" s="109">
        <v>4360</v>
      </c>
      <c r="D292" s="125" t="s">
        <v>90</v>
      </c>
      <c r="E292" s="759">
        <v>0</v>
      </c>
      <c r="F292" s="759">
        <v>0</v>
      </c>
      <c r="G292" s="759"/>
      <c r="H292" s="749">
        <f t="shared" si="11"/>
        <v>0</v>
      </c>
    </row>
    <row r="293" spans="1:8" ht="12.75">
      <c r="A293" s="122"/>
      <c r="B293" s="125"/>
      <c r="C293" s="109">
        <v>4370</v>
      </c>
      <c r="D293" s="125" t="s">
        <v>91</v>
      </c>
      <c r="E293" s="759">
        <v>0</v>
      </c>
      <c r="F293" s="759">
        <v>14250</v>
      </c>
      <c r="G293" s="759">
        <f>-418+77-107</f>
        <v>-448</v>
      </c>
      <c r="H293" s="749">
        <f t="shared" si="11"/>
        <v>13802</v>
      </c>
    </row>
    <row r="294" spans="1:8" ht="12.75">
      <c r="A294" s="122"/>
      <c r="B294" s="125"/>
      <c r="C294" s="109">
        <v>4390</v>
      </c>
      <c r="D294" s="125" t="s">
        <v>737</v>
      </c>
      <c r="E294" s="759"/>
      <c r="F294" s="759">
        <v>500</v>
      </c>
      <c r="G294" s="759"/>
      <c r="H294" s="749">
        <f t="shared" si="11"/>
        <v>500</v>
      </c>
    </row>
    <row r="295" spans="1:8" ht="12.75">
      <c r="A295" s="122"/>
      <c r="B295" s="125"/>
      <c r="C295" s="109">
        <v>4400</v>
      </c>
      <c r="D295" s="125" t="s">
        <v>748</v>
      </c>
      <c r="E295" s="759">
        <v>0</v>
      </c>
      <c r="F295" s="759">
        <v>29818</v>
      </c>
      <c r="G295" s="759"/>
      <c r="H295" s="749">
        <f t="shared" si="11"/>
        <v>29818</v>
      </c>
    </row>
    <row r="296" spans="1:8" ht="12.75">
      <c r="A296" s="122"/>
      <c r="B296" s="125"/>
      <c r="C296" s="109">
        <v>4410</v>
      </c>
      <c r="D296" s="125" t="s">
        <v>92</v>
      </c>
      <c r="E296" s="123">
        <v>4800</v>
      </c>
      <c r="F296" s="759">
        <v>2223</v>
      </c>
      <c r="G296" s="759">
        <f>-376-370</f>
        <v>-746</v>
      </c>
      <c r="H296" s="749">
        <f>F296+G296</f>
        <v>1477</v>
      </c>
    </row>
    <row r="297" spans="1:8" ht="12.75">
      <c r="A297" s="122"/>
      <c r="B297" s="125"/>
      <c r="C297" s="109">
        <v>4430</v>
      </c>
      <c r="D297" s="125" t="s">
        <v>93</v>
      </c>
      <c r="E297" s="759">
        <v>17648</v>
      </c>
      <c r="F297" s="759">
        <v>19785</v>
      </c>
      <c r="G297" s="759">
        <f>-1395+1218-618+1797</f>
        <v>1002</v>
      </c>
      <c r="H297" s="749">
        <f t="shared" si="11"/>
        <v>20787</v>
      </c>
    </row>
    <row r="298" spans="1:8" ht="12.75">
      <c r="A298" s="122"/>
      <c r="B298" s="125"/>
      <c r="C298" s="109">
        <v>4440</v>
      </c>
      <c r="D298" s="125" t="s">
        <v>94</v>
      </c>
      <c r="E298" s="759">
        <v>155668</v>
      </c>
      <c r="F298" s="759">
        <v>156844</v>
      </c>
      <c r="G298" s="759"/>
      <c r="H298" s="749">
        <f t="shared" si="11"/>
        <v>156844</v>
      </c>
    </row>
    <row r="299" spans="1:8" ht="12.75">
      <c r="A299" s="122"/>
      <c r="B299" s="125"/>
      <c r="C299" s="109">
        <v>4530</v>
      </c>
      <c r="D299" s="125" t="s">
        <v>99</v>
      </c>
      <c r="E299" s="759"/>
      <c r="F299" s="759">
        <v>11389</v>
      </c>
      <c r="G299" s="759"/>
      <c r="H299" s="749">
        <f t="shared" si="11"/>
        <v>11389</v>
      </c>
    </row>
    <row r="300" spans="1:8" ht="12.75">
      <c r="A300" s="122"/>
      <c r="B300" s="125"/>
      <c r="C300" s="109">
        <v>4700</v>
      </c>
      <c r="D300" s="125" t="s">
        <v>113</v>
      </c>
      <c r="E300" s="759"/>
      <c r="F300" s="759">
        <v>300</v>
      </c>
      <c r="G300" s="759"/>
      <c r="H300" s="749">
        <f t="shared" si="11"/>
        <v>300</v>
      </c>
    </row>
    <row r="301" spans="1:8" ht="12.75">
      <c r="A301" s="122"/>
      <c r="B301" s="125"/>
      <c r="C301" s="109">
        <v>4740</v>
      </c>
      <c r="D301" s="125" t="s">
        <v>122</v>
      </c>
      <c r="E301" s="759">
        <v>0</v>
      </c>
      <c r="F301" s="759">
        <v>10680</v>
      </c>
      <c r="G301" s="759">
        <f>-2938-258-2925</f>
        <v>-6121</v>
      </c>
      <c r="H301" s="749">
        <f t="shared" si="11"/>
        <v>4559</v>
      </c>
    </row>
    <row r="302" spans="1:8" ht="12.75">
      <c r="A302" s="122"/>
      <c r="B302" s="125"/>
      <c r="C302" s="109">
        <v>4750</v>
      </c>
      <c r="D302" s="125" t="s">
        <v>123</v>
      </c>
      <c r="E302" s="759">
        <v>0</v>
      </c>
      <c r="F302" s="759">
        <v>13519</v>
      </c>
      <c r="G302" s="759">
        <f>2665-242+9008</f>
        <v>11431</v>
      </c>
      <c r="H302" s="749">
        <f t="shared" si="11"/>
        <v>24950</v>
      </c>
    </row>
    <row r="303" spans="1:8" ht="12.75">
      <c r="A303" s="122"/>
      <c r="B303" s="125"/>
      <c r="C303" s="109">
        <v>6050</v>
      </c>
      <c r="D303" s="125" t="s">
        <v>101</v>
      </c>
      <c r="E303" s="759">
        <v>0</v>
      </c>
      <c r="F303" s="759">
        <v>13500</v>
      </c>
      <c r="G303" s="759">
        <f>-3450-10050</f>
        <v>-13500</v>
      </c>
      <c r="H303" s="749">
        <f t="shared" si="11"/>
        <v>0</v>
      </c>
    </row>
    <row r="304" spans="1:8" ht="12.75">
      <c r="A304" s="122"/>
      <c r="B304" s="125"/>
      <c r="C304" s="109">
        <v>6060</v>
      </c>
      <c r="D304" s="125" t="s">
        <v>102</v>
      </c>
      <c r="E304" s="759"/>
      <c r="F304" s="759">
        <v>10000</v>
      </c>
      <c r="G304" s="759"/>
      <c r="H304" s="749">
        <f t="shared" si="11"/>
        <v>10000</v>
      </c>
    </row>
    <row r="305" spans="1:8" ht="12.75">
      <c r="A305" s="122"/>
      <c r="B305" s="125"/>
      <c r="C305" s="109"/>
      <c r="D305" s="125"/>
      <c r="E305" s="759"/>
      <c r="F305" s="759"/>
      <c r="G305" s="759"/>
      <c r="H305" s="749"/>
    </row>
    <row r="306" spans="1:8" ht="12.75">
      <c r="A306" s="122"/>
      <c r="B306" s="80">
        <v>80146</v>
      </c>
      <c r="C306" s="80"/>
      <c r="D306" s="130" t="s">
        <v>148</v>
      </c>
      <c r="E306" s="758">
        <f>SUM(E308:E308)</f>
        <v>28271</v>
      </c>
      <c r="F306" s="758">
        <f>SUM(F307:F311)</f>
        <v>44780</v>
      </c>
      <c r="G306" s="758">
        <f>SUM(G307:G311)</f>
        <v>-12545</v>
      </c>
      <c r="H306" s="758">
        <f>SUM(H307:H311)</f>
        <v>32235</v>
      </c>
    </row>
    <row r="307" spans="1:8" ht="12.75">
      <c r="A307" s="122"/>
      <c r="B307" s="109"/>
      <c r="C307" s="109">
        <v>4210</v>
      </c>
      <c r="D307" s="125" t="s">
        <v>85</v>
      </c>
      <c r="E307" s="759"/>
      <c r="F307" s="759">
        <v>612</v>
      </c>
      <c r="G307" s="759">
        <v>3575</v>
      </c>
      <c r="H307" s="749">
        <f>F307+G307</f>
        <v>4187</v>
      </c>
    </row>
    <row r="308" spans="1:8" ht="12.75">
      <c r="A308" s="122"/>
      <c r="B308" s="109"/>
      <c r="C308" s="109">
        <v>4300</v>
      </c>
      <c r="D308" s="125" t="s">
        <v>74</v>
      </c>
      <c r="E308" s="759">
        <v>28271</v>
      </c>
      <c r="F308" s="759">
        <v>21664</v>
      </c>
      <c r="G308" s="759">
        <f>8840-11404</f>
        <v>-2564</v>
      </c>
      <c r="H308" s="749">
        <f>F308+G308</f>
        <v>19100</v>
      </c>
    </row>
    <row r="309" spans="1:8" ht="12.75">
      <c r="A309" s="122"/>
      <c r="B309" s="109"/>
      <c r="C309" s="109">
        <v>4410</v>
      </c>
      <c r="D309" s="125" t="s">
        <v>92</v>
      </c>
      <c r="E309" s="759"/>
      <c r="F309" s="759">
        <v>1610</v>
      </c>
      <c r="G309" s="759">
        <v>-550</v>
      </c>
      <c r="H309" s="749">
        <f>F309+G309</f>
        <v>1060</v>
      </c>
    </row>
    <row r="310" spans="1:8" ht="12.75">
      <c r="A310" s="122"/>
      <c r="B310" s="109"/>
      <c r="C310" s="109">
        <v>4428</v>
      </c>
      <c r="D310" s="125" t="s">
        <v>126</v>
      </c>
      <c r="E310" s="759"/>
      <c r="F310" s="759">
        <v>2695</v>
      </c>
      <c r="G310" s="759"/>
      <c r="H310" s="749">
        <f>F310+G310</f>
        <v>2695</v>
      </c>
    </row>
    <row r="311" spans="1:8" ht="12.75">
      <c r="A311" s="122"/>
      <c r="B311" s="109"/>
      <c r="C311" s="109">
        <v>4700</v>
      </c>
      <c r="D311" s="125" t="s">
        <v>113</v>
      </c>
      <c r="E311" s="759"/>
      <c r="F311" s="759">
        <v>18199</v>
      </c>
      <c r="G311" s="759">
        <f>-9431-3575</f>
        <v>-13006</v>
      </c>
      <c r="H311" s="749">
        <f>F311+G311</f>
        <v>5193</v>
      </c>
    </row>
    <row r="312" spans="1:8" ht="12.75">
      <c r="A312" s="122"/>
      <c r="B312" s="109"/>
      <c r="C312" s="109"/>
      <c r="D312" s="125"/>
      <c r="E312" s="759"/>
      <c r="F312" s="759"/>
      <c r="G312" s="759"/>
      <c r="H312" s="749"/>
    </row>
    <row r="313" spans="1:8" ht="12.75">
      <c r="A313" s="122"/>
      <c r="B313" s="80">
        <v>80195</v>
      </c>
      <c r="C313" s="80"/>
      <c r="D313" s="130" t="s">
        <v>58</v>
      </c>
      <c r="E313" s="758">
        <f>SUM(E314:E323)</f>
        <v>75864</v>
      </c>
      <c r="F313" s="758">
        <f>SUM(F314:F324)</f>
        <v>136741</v>
      </c>
      <c r="G313" s="758">
        <f>SUM(G314:G324)</f>
        <v>-28096</v>
      </c>
      <c r="H313" s="748">
        <f>SUM(H314:H324)</f>
        <v>108645</v>
      </c>
    </row>
    <row r="314" spans="1:8" ht="12.75">
      <c r="A314" s="122"/>
      <c r="B314" s="109"/>
      <c r="C314" s="109">
        <v>2820</v>
      </c>
      <c r="D314" s="125" t="s">
        <v>149</v>
      </c>
      <c r="E314" s="759">
        <v>0</v>
      </c>
      <c r="F314" s="759">
        <v>10000</v>
      </c>
      <c r="G314" s="759"/>
      <c r="H314" s="749">
        <f>F314+G314</f>
        <v>10000</v>
      </c>
    </row>
    <row r="315" spans="1:8" ht="12.75">
      <c r="A315" s="122"/>
      <c r="B315" s="109"/>
      <c r="C315" s="109"/>
      <c r="D315" s="125" t="s">
        <v>150</v>
      </c>
      <c r="E315" s="759"/>
      <c r="F315" s="759"/>
      <c r="G315" s="759"/>
      <c r="H315" s="749"/>
    </row>
    <row r="316" spans="1:8" ht="12.75">
      <c r="A316" s="122"/>
      <c r="B316" s="109"/>
      <c r="C316" s="109">
        <v>3030</v>
      </c>
      <c r="D316" s="125" t="s">
        <v>125</v>
      </c>
      <c r="E316" s="759"/>
      <c r="F316" s="759">
        <v>320</v>
      </c>
      <c r="G316" s="759"/>
      <c r="H316" s="749">
        <f aca="true" t="shared" si="12" ref="H316:H324">F316+G316</f>
        <v>320</v>
      </c>
    </row>
    <row r="317" spans="1:8" ht="12.75">
      <c r="A317" s="122"/>
      <c r="B317" s="109"/>
      <c r="C317" s="109">
        <v>4010</v>
      </c>
      <c r="D317" s="125" t="s">
        <v>80</v>
      </c>
      <c r="E317" s="759">
        <v>20081</v>
      </c>
      <c r="F317" s="759">
        <v>39744</v>
      </c>
      <c r="G317" s="759">
        <v>-22302</v>
      </c>
      <c r="H317" s="749">
        <f t="shared" si="12"/>
        <v>17442</v>
      </c>
    </row>
    <row r="318" spans="1:8" ht="12.75">
      <c r="A318" s="122"/>
      <c r="B318" s="109"/>
      <c r="C318" s="109">
        <v>4110</v>
      </c>
      <c r="D318" s="125" t="s">
        <v>82</v>
      </c>
      <c r="E318" s="759">
        <v>4307</v>
      </c>
      <c r="F318" s="759">
        <v>8109</v>
      </c>
      <c r="G318" s="759">
        <f>-5-5065</f>
        <v>-5070</v>
      </c>
      <c r="H318" s="749">
        <f t="shared" si="12"/>
        <v>3039</v>
      </c>
    </row>
    <row r="319" spans="1:8" ht="12.75">
      <c r="A319" s="122"/>
      <c r="B319" s="109"/>
      <c r="C319" s="109">
        <v>4120</v>
      </c>
      <c r="D319" s="125" t="s">
        <v>83</v>
      </c>
      <c r="E319" s="759">
        <v>612</v>
      </c>
      <c r="F319" s="759">
        <v>1153</v>
      </c>
      <c r="G319" s="759">
        <v>-724</v>
      </c>
      <c r="H319" s="749">
        <f t="shared" si="12"/>
        <v>429</v>
      </c>
    </row>
    <row r="320" spans="1:8" ht="12.75">
      <c r="A320" s="122"/>
      <c r="B320" s="109"/>
      <c r="C320" s="109">
        <v>4170</v>
      </c>
      <c r="D320" s="125" t="s">
        <v>84</v>
      </c>
      <c r="E320" s="759"/>
      <c r="F320" s="759">
        <v>210</v>
      </c>
      <c r="G320" s="759"/>
      <c r="H320" s="749">
        <f t="shared" si="12"/>
        <v>210</v>
      </c>
    </row>
    <row r="321" spans="1:8" ht="12.75">
      <c r="A321" s="122"/>
      <c r="B321" s="109"/>
      <c r="C321" s="109">
        <v>4210</v>
      </c>
      <c r="D321" s="125" t="s">
        <v>85</v>
      </c>
      <c r="E321" s="759"/>
      <c r="F321" s="759">
        <v>15300</v>
      </c>
      <c r="G321" s="759">
        <v>-15000</v>
      </c>
      <c r="H321" s="749">
        <f t="shared" si="12"/>
        <v>300</v>
      </c>
    </row>
    <row r="322" spans="1:8" ht="12.75">
      <c r="A322" s="122"/>
      <c r="B322" s="109"/>
      <c r="C322" s="109">
        <v>4300</v>
      </c>
      <c r="D322" s="125" t="s">
        <v>74</v>
      </c>
      <c r="E322" s="759"/>
      <c r="F322" s="759">
        <v>0</v>
      </c>
      <c r="G322" s="759">
        <v>15000</v>
      </c>
      <c r="H322" s="749">
        <f t="shared" si="12"/>
        <v>15000</v>
      </c>
    </row>
    <row r="323" spans="1:8" ht="12.75">
      <c r="A323" s="122"/>
      <c r="B323" s="109"/>
      <c r="C323" s="109">
        <v>4440</v>
      </c>
      <c r="D323" s="125" t="s">
        <v>94</v>
      </c>
      <c r="E323" s="759">
        <v>50864</v>
      </c>
      <c r="F323" s="759">
        <v>57755</v>
      </c>
      <c r="G323" s="759"/>
      <c r="H323" s="749">
        <f t="shared" si="12"/>
        <v>57755</v>
      </c>
    </row>
    <row r="324" spans="1:8" ht="12.75">
      <c r="A324" s="122"/>
      <c r="B324" s="109"/>
      <c r="C324" s="109">
        <v>8550</v>
      </c>
      <c r="D324" s="125" t="s">
        <v>76</v>
      </c>
      <c r="E324" s="759"/>
      <c r="F324" s="759">
        <v>4150</v>
      </c>
      <c r="G324" s="759"/>
      <c r="H324" s="749">
        <f t="shared" si="12"/>
        <v>4150</v>
      </c>
    </row>
    <row r="325" spans="1:8" ht="12.75">
      <c r="A325" s="122"/>
      <c r="B325" s="109"/>
      <c r="C325" s="109"/>
      <c r="D325" s="125"/>
      <c r="E325" s="759"/>
      <c r="F325" s="759"/>
      <c r="G325" s="759"/>
      <c r="H325" s="749"/>
    </row>
    <row r="326" spans="1:8" ht="12.75">
      <c r="A326" s="122"/>
      <c r="B326" s="80">
        <v>80197</v>
      </c>
      <c r="C326" s="80"/>
      <c r="D326" s="130" t="s">
        <v>598</v>
      </c>
      <c r="E326" s="758">
        <f>E327</f>
        <v>30040</v>
      </c>
      <c r="F326" s="758">
        <f>F327</f>
        <v>22998</v>
      </c>
      <c r="G326" s="758">
        <f>G327</f>
        <v>0</v>
      </c>
      <c r="H326" s="748">
        <f>H327</f>
        <v>22998</v>
      </c>
    </row>
    <row r="327" spans="1:8" ht="12.75">
      <c r="A327" s="122"/>
      <c r="B327" s="109"/>
      <c r="C327" s="109">
        <v>4110</v>
      </c>
      <c r="D327" s="125" t="s">
        <v>82</v>
      </c>
      <c r="E327" s="759">
        <v>30040</v>
      </c>
      <c r="F327" s="759">
        <v>22998</v>
      </c>
      <c r="G327" s="759"/>
      <c r="H327" s="749">
        <f>F327+G327</f>
        <v>22998</v>
      </c>
    </row>
    <row r="328" spans="1:8" ht="12.75">
      <c r="A328" s="122"/>
      <c r="B328" s="109"/>
      <c r="C328" s="109"/>
      <c r="D328" s="125"/>
      <c r="E328" s="759"/>
      <c r="F328" s="759"/>
      <c r="G328" s="759"/>
      <c r="H328" s="749"/>
    </row>
    <row r="329" spans="1:8" ht="13.5" thickBot="1">
      <c r="A329" s="127">
        <v>803</v>
      </c>
      <c r="B329" s="128"/>
      <c r="C329" s="128"/>
      <c r="D329" s="86" t="s">
        <v>151</v>
      </c>
      <c r="E329" s="103">
        <f>E330</f>
        <v>388183</v>
      </c>
      <c r="F329" s="103">
        <f>F330</f>
        <v>614084</v>
      </c>
      <c r="G329" s="103">
        <f>G330</f>
        <v>-7861</v>
      </c>
      <c r="H329" s="145">
        <f>H330</f>
        <v>606223</v>
      </c>
    </row>
    <row r="330" spans="1:8" ht="12.75">
      <c r="A330" s="122"/>
      <c r="B330" s="80">
        <v>80309</v>
      </c>
      <c r="C330" s="80"/>
      <c r="D330" s="130" t="s">
        <v>152</v>
      </c>
      <c r="E330" s="758">
        <f>SUM(E331:E342)</f>
        <v>388183</v>
      </c>
      <c r="F330" s="758">
        <f>SUM(F331:F345)</f>
        <v>614084</v>
      </c>
      <c r="G330" s="758">
        <f>SUM(G331:G345)</f>
        <v>-7861</v>
      </c>
      <c r="H330" s="748">
        <f>SUM(H331:H345)</f>
        <v>606223</v>
      </c>
    </row>
    <row r="331" spans="1:8" ht="12.75">
      <c r="A331" s="122"/>
      <c r="B331" s="109"/>
      <c r="C331" s="109">
        <v>3210</v>
      </c>
      <c r="D331" s="125" t="s">
        <v>153</v>
      </c>
      <c r="E331" s="759">
        <v>18280</v>
      </c>
      <c r="F331" s="759">
        <v>40131</v>
      </c>
      <c r="G331" s="759">
        <v>-7521</v>
      </c>
      <c r="H331" s="749">
        <f>F331+G331</f>
        <v>32610</v>
      </c>
    </row>
    <row r="332" spans="1:8" ht="12.75">
      <c r="A332" s="122"/>
      <c r="B332" s="109"/>
      <c r="C332" s="109">
        <v>3218</v>
      </c>
      <c r="D332" s="125" t="s">
        <v>153</v>
      </c>
      <c r="E332" s="759">
        <v>249076</v>
      </c>
      <c r="F332" s="759">
        <v>399877</v>
      </c>
      <c r="G332" s="759"/>
      <c r="H332" s="749">
        <f aca="true" t="shared" si="13" ref="H332:H345">F332+G332</f>
        <v>399877</v>
      </c>
    </row>
    <row r="333" spans="1:8" ht="12.75">
      <c r="A333" s="122"/>
      <c r="B333" s="109"/>
      <c r="C333" s="109">
        <v>3219</v>
      </c>
      <c r="D333" s="125" t="s">
        <v>153</v>
      </c>
      <c r="E333" s="759">
        <v>83025</v>
      </c>
      <c r="F333" s="759">
        <v>133292</v>
      </c>
      <c r="G333" s="759"/>
      <c r="H333" s="749">
        <f t="shared" si="13"/>
        <v>133292</v>
      </c>
    </row>
    <row r="334" spans="1:8" ht="12.75">
      <c r="A334" s="122"/>
      <c r="B334" s="109"/>
      <c r="C334" s="109">
        <v>4170</v>
      </c>
      <c r="D334" s="125" t="s">
        <v>84</v>
      </c>
      <c r="E334" s="759"/>
      <c r="F334" s="759">
        <v>1757</v>
      </c>
      <c r="G334" s="759"/>
      <c r="H334" s="749">
        <f t="shared" si="13"/>
        <v>1757</v>
      </c>
    </row>
    <row r="335" spans="1:8" ht="12.75">
      <c r="A335" s="122"/>
      <c r="B335" s="109"/>
      <c r="C335" s="109">
        <v>4178</v>
      </c>
      <c r="D335" s="125" t="s">
        <v>84</v>
      </c>
      <c r="E335" s="759"/>
      <c r="F335" s="759">
        <v>17507</v>
      </c>
      <c r="G335" s="759"/>
      <c r="H335" s="749">
        <f t="shared" si="13"/>
        <v>17507</v>
      </c>
    </row>
    <row r="336" spans="1:8" ht="12.75">
      <c r="A336" s="122"/>
      <c r="B336" s="109"/>
      <c r="C336" s="109">
        <v>4179</v>
      </c>
      <c r="D336" s="125" t="s">
        <v>84</v>
      </c>
      <c r="E336" s="759"/>
      <c r="F336" s="759">
        <v>5836</v>
      </c>
      <c r="G336" s="759"/>
      <c r="H336" s="749">
        <f t="shared" si="13"/>
        <v>5836</v>
      </c>
    </row>
    <row r="337" spans="1:8" ht="12.75">
      <c r="A337" s="122"/>
      <c r="B337" s="109"/>
      <c r="C337" s="109">
        <v>4210</v>
      </c>
      <c r="D337" s="125" t="s">
        <v>85</v>
      </c>
      <c r="E337" s="759">
        <v>984</v>
      </c>
      <c r="F337" s="759">
        <v>219</v>
      </c>
      <c r="G337" s="759"/>
      <c r="H337" s="749">
        <f t="shared" si="13"/>
        <v>219</v>
      </c>
    </row>
    <row r="338" spans="1:8" ht="12.75">
      <c r="A338" s="122"/>
      <c r="B338" s="109"/>
      <c r="C338" s="109">
        <v>4218</v>
      </c>
      <c r="D338" s="125" t="s">
        <v>85</v>
      </c>
      <c r="E338" s="759">
        <v>10481</v>
      </c>
      <c r="F338" s="759">
        <v>2179</v>
      </c>
      <c r="G338" s="759"/>
      <c r="H338" s="749">
        <f t="shared" si="13"/>
        <v>2179</v>
      </c>
    </row>
    <row r="339" spans="1:8" ht="12.75">
      <c r="A339" s="122"/>
      <c r="B339" s="109"/>
      <c r="C339" s="109">
        <v>4219</v>
      </c>
      <c r="D339" s="125" t="s">
        <v>85</v>
      </c>
      <c r="E339" s="759">
        <v>3494</v>
      </c>
      <c r="F339" s="759">
        <v>726</v>
      </c>
      <c r="G339" s="759"/>
      <c r="H339" s="749">
        <f t="shared" si="13"/>
        <v>726</v>
      </c>
    </row>
    <row r="340" spans="1:8" ht="12.75">
      <c r="A340" s="122"/>
      <c r="B340" s="109"/>
      <c r="C340" s="109">
        <v>4300</v>
      </c>
      <c r="D340" s="125" t="s">
        <v>74</v>
      </c>
      <c r="E340" s="759">
        <v>4826</v>
      </c>
      <c r="F340" s="759">
        <v>834</v>
      </c>
      <c r="G340" s="759">
        <v>-340</v>
      </c>
      <c r="H340" s="749">
        <f t="shared" si="13"/>
        <v>494</v>
      </c>
    </row>
    <row r="341" spans="1:8" ht="12.75">
      <c r="A341" s="122"/>
      <c r="B341" s="109"/>
      <c r="C341" s="109">
        <v>4308</v>
      </c>
      <c r="D341" s="125" t="s">
        <v>74</v>
      </c>
      <c r="E341" s="759">
        <v>13513</v>
      </c>
      <c r="F341" s="759">
        <v>8321</v>
      </c>
      <c r="G341" s="759"/>
      <c r="H341" s="749">
        <f t="shared" si="13"/>
        <v>8321</v>
      </c>
    </row>
    <row r="342" spans="1:8" ht="12.75">
      <c r="A342" s="122"/>
      <c r="B342" s="109"/>
      <c r="C342" s="109">
        <v>4309</v>
      </c>
      <c r="D342" s="125" t="s">
        <v>74</v>
      </c>
      <c r="E342" s="759">
        <v>4504</v>
      </c>
      <c r="F342" s="759">
        <v>2773</v>
      </c>
      <c r="G342" s="759"/>
      <c r="H342" s="749">
        <f t="shared" si="13"/>
        <v>2773</v>
      </c>
    </row>
    <row r="343" spans="1:8" ht="12.75">
      <c r="A343" s="122"/>
      <c r="B343" s="109"/>
      <c r="C343" s="109">
        <v>4740</v>
      </c>
      <c r="D343" s="125" t="s">
        <v>122</v>
      </c>
      <c r="E343" s="759"/>
      <c r="F343" s="759">
        <v>45</v>
      </c>
      <c r="G343" s="759"/>
      <c r="H343" s="749">
        <f t="shared" si="13"/>
        <v>45</v>
      </c>
    </row>
    <row r="344" spans="1:8" ht="12.75">
      <c r="A344" s="122"/>
      <c r="B344" s="109"/>
      <c r="C344" s="109">
        <v>4748</v>
      </c>
      <c r="D344" s="125" t="s">
        <v>122</v>
      </c>
      <c r="E344" s="759"/>
      <c r="F344" s="759">
        <v>440</v>
      </c>
      <c r="G344" s="759"/>
      <c r="H344" s="749">
        <f t="shared" si="13"/>
        <v>440</v>
      </c>
    </row>
    <row r="345" spans="1:8" ht="12.75">
      <c r="A345" s="122"/>
      <c r="B345" s="109"/>
      <c r="C345" s="109">
        <v>4749</v>
      </c>
      <c r="D345" s="125" t="s">
        <v>122</v>
      </c>
      <c r="E345" s="759"/>
      <c r="F345" s="759">
        <v>147</v>
      </c>
      <c r="G345" s="759"/>
      <c r="H345" s="749">
        <f t="shared" si="13"/>
        <v>147</v>
      </c>
    </row>
    <row r="346" spans="1:8" ht="12.75">
      <c r="A346" s="122"/>
      <c r="B346" s="109"/>
      <c r="C346" s="109"/>
      <c r="D346" s="125"/>
      <c r="E346" s="759"/>
      <c r="F346" s="759"/>
      <c r="G346" s="759"/>
      <c r="H346" s="749"/>
    </row>
    <row r="347" spans="1:8" ht="13.5" thickBot="1">
      <c r="A347" s="79">
        <v>851</v>
      </c>
      <c r="B347" s="128"/>
      <c r="C347" s="128"/>
      <c r="D347" s="86" t="s">
        <v>154</v>
      </c>
      <c r="E347" s="103" t="e">
        <f>E356+E361+E353+#REF!+#REF!</f>
        <v>#REF!</v>
      </c>
      <c r="F347" s="103">
        <f>F356+F361+F353+F348</f>
        <v>86342</v>
      </c>
      <c r="G347" s="103">
        <f>G356+G361+G353+G348</f>
        <v>0</v>
      </c>
      <c r="H347" s="145">
        <f>H356+H361+H353+H348</f>
        <v>86342</v>
      </c>
    </row>
    <row r="348" spans="1:8" ht="12.75">
      <c r="A348" s="104"/>
      <c r="B348" s="120">
        <v>85111</v>
      </c>
      <c r="C348" s="120"/>
      <c r="D348" s="87" t="s">
        <v>701</v>
      </c>
      <c r="E348" s="764"/>
      <c r="F348" s="764">
        <f>F349</f>
        <v>13000</v>
      </c>
      <c r="G348" s="764">
        <f>G349</f>
        <v>0</v>
      </c>
      <c r="H348" s="750">
        <f>H349</f>
        <v>13000</v>
      </c>
    </row>
    <row r="349" spans="1:8" ht="12.75">
      <c r="A349" s="104"/>
      <c r="B349" s="109"/>
      <c r="C349" s="109">
        <v>6220</v>
      </c>
      <c r="D349" s="125" t="s">
        <v>702</v>
      </c>
      <c r="E349" s="759"/>
      <c r="F349" s="759">
        <v>13000</v>
      </c>
      <c r="G349" s="759"/>
      <c r="H349" s="749">
        <f>F349+G349</f>
        <v>13000</v>
      </c>
    </row>
    <row r="350" spans="1:8" ht="12.75">
      <c r="A350" s="104"/>
      <c r="B350" s="109"/>
      <c r="C350" s="109"/>
      <c r="D350" s="125" t="s">
        <v>703</v>
      </c>
      <c r="E350" s="759"/>
      <c r="F350" s="759"/>
      <c r="G350" s="759"/>
      <c r="H350" s="749"/>
    </row>
    <row r="351" spans="1:8" ht="12.75">
      <c r="A351" s="104"/>
      <c r="B351" s="109"/>
      <c r="C351" s="109"/>
      <c r="D351" s="125" t="s">
        <v>704</v>
      </c>
      <c r="E351" s="759"/>
      <c r="F351" s="759"/>
      <c r="G351" s="759"/>
      <c r="H351" s="749"/>
    </row>
    <row r="352" spans="1:8" ht="12.75">
      <c r="A352" s="104"/>
      <c r="B352" s="109"/>
      <c r="C352" s="109"/>
      <c r="D352" s="125"/>
      <c r="E352" s="759"/>
      <c r="F352" s="759"/>
      <c r="G352" s="759"/>
      <c r="H352" s="749"/>
    </row>
    <row r="353" spans="1:8" ht="12.75">
      <c r="A353" s="104"/>
      <c r="B353" s="80">
        <v>85149</v>
      </c>
      <c r="C353" s="80"/>
      <c r="D353" s="130" t="s">
        <v>156</v>
      </c>
      <c r="E353" s="758">
        <f>SUM(E354:E354)</f>
        <v>3000</v>
      </c>
      <c r="F353" s="758">
        <f>SUM(F354:F354)</f>
        <v>3000</v>
      </c>
      <c r="G353" s="758">
        <f>SUM(G354:G354)</f>
        <v>0</v>
      </c>
      <c r="H353" s="748">
        <f>SUM(H354:H354)</f>
        <v>3000</v>
      </c>
    </row>
    <row r="354" spans="1:8" ht="12.75">
      <c r="A354" s="104"/>
      <c r="B354" s="131"/>
      <c r="C354" s="109">
        <v>4300</v>
      </c>
      <c r="D354" s="125" t="s">
        <v>74</v>
      </c>
      <c r="E354" s="759">
        <v>3000</v>
      </c>
      <c r="F354" s="759">
        <v>3000</v>
      </c>
      <c r="G354" s="759"/>
      <c r="H354" s="749">
        <f>F354+G354</f>
        <v>3000</v>
      </c>
    </row>
    <row r="355" spans="1:8" ht="12.75">
      <c r="A355" s="104"/>
      <c r="B355" s="131"/>
      <c r="C355" s="131"/>
      <c r="D355" s="132"/>
      <c r="E355" s="759"/>
      <c r="F355" s="759"/>
      <c r="G355" s="759"/>
      <c r="H355" s="749"/>
    </row>
    <row r="356" spans="1:8" ht="12.75">
      <c r="A356" s="104"/>
      <c r="B356" s="80">
        <v>85154</v>
      </c>
      <c r="C356" s="80"/>
      <c r="D356" s="130" t="s">
        <v>314</v>
      </c>
      <c r="E356" s="758">
        <f>SUM(E359:E359)</f>
        <v>14833</v>
      </c>
      <c r="F356" s="758">
        <f>SUM(F357:F359)</f>
        <v>13925</v>
      </c>
      <c r="G356" s="758">
        <f>SUM(G357:G359)</f>
        <v>0</v>
      </c>
      <c r="H356" s="748">
        <f>SUM(H357:H359)</f>
        <v>13925</v>
      </c>
    </row>
    <row r="357" spans="1:8" ht="12.75">
      <c r="A357" s="104"/>
      <c r="B357" s="109"/>
      <c r="C357" s="109">
        <v>4110</v>
      </c>
      <c r="D357" s="125" t="s">
        <v>82</v>
      </c>
      <c r="E357" s="759"/>
      <c r="F357" s="759">
        <v>846</v>
      </c>
      <c r="G357" s="759"/>
      <c r="H357" s="749">
        <f>F357+G357</f>
        <v>846</v>
      </c>
    </row>
    <row r="358" spans="1:8" ht="12.75">
      <c r="A358" s="104"/>
      <c r="B358" s="109"/>
      <c r="C358" s="109">
        <v>4170</v>
      </c>
      <c r="D358" s="125" t="s">
        <v>84</v>
      </c>
      <c r="E358" s="759"/>
      <c r="F358" s="759">
        <v>2704</v>
      </c>
      <c r="G358" s="759"/>
      <c r="H358" s="749">
        <f>F358+G358</f>
        <v>2704</v>
      </c>
    </row>
    <row r="359" spans="1:8" ht="12.75">
      <c r="A359" s="104"/>
      <c r="B359" s="109"/>
      <c r="C359" s="109">
        <v>4300</v>
      </c>
      <c r="D359" s="125" t="s">
        <v>74</v>
      </c>
      <c r="E359" s="759">
        <v>14833</v>
      </c>
      <c r="F359" s="759">
        <v>10375</v>
      </c>
      <c r="G359" s="759"/>
      <c r="H359" s="749">
        <f>F359+G359</f>
        <v>10375</v>
      </c>
    </row>
    <row r="360" spans="1:8" ht="12.75">
      <c r="A360" s="104"/>
      <c r="B360" s="109"/>
      <c r="C360" s="109"/>
      <c r="D360" s="125"/>
      <c r="E360" s="759"/>
      <c r="F360" s="759"/>
      <c r="G360" s="759"/>
      <c r="H360" s="749"/>
    </row>
    <row r="361" spans="1:8" ht="12.75">
      <c r="A361" s="122"/>
      <c r="B361" s="109">
        <v>85156</v>
      </c>
      <c r="C361" s="109"/>
      <c r="D361" s="125" t="s">
        <v>695</v>
      </c>
      <c r="E361" s="759">
        <f>SUM(E363:E363)</f>
        <v>2529000</v>
      </c>
      <c r="F361" s="759">
        <f>SUM(F363:F363)</f>
        <v>56417</v>
      </c>
      <c r="G361" s="759">
        <f>SUM(G363:G363)</f>
        <v>0</v>
      </c>
      <c r="H361" s="749">
        <f>SUM(H363:H363)</f>
        <v>56417</v>
      </c>
    </row>
    <row r="362" spans="1:8" ht="12.75">
      <c r="A362" s="122"/>
      <c r="B362" s="80"/>
      <c r="C362" s="80"/>
      <c r="D362" s="130" t="s">
        <v>696</v>
      </c>
      <c r="E362" s="758"/>
      <c r="F362" s="758"/>
      <c r="G362" s="758"/>
      <c r="H362" s="748"/>
    </row>
    <row r="363" spans="1:8" ht="12.75">
      <c r="A363" s="122"/>
      <c r="B363" s="125"/>
      <c r="C363" s="140" t="s">
        <v>158</v>
      </c>
      <c r="D363" s="125" t="s">
        <v>159</v>
      </c>
      <c r="E363" s="759">
        <v>2529000</v>
      </c>
      <c r="F363" s="759">
        <v>56417</v>
      </c>
      <c r="G363" s="759"/>
      <c r="H363" s="749">
        <f>F363+G363</f>
        <v>56417</v>
      </c>
    </row>
    <row r="364" spans="1:8" ht="12.75">
      <c r="A364" s="122"/>
      <c r="B364" s="132"/>
      <c r="C364" s="765"/>
      <c r="D364" s="132"/>
      <c r="E364" s="759"/>
      <c r="F364" s="759"/>
      <c r="G364" s="759"/>
      <c r="H364" s="749"/>
    </row>
    <row r="365" spans="1:8" ht="13.5" thickBot="1">
      <c r="A365" s="79">
        <v>852</v>
      </c>
      <c r="B365" s="86"/>
      <c r="C365" s="343"/>
      <c r="D365" s="86" t="s">
        <v>160</v>
      </c>
      <c r="E365" s="103" t="e">
        <f>E366+E394+E450+E459+E482+E425+#REF!+#REF!</f>
        <v>#REF!</v>
      </c>
      <c r="F365" s="103">
        <f>F366+F394+F450+F459+F482+F425+F494+F491</f>
        <v>10013281</v>
      </c>
      <c r="G365" s="103">
        <f>G366+G394+G450+G459+G482+G425+G494+G491</f>
        <v>43355</v>
      </c>
      <c r="H365" s="145">
        <f>H366+H394+H450+H459+H482+H425+H494+H491</f>
        <v>10056636</v>
      </c>
    </row>
    <row r="366" spans="1:8" ht="12.75">
      <c r="A366" s="122"/>
      <c r="B366" s="80">
        <v>85201</v>
      </c>
      <c r="C366" s="80"/>
      <c r="D366" s="130" t="s">
        <v>161</v>
      </c>
      <c r="E366" s="758">
        <f>SUM(E367:E392)</f>
        <v>2019498</v>
      </c>
      <c r="F366" s="758">
        <f>SUM(F367:F392)</f>
        <v>2154180</v>
      </c>
      <c r="G366" s="758">
        <f>SUM(G367:G392)</f>
        <v>-97866</v>
      </c>
      <c r="H366" s="748">
        <f>SUM(H367:H392)</f>
        <v>2056314</v>
      </c>
    </row>
    <row r="367" spans="1:8" ht="12.75">
      <c r="A367" s="122"/>
      <c r="B367" s="109"/>
      <c r="C367" s="109">
        <v>2310</v>
      </c>
      <c r="D367" s="125" t="s">
        <v>155</v>
      </c>
      <c r="E367" s="759">
        <v>549625</v>
      </c>
      <c r="F367" s="759">
        <v>584432</v>
      </c>
      <c r="G367" s="759">
        <f>-19803-6400-580-105170</f>
        <v>-131953</v>
      </c>
      <c r="H367" s="749">
        <f>F367+G367</f>
        <v>452479</v>
      </c>
    </row>
    <row r="368" spans="1:8" ht="12.75">
      <c r="A368" s="122"/>
      <c r="B368" s="125"/>
      <c r="C368" s="109">
        <v>3020</v>
      </c>
      <c r="D368" s="125" t="s">
        <v>79</v>
      </c>
      <c r="E368" s="759">
        <v>17800</v>
      </c>
      <c r="F368" s="759">
        <v>16870</v>
      </c>
      <c r="G368" s="759">
        <v>217</v>
      </c>
      <c r="H368" s="749">
        <f aca="true" t="shared" si="14" ref="H368:H392">F368+G368</f>
        <v>17087</v>
      </c>
    </row>
    <row r="369" spans="1:10" ht="12.75">
      <c r="A369" s="122"/>
      <c r="B369" s="125"/>
      <c r="C369" s="109">
        <v>3110</v>
      </c>
      <c r="D369" s="125" t="s">
        <v>162</v>
      </c>
      <c r="E369" s="759">
        <v>98506</v>
      </c>
      <c r="F369" s="759">
        <v>130290</v>
      </c>
      <c r="G369" s="759">
        <f>-955+6400</f>
        <v>5445</v>
      </c>
      <c r="H369" s="749">
        <f t="shared" si="14"/>
        <v>135735</v>
      </c>
      <c r="J369" s="91">
        <f>SUM(H370:H374)</f>
        <v>878876</v>
      </c>
    </row>
    <row r="370" spans="1:8" ht="12.75">
      <c r="A370" s="122"/>
      <c r="B370" s="125"/>
      <c r="C370" s="109">
        <v>4010</v>
      </c>
      <c r="D370" s="125" t="s">
        <v>80</v>
      </c>
      <c r="E370" s="759">
        <v>620000</v>
      </c>
      <c r="F370" s="759">
        <v>672887</v>
      </c>
      <c r="G370" s="759">
        <f>951+26881-12770+580</f>
        <v>15642</v>
      </c>
      <c r="H370" s="749">
        <f t="shared" si="14"/>
        <v>688529</v>
      </c>
    </row>
    <row r="371" spans="1:8" ht="12.75">
      <c r="A371" s="122"/>
      <c r="B371" s="125"/>
      <c r="C371" s="109">
        <v>4040</v>
      </c>
      <c r="D371" s="125" t="s">
        <v>81</v>
      </c>
      <c r="E371" s="759">
        <v>50137</v>
      </c>
      <c r="F371" s="759">
        <v>45220</v>
      </c>
      <c r="G371" s="759">
        <v>-951</v>
      </c>
      <c r="H371" s="749">
        <f t="shared" si="14"/>
        <v>44269</v>
      </c>
    </row>
    <row r="372" spans="1:10" ht="12.75">
      <c r="A372" s="122"/>
      <c r="B372" s="125"/>
      <c r="C372" s="109">
        <v>4110</v>
      </c>
      <c r="D372" s="125" t="s">
        <v>82</v>
      </c>
      <c r="E372" s="759">
        <v>119392</v>
      </c>
      <c r="F372" s="759">
        <v>122570</v>
      </c>
      <c r="G372" s="759">
        <v>5132</v>
      </c>
      <c r="H372" s="749">
        <f t="shared" si="14"/>
        <v>127702</v>
      </c>
      <c r="J372" s="91">
        <f>SUM(F375:F390)+F368+F369</f>
        <v>709055</v>
      </c>
    </row>
    <row r="373" spans="1:8" ht="12.75">
      <c r="A373" s="122"/>
      <c r="B373" s="125"/>
      <c r="C373" s="109">
        <v>4120</v>
      </c>
      <c r="D373" s="125" t="s">
        <v>83</v>
      </c>
      <c r="E373" s="759">
        <v>16497</v>
      </c>
      <c r="F373" s="759">
        <v>17016</v>
      </c>
      <c r="G373" s="759">
        <v>560</v>
      </c>
      <c r="H373" s="749">
        <f t="shared" si="14"/>
        <v>17576</v>
      </c>
    </row>
    <row r="374" spans="1:8" ht="12.75">
      <c r="A374" s="122"/>
      <c r="B374" s="125"/>
      <c r="C374" s="109">
        <v>4170</v>
      </c>
      <c r="D374" s="125" t="s">
        <v>84</v>
      </c>
      <c r="E374" s="759">
        <v>3000</v>
      </c>
      <c r="F374" s="759">
        <v>800</v>
      </c>
      <c r="G374" s="759"/>
      <c r="H374" s="749">
        <f t="shared" si="14"/>
        <v>800</v>
      </c>
    </row>
    <row r="375" spans="1:8" ht="12.75">
      <c r="A375" s="122"/>
      <c r="B375" s="125"/>
      <c r="C375" s="109">
        <v>4210</v>
      </c>
      <c r="D375" s="125" t="s">
        <v>85</v>
      </c>
      <c r="E375" s="759">
        <v>125500</v>
      </c>
      <c r="F375" s="759">
        <v>137386</v>
      </c>
      <c r="G375" s="759">
        <v>3103</v>
      </c>
      <c r="H375" s="749">
        <f t="shared" si="14"/>
        <v>140489</v>
      </c>
    </row>
    <row r="376" spans="1:8" ht="12.75">
      <c r="A376" s="122"/>
      <c r="B376" s="125"/>
      <c r="C376" s="109">
        <v>4220</v>
      </c>
      <c r="D376" s="125" t="s">
        <v>163</v>
      </c>
      <c r="E376" s="759">
        <v>85180</v>
      </c>
      <c r="F376" s="759">
        <v>71700</v>
      </c>
      <c r="G376" s="759"/>
      <c r="H376" s="749">
        <f t="shared" si="14"/>
        <v>71700</v>
      </c>
    </row>
    <row r="377" spans="1:8" ht="12.75">
      <c r="A377" s="122"/>
      <c r="B377" s="125"/>
      <c r="C377" s="109">
        <v>4240</v>
      </c>
      <c r="D377" s="125" t="s">
        <v>144</v>
      </c>
      <c r="E377" s="759">
        <v>8600</v>
      </c>
      <c r="F377" s="759">
        <v>11450</v>
      </c>
      <c r="G377" s="759">
        <v>-943</v>
      </c>
      <c r="H377" s="749">
        <f t="shared" si="14"/>
        <v>10507</v>
      </c>
    </row>
    <row r="378" spans="1:8" ht="12.75">
      <c r="A378" s="122"/>
      <c r="B378" s="125"/>
      <c r="C378" s="109">
        <v>4260</v>
      </c>
      <c r="D378" s="125" t="s">
        <v>86</v>
      </c>
      <c r="E378" s="759">
        <v>53100</v>
      </c>
      <c r="F378" s="759">
        <v>58000</v>
      </c>
      <c r="G378" s="759">
        <v>-7446</v>
      </c>
      <c r="H378" s="749">
        <f t="shared" si="14"/>
        <v>50554</v>
      </c>
    </row>
    <row r="379" spans="1:8" ht="12.75">
      <c r="A379" s="122"/>
      <c r="B379" s="125"/>
      <c r="C379" s="109">
        <v>4268</v>
      </c>
      <c r="D379" s="125" t="s">
        <v>86</v>
      </c>
      <c r="E379" s="759"/>
      <c r="F379" s="759">
        <v>1418</v>
      </c>
      <c r="G379" s="759"/>
      <c r="H379" s="749">
        <f t="shared" si="14"/>
        <v>1418</v>
      </c>
    </row>
    <row r="380" spans="1:8" ht="12.75">
      <c r="A380" s="122"/>
      <c r="B380" s="125"/>
      <c r="C380" s="109">
        <v>4269</v>
      </c>
      <c r="D380" s="125" t="s">
        <v>86</v>
      </c>
      <c r="E380" s="759"/>
      <c r="F380" s="759">
        <v>385</v>
      </c>
      <c r="G380" s="759"/>
      <c r="H380" s="749">
        <f t="shared" si="14"/>
        <v>385</v>
      </c>
    </row>
    <row r="381" spans="1:8" ht="12.75">
      <c r="A381" s="122"/>
      <c r="B381" s="125"/>
      <c r="C381" s="109">
        <v>4270</v>
      </c>
      <c r="D381" s="125" t="s">
        <v>87</v>
      </c>
      <c r="E381" s="759">
        <v>103158</v>
      </c>
      <c r="F381" s="759">
        <v>98360</v>
      </c>
      <c r="G381" s="759">
        <v>14437</v>
      </c>
      <c r="H381" s="749">
        <f t="shared" si="14"/>
        <v>112797</v>
      </c>
    </row>
    <row r="382" spans="1:8" ht="12.75">
      <c r="A382" s="122"/>
      <c r="B382" s="125"/>
      <c r="C382" s="109">
        <v>4280</v>
      </c>
      <c r="D382" s="125" t="s">
        <v>88</v>
      </c>
      <c r="E382" s="759">
        <v>1100</v>
      </c>
      <c r="F382" s="759">
        <v>1100</v>
      </c>
      <c r="G382" s="759">
        <v>-532</v>
      </c>
      <c r="H382" s="749">
        <f t="shared" si="14"/>
        <v>568</v>
      </c>
    </row>
    <row r="383" spans="1:8" ht="12.75">
      <c r="A383" s="122"/>
      <c r="B383" s="125"/>
      <c r="C383" s="109">
        <v>4300</v>
      </c>
      <c r="D383" s="125" t="s">
        <v>74</v>
      </c>
      <c r="E383" s="759">
        <v>117800</v>
      </c>
      <c r="F383" s="759">
        <v>109300</v>
      </c>
      <c r="G383" s="759"/>
      <c r="H383" s="749">
        <f t="shared" si="14"/>
        <v>109300</v>
      </c>
    </row>
    <row r="384" spans="1:8" ht="12.75">
      <c r="A384" s="122"/>
      <c r="B384" s="125"/>
      <c r="C384" s="109">
        <v>4350</v>
      </c>
      <c r="D384" s="125" t="s">
        <v>128</v>
      </c>
      <c r="E384" s="759">
        <v>0</v>
      </c>
      <c r="F384" s="759">
        <v>2600</v>
      </c>
      <c r="G384" s="759">
        <v>-500</v>
      </c>
      <c r="H384" s="749">
        <f t="shared" si="14"/>
        <v>2100</v>
      </c>
    </row>
    <row r="385" spans="1:8" ht="12.75">
      <c r="A385" s="122"/>
      <c r="B385" s="125"/>
      <c r="C385" s="109">
        <v>4360</v>
      </c>
      <c r="D385" s="125" t="s">
        <v>90</v>
      </c>
      <c r="E385" s="759">
        <v>0</v>
      </c>
      <c r="F385" s="759">
        <v>5900</v>
      </c>
      <c r="G385" s="759">
        <v>2157</v>
      </c>
      <c r="H385" s="749">
        <f t="shared" si="14"/>
        <v>8057</v>
      </c>
    </row>
    <row r="386" spans="1:8" ht="12.75">
      <c r="A386" s="122"/>
      <c r="B386" s="125"/>
      <c r="C386" s="109">
        <v>4370</v>
      </c>
      <c r="D386" s="125" t="s">
        <v>91</v>
      </c>
      <c r="E386" s="759">
        <v>0</v>
      </c>
      <c r="F386" s="759">
        <v>17900</v>
      </c>
      <c r="G386" s="759">
        <v>-2054</v>
      </c>
      <c r="H386" s="749">
        <f t="shared" si="14"/>
        <v>15846</v>
      </c>
    </row>
    <row r="387" spans="1:8" ht="12.75">
      <c r="A387" s="122"/>
      <c r="B387" s="125"/>
      <c r="C387" s="109">
        <v>4410</v>
      </c>
      <c r="D387" s="125" t="s">
        <v>92</v>
      </c>
      <c r="E387" s="759">
        <v>6000</v>
      </c>
      <c r="F387" s="759">
        <v>2500</v>
      </c>
      <c r="G387" s="759">
        <v>-592</v>
      </c>
      <c r="H387" s="749">
        <f t="shared" si="14"/>
        <v>1908</v>
      </c>
    </row>
    <row r="388" spans="1:8" ht="12.75">
      <c r="A388" s="122"/>
      <c r="B388" s="125"/>
      <c r="C388" s="109">
        <v>4430</v>
      </c>
      <c r="D388" s="125" t="s">
        <v>93</v>
      </c>
      <c r="E388" s="759">
        <v>7417</v>
      </c>
      <c r="F388" s="759">
        <v>7417</v>
      </c>
      <c r="G388" s="759">
        <v>180</v>
      </c>
      <c r="H388" s="749">
        <f t="shared" si="14"/>
        <v>7597</v>
      </c>
    </row>
    <row r="389" spans="1:8" ht="12.75">
      <c r="A389" s="122"/>
      <c r="B389" s="125"/>
      <c r="C389" s="109">
        <v>4440</v>
      </c>
      <c r="D389" s="125" t="s">
        <v>94</v>
      </c>
      <c r="E389" s="759">
        <v>33901</v>
      </c>
      <c r="F389" s="759">
        <v>33695</v>
      </c>
      <c r="G389" s="759"/>
      <c r="H389" s="749">
        <f t="shared" si="14"/>
        <v>33695</v>
      </c>
    </row>
    <row r="390" spans="1:8" ht="12.75">
      <c r="A390" s="122"/>
      <c r="B390" s="125"/>
      <c r="C390" s="109">
        <v>4480</v>
      </c>
      <c r="D390" s="125" t="s">
        <v>95</v>
      </c>
      <c r="E390" s="759">
        <v>2785</v>
      </c>
      <c r="F390" s="759">
        <v>2784</v>
      </c>
      <c r="G390" s="759"/>
      <c r="H390" s="749">
        <f>F390+G390</f>
        <v>2784</v>
      </c>
    </row>
    <row r="391" spans="1:8" ht="12.75">
      <c r="A391" s="122"/>
      <c r="B391" s="125"/>
      <c r="C391" s="109">
        <v>4740</v>
      </c>
      <c r="D391" s="125" t="s">
        <v>122</v>
      </c>
      <c r="E391" s="759">
        <v>0</v>
      </c>
      <c r="F391" s="759">
        <v>1200</v>
      </c>
      <c r="G391" s="759"/>
      <c r="H391" s="749">
        <f t="shared" si="14"/>
        <v>1200</v>
      </c>
    </row>
    <row r="392" spans="1:8" ht="12.75">
      <c r="A392" s="122"/>
      <c r="B392" s="125"/>
      <c r="C392" s="109">
        <v>4750</v>
      </c>
      <c r="D392" s="125" t="s">
        <v>123</v>
      </c>
      <c r="E392" s="759">
        <v>0</v>
      </c>
      <c r="F392" s="759">
        <v>1000</v>
      </c>
      <c r="G392" s="759">
        <v>232</v>
      </c>
      <c r="H392" s="749">
        <f t="shared" si="14"/>
        <v>1232</v>
      </c>
    </row>
    <row r="393" spans="1:8" ht="12.75">
      <c r="A393" s="122"/>
      <c r="B393" s="125"/>
      <c r="C393" s="109"/>
      <c r="D393" s="125"/>
      <c r="E393" s="759"/>
      <c r="F393" s="759"/>
      <c r="G393" s="759"/>
      <c r="H393" s="749"/>
    </row>
    <row r="394" spans="1:8" ht="12.75">
      <c r="A394" s="122"/>
      <c r="B394" s="80">
        <v>85202</v>
      </c>
      <c r="C394" s="80"/>
      <c r="D394" s="130" t="s">
        <v>164</v>
      </c>
      <c r="E394" s="758">
        <f>SUM(E395:E422)</f>
        <v>4256602</v>
      </c>
      <c r="F394" s="758">
        <f>SUM(F395:F423)</f>
        <v>5063448</v>
      </c>
      <c r="G394" s="758">
        <f>SUM(G395:G423)</f>
        <v>18678</v>
      </c>
      <c r="H394" s="748">
        <f>SUM(H395:H423)</f>
        <v>5082126</v>
      </c>
    </row>
    <row r="395" spans="1:8" ht="12.75">
      <c r="A395" s="122"/>
      <c r="B395" s="109"/>
      <c r="C395" s="109">
        <v>3020</v>
      </c>
      <c r="D395" s="125" t="s">
        <v>79</v>
      </c>
      <c r="E395" s="759">
        <v>16260</v>
      </c>
      <c r="F395" s="759">
        <v>28750</v>
      </c>
      <c r="G395" s="759">
        <v>-12</v>
      </c>
      <c r="H395" s="749">
        <f>F395+G395</f>
        <v>28738</v>
      </c>
    </row>
    <row r="396" spans="1:10" ht="12.75">
      <c r="A396" s="122"/>
      <c r="B396" s="109"/>
      <c r="C396" s="109">
        <v>4010</v>
      </c>
      <c r="D396" s="125" t="s">
        <v>80</v>
      </c>
      <c r="E396" s="759">
        <v>1881353</v>
      </c>
      <c r="F396" s="759">
        <v>2083253</v>
      </c>
      <c r="G396" s="759">
        <v>1702</v>
      </c>
      <c r="H396" s="749">
        <f aca="true" t="shared" si="15" ref="H396:H423">F396+G396</f>
        <v>2084955</v>
      </c>
      <c r="J396" s="91">
        <f>SUM(H396:H399)</f>
        <v>2655398</v>
      </c>
    </row>
    <row r="397" spans="1:8" ht="12.75">
      <c r="A397" s="122"/>
      <c r="B397" s="109"/>
      <c r="C397" s="109">
        <v>4040</v>
      </c>
      <c r="D397" s="125" t="s">
        <v>81</v>
      </c>
      <c r="E397" s="759">
        <v>149354</v>
      </c>
      <c r="F397" s="759">
        <v>140989</v>
      </c>
      <c r="G397" s="759"/>
      <c r="H397" s="749">
        <f t="shared" si="15"/>
        <v>140989</v>
      </c>
    </row>
    <row r="398" spans="1:8" ht="12.75">
      <c r="A398" s="122"/>
      <c r="B398" s="109"/>
      <c r="C398" s="109">
        <v>4110</v>
      </c>
      <c r="D398" s="125" t="s">
        <v>82</v>
      </c>
      <c r="E398" s="759">
        <v>338302</v>
      </c>
      <c r="F398" s="759">
        <v>378592</v>
      </c>
      <c r="G398" s="759">
        <v>-1702</v>
      </c>
      <c r="H398" s="749">
        <f t="shared" si="15"/>
        <v>376890</v>
      </c>
    </row>
    <row r="399" spans="1:8" ht="12.75">
      <c r="A399" s="122"/>
      <c r="B399" s="109"/>
      <c r="C399" s="109">
        <v>4120</v>
      </c>
      <c r="D399" s="125" t="s">
        <v>83</v>
      </c>
      <c r="E399" s="759">
        <v>48177</v>
      </c>
      <c r="F399" s="759">
        <v>52609</v>
      </c>
      <c r="G399" s="759">
        <v>-45</v>
      </c>
      <c r="H399" s="749">
        <f t="shared" si="15"/>
        <v>52564</v>
      </c>
    </row>
    <row r="400" spans="1:8" ht="12.75">
      <c r="A400" s="122"/>
      <c r="B400" s="109"/>
      <c r="C400" s="109">
        <v>4170</v>
      </c>
      <c r="D400" s="125" t="s">
        <v>84</v>
      </c>
      <c r="E400" s="759"/>
      <c r="F400" s="759">
        <v>10500</v>
      </c>
      <c r="G400" s="759">
        <v>-270</v>
      </c>
      <c r="H400" s="749">
        <f t="shared" si="15"/>
        <v>10230</v>
      </c>
    </row>
    <row r="401" spans="1:8" ht="12.75">
      <c r="A401" s="122"/>
      <c r="B401" s="109"/>
      <c r="C401" s="109">
        <v>4210</v>
      </c>
      <c r="D401" s="125" t="s">
        <v>85</v>
      </c>
      <c r="E401" s="759">
        <f>465285+50000</f>
        <v>515285</v>
      </c>
      <c r="F401" s="759">
        <v>525711</v>
      </c>
      <c r="G401" s="759">
        <f>5740-948+325+21102+3611</f>
        <v>29830</v>
      </c>
      <c r="H401" s="749">
        <f t="shared" si="15"/>
        <v>555541</v>
      </c>
    </row>
    <row r="402" spans="1:8" ht="12.75">
      <c r="A402" s="122"/>
      <c r="B402" s="109"/>
      <c r="C402" s="109">
        <v>4220</v>
      </c>
      <c r="D402" s="125" t="s">
        <v>163</v>
      </c>
      <c r="E402" s="759">
        <f>428038+50000</f>
        <v>478038</v>
      </c>
      <c r="F402" s="759">
        <v>459820</v>
      </c>
      <c r="G402" s="759">
        <v>-4500</v>
      </c>
      <c r="H402" s="749">
        <f t="shared" si="15"/>
        <v>455320</v>
      </c>
    </row>
    <row r="403" spans="1:8" ht="12.75">
      <c r="A403" s="122"/>
      <c r="B403" s="109"/>
      <c r="C403" s="109">
        <v>4230</v>
      </c>
      <c r="D403" s="125" t="s">
        <v>747</v>
      </c>
      <c r="E403" s="759">
        <v>38106</v>
      </c>
      <c r="F403" s="759">
        <v>39428</v>
      </c>
      <c r="G403" s="759">
        <f>-5000-460+300+484</f>
        <v>-4676</v>
      </c>
      <c r="H403" s="749">
        <f t="shared" si="15"/>
        <v>34752</v>
      </c>
    </row>
    <row r="404" spans="1:8" ht="12.75">
      <c r="A404" s="122"/>
      <c r="B404" s="109"/>
      <c r="C404" s="109">
        <v>4260</v>
      </c>
      <c r="D404" s="125" t="s">
        <v>86</v>
      </c>
      <c r="E404" s="759">
        <v>139867</v>
      </c>
      <c r="F404" s="759">
        <v>173334</v>
      </c>
      <c r="G404" s="759">
        <f>-8800-2480</f>
        <v>-11280</v>
      </c>
      <c r="H404" s="749">
        <f t="shared" si="15"/>
        <v>162054</v>
      </c>
    </row>
    <row r="405" spans="1:8" ht="12.75">
      <c r="A405" s="122"/>
      <c r="B405" s="109"/>
      <c r="C405" s="109">
        <v>4270</v>
      </c>
      <c r="D405" s="125" t="s">
        <v>87</v>
      </c>
      <c r="E405" s="759">
        <v>291335</v>
      </c>
      <c r="F405" s="759">
        <v>676898</v>
      </c>
      <c r="G405" s="759">
        <f>11000-933+4200-4890</f>
        <v>9377</v>
      </c>
      <c r="H405" s="749">
        <f t="shared" si="15"/>
        <v>686275</v>
      </c>
    </row>
    <row r="406" spans="1:8" ht="12.75">
      <c r="A406" s="122"/>
      <c r="B406" s="109"/>
      <c r="C406" s="109">
        <v>4280</v>
      </c>
      <c r="D406" s="125" t="s">
        <v>88</v>
      </c>
      <c r="E406" s="759">
        <v>1256</v>
      </c>
      <c r="F406" s="759">
        <v>4170</v>
      </c>
      <c r="G406" s="759">
        <f>-420+12</f>
        <v>-408</v>
      </c>
      <c r="H406" s="749">
        <f t="shared" si="15"/>
        <v>3762</v>
      </c>
    </row>
    <row r="407" spans="1:8" ht="12.75">
      <c r="A407" s="122"/>
      <c r="B407" s="109"/>
      <c r="C407" s="109">
        <v>4300</v>
      </c>
      <c r="D407" s="125" t="s">
        <v>74</v>
      </c>
      <c r="E407" s="759">
        <f>128598+58729</f>
        <v>187327</v>
      </c>
      <c r="F407" s="759">
        <v>156391</v>
      </c>
      <c r="G407" s="759">
        <f>8800-159+100</f>
        <v>8741</v>
      </c>
      <c r="H407" s="749">
        <f t="shared" si="15"/>
        <v>165132</v>
      </c>
    </row>
    <row r="408" spans="1:8" ht="12.75">
      <c r="A408" s="122"/>
      <c r="B408" s="109"/>
      <c r="C408" s="109">
        <v>4350</v>
      </c>
      <c r="D408" s="125" t="s">
        <v>128</v>
      </c>
      <c r="E408" s="759">
        <v>0</v>
      </c>
      <c r="F408" s="759">
        <v>4622</v>
      </c>
      <c r="G408" s="759">
        <v>-1250</v>
      </c>
      <c r="H408" s="749">
        <f t="shared" si="15"/>
        <v>3372</v>
      </c>
    </row>
    <row r="409" spans="1:8" ht="12.75">
      <c r="A409" s="122"/>
      <c r="B409" s="109"/>
      <c r="C409" s="109">
        <v>4360</v>
      </c>
      <c r="D409" s="125" t="s">
        <v>129</v>
      </c>
      <c r="E409" s="759">
        <v>0</v>
      </c>
      <c r="F409" s="759">
        <v>772</v>
      </c>
      <c r="G409" s="759">
        <v>-8</v>
      </c>
      <c r="H409" s="749">
        <f t="shared" si="15"/>
        <v>764</v>
      </c>
    </row>
    <row r="410" spans="1:8" ht="12.75">
      <c r="A410" s="122"/>
      <c r="B410" s="109"/>
      <c r="C410" s="109">
        <v>4370</v>
      </c>
      <c r="D410" s="125" t="s">
        <v>91</v>
      </c>
      <c r="E410" s="759">
        <v>0</v>
      </c>
      <c r="F410" s="759">
        <v>17600</v>
      </c>
      <c r="G410" s="759">
        <f>-1100-12+100</f>
        <v>-1012</v>
      </c>
      <c r="H410" s="749">
        <f>F410+G410</f>
        <v>16588</v>
      </c>
    </row>
    <row r="411" spans="1:8" ht="12.75">
      <c r="A411" s="122"/>
      <c r="B411" s="109"/>
      <c r="C411" s="109">
        <v>4390</v>
      </c>
      <c r="D411" s="125" t="s">
        <v>165</v>
      </c>
      <c r="E411" s="759">
        <v>0</v>
      </c>
      <c r="F411" s="759">
        <v>2033</v>
      </c>
      <c r="G411" s="759"/>
      <c r="H411" s="749">
        <f t="shared" si="15"/>
        <v>2033</v>
      </c>
    </row>
    <row r="412" spans="1:8" ht="12.75">
      <c r="A412" s="122"/>
      <c r="B412" s="109"/>
      <c r="C412" s="109">
        <v>4410</v>
      </c>
      <c r="D412" s="125" t="s">
        <v>92</v>
      </c>
      <c r="E412" s="759">
        <v>8510</v>
      </c>
      <c r="F412" s="759">
        <v>8550</v>
      </c>
      <c r="G412" s="759">
        <f>-2350-207+570</f>
        <v>-1987</v>
      </c>
      <c r="H412" s="749">
        <f t="shared" si="15"/>
        <v>6563</v>
      </c>
    </row>
    <row r="413" spans="1:8" ht="12.75">
      <c r="A413" s="122"/>
      <c r="B413" s="109"/>
      <c r="C413" s="109">
        <v>4430</v>
      </c>
      <c r="D413" s="125" t="s">
        <v>93</v>
      </c>
      <c r="E413" s="759">
        <v>16870</v>
      </c>
      <c r="F413" s="759">
        <v>25803</v>
      </c>
      <c r="G413" s="759">
        <f>-3720+376+1096</f>
        <v>-2248</v>
      </c>
      <c r="H413" s="749">
        <f t="shared" si="15"/>
        <v>23555</v>
      </c>
    </row>
    <row r="414" spans="1:8" ht="12.75">
      <c r="A414" s="122"/>
      <c r="B414" s="109"/>
      <c r="C414" s="109">
        <v>4440</v>
      </c>
      <c r="D414" s="125" t="s">
        <v>94</v>
      </c>
      <c r="E414" s="759">
        <v>79190</v>
      </c>
      <c r="F414" s="759">
        <v>86186</v>
      </c>
      <c r="G414" s="759">
        <v>161</v>
      </c>
      <c r="H414" s="749">
        <f t="shared" si="15"/>
        <v>86347</v>
      </c>
    </row>
    <row r="415" spans="1:8" ht="12.75">
      <c r="A415" s="122"/>
      <c r="B415" s="109"/>
      <c r="C415" s="109">
        <v>4480</v>
      </c>
      <c r="D415" s="125" t="s">
        <v>95</v>
      </c>
      <c r="E415" s="759">
        <v>17322</v>
      </c>
      <c r="F415" s="759">
        <v>16294</v>
      </c>
      <c r="G415" s="759">
        <v>-2</v>
      </c>
      <c r="H415" s="749">
        <f t="shared" si="15"/>
        <v>16292</v>
      </c>
    </row>
    <row r="416" spans="1:8" ht="12.75">
      <c r="A416" s="122"/>
      <c r="B416" s="109"/>
      <c r="C416" s="109">
        <v>4510</v>
      </c>
      <c r="D416" s="125" t="s">
        <v>97</v>
      </c>
      <c r="E416" s="759"/>
      <c r="F416" s="759">
        <v>150</v>
      </c>
      <c r="G416" s="759"/>
      <c r="H416" s="749">
        <f t="shared" si="15"/>
        <v>150</v>
      </c>
    </row>
    <row r="417" spans="1:8" ht="12.75">
      <c r="A417" s="122"/>
      <c r="B417" s="109"/>
      <c r="C417" s="109">
        <v>4520</v>
      </c>
      <c r="D417" s="125" t="s">
        <v>166</v>
      </c>
      <c r="E417" s="759">
        <v>50</v>
      </c>
      <c r="F417" s="759">
        <v>47</v>
      </c>
      <c r="G417" s="759"/>
      <c r="H417" s="749">
        <f t="shared" si="15"/>
        <v>47</v>
      </c>
    </row>
    <row r="418" spans="1:8" ht="12.75">
      <c r="A418" s="122"/>
      <c r="B418" s="109"/>
      <c r="C418" s="109">
        <v>4580</v>
      </c>
      <c r="D418" s="125" t="s">
        <v>100</v>
      </c>
      <c r="E418" s="759"/>
      <c r="F418" s="759">
        <v>61</v>
      </c>
      <c r="G418" s="759"/>
      <c r="H418" s="749">
        <f t="shared" si="15"/>
        <v>61</v>
      </c>
    </row>
    <row r="419" spans="1:8" ht="12.75">
      <c r="A419" s="122"/>
      <c r="B419" s="109"/>
      <c r="C419" s="109">
        <v>4700</v>
      </c>
      <c r="D419" s="125" t="s">
        <v>113</v>
      </c>
      <c r="E419" s="759">
        <v>0</v>
      </c>
      <c r="F419" s="759">
        <v>5152</v>
      </c>
      <c r="G419" s="759">
        <f>-1800-552</f>
        <v>-2352</v>
      </c>
      <c r="H419" s="749">
        <f t="shared" si="15"/>
        <v>2800</v>
      </c>
    </row>
    <row r="420" spans="1:8" ht="12.75">
      <c r="A420" s="122"/>
      <c r="B420" s="109"/>
      <c r="C420" s="109">
        <v>4740</v>
      </c>
      <c r="D420" s="125" t="s">
        <v>122</v>
      </c>
      <c r="E420" s="759">
        <v>0</v>
      </c>
      <c r="F420" s="759">
        <v>1288</v>
      </c>
      <c r="G420" s="759"/>
      <c r="H420" s="749">
        <f t="shared" si="15"/>
        <v>1288</v>
      </c>
    </row>
    <row r="421" spans="1:8" ht="12.75">
      <c r="A421" s="122"/>
      <c r="B421" s="109"/>
      <c r="C421" s="109">
        <v>4750</v>
      </c>
      <c r="D421" s="125" t="s">
        <v>123</v>
      </c>
      <c r="E421" s="759">
        <v>0</v>
      </c>
      <c r="F421" s="759">
        <v>8400</v>
      </c>
      <c r="G421" s="759">
        <f>-1100-19</f>
        <v>-1119</v>
      </c>
      <c r="H421" s="749">
        <f t="shared" si="15"/>
        <v>7281</v>
      </c>
    </row>
    <row r="422" spans="1:10" ht="12.75">
      <c r="A422" s="122"/>
      <c r="B422" s="109"/>
      <c r="C422" s="109">
        <v>6050</v>
      </c>
      <c r="D422" s="125" t="s">
        <v>101</v>
      </c>
      <c r="E422" s="759">
        <v>50000</v>
      </c>
      <c r="F422" s="759">
        <v>126500</v>
      </c>
      <c r="G422" s="759">
        <v>1738</v>
      </c>
      <c r="H422" s="749">
        <f t="shared" si="15"/>
        <v>128238</v>
      </c>
      <c r="J422" s="91"/>
    </row>
    <row r="423" spans="1:10" ht="12.75">
      <c r="A423" s="122"/>
      <c r="B423" s="109"/>
      <c r="C423" s="109">
        <v>6060</v>
      </c>
      <c r="D423" s="125" t="s">
        <v>102</v>
      </c>
      <c r="E423" s="759"/>
      <c r="F423" s="759">
        <v>29545</v>
      </c>
      <c r="G423" s="759"/>
      <c r="H423" s="749">
        <f t="shared" si="15"/>
        <v>29545</v>
      </c>
      <c r="J423" s="91"/>
    </row>
    <row r="424" spans="1:10" ht="12.75">
      <c r="A424" s="122"/>
      <c r="B424" s="109"/>
      <c r="C424" s="109"/>
      <c r="D424" s="125"/>
      <c r="E424" s="759"/>
      <c r="F424" s="759"/>
      <c r="G424" s="759"/>
      <c r="H424" s="749"/>
      <c r="J424" s="91"/>
    </row>
    <row r="425" spans="1:10" ht="12.75">
      <c r="A425" s="122"/>
      <c r="B425" s="80">
        <v>85203</v>
      </c>
      <c r="C425" s="80"/>
      <c r="D425" s="130" t="s">
        <v>167</v>
      </c>
      <c r="E425" s="758">
        <f>SUM(E427:E447)</f>
        <v>220593</v>
      </c>
      <c r="F425" s="758">
        <f>SUM(F426:F448)</f>
        <v>322930</v>
      </c>
      <c r="G425" s="758">
        <f>SUM(G426:G448)</f>
        <v>0</v>
      </c>
      <c r="H425" s="748">
        <f>SUM(H426:H448)</f>
        <v>322930</v>
      </c>
      <c r="J425" s="91"/>
    </row>
    <row r="426" spans="1:10" ht="12.75">
      <c r="A426" s="122"/>
      <c r="B426" s="109"/>
      <c r="C426" s="109">
        <v>3020</v>
      </c>
      <c r="D426" s="125" t="s">
        <v>687</v>
      </c>
      <c r="E426" s="759"/>
      <c r="F426" s="759">
        <v>700</v>
      </c>
      <c r="G426" s="759">
        <v>-700</v>
      </c>
      <c r="H426" s="749">
        <f>F426+G426</f>
        <v>0</v>
      </c>
      <c r="J426" s="91"/>
    </row>
    <row r="427" spans="1:10" ht="12.75">
      <c r="A427" s="122"/>
      <c r="B427" s="109"/>
      <c r="C427" s="109">
        <v>4010</v>
      </c>
      <c r="D427" s="125" t="s">
        <v>80</v>
      </c>
      <c r="E427" s="759">
        <v>87750</v>
      </c>
      <c r="F427" s="759">
        <v>117570</v>
      </c>
      <c r="G427" s="759">
        <v>95</v>
      </c>
      <c r="H427" s="749">
        <f aca="true" t="shared" si="16" ref="H427:H448">F427+G427</f>
        <v>117665</v>
      </c>
      <c r="J427" s="91">
        <f>SUM(H427:H430)</f>
        <v>148398</v>
      </c>
    </row>
    <row r="428" spans="1:10" ht="12.75">
      <c r="A428" s="122"/>
      <c r="B428" s="109"/>
      <c r="C428" s="109">
        <v>4040</v>
      </c>
      <c r="D428" s="125" t="s">
        <v>81</v>
      </c>
      <c r="E428" s="759">
        <v>5318</v>
      </c>
      <c r="F428" s="759">
        <v>6811</v>
      </c>
      <c r="G428" s="759"/>
      <c r="H428" s="749">
        <f t="shared" si="16"/>
        <v>6811</v>
      </c>
      <c r="J428" s="91"/>
    </row>
    <row r="429" spans="1:10" ht="12.75">
      <c r="A429" s="122"/>
      <c r="B429" s="109"/>
      <c r="C429" s="109">
        <v>4110</v>
      </c>
      <c r="D429" s="125" t="s">
        <v>82</v>
      </c>
      <c r="E429" s="759">
        <v>15972</v>
      </c>
      <c r="F429" s="759">
        <v>21059</v>
      </c>
      <c r="G429" s="759">
        <v>-84</v>
      </c>
      <c r="H429" s="749">
        <f t="shared" si="16"/>
        <v>20975</v>
      </c>
      <c r="J429" s="91"/>
    </row>
    <row r="430" spans="1:10" ht="12.75">
      <c r="A430" s="122"/>
      <c r="B430" s="109"/>
      <c r="C430" s="109">
        <v>4120</v>
      </c>
      <c r="D430" s="125" t="s">
        <v>83</v>
      </c>
      <c r="E430" s="759">
        <v>2651</v>
      </c>
      <c r="F430" s="759">
        <v>2958</v>
      </c>
      <c r="G430" s="759">
        <v>-11</v>
      </c>
      <c r="H430" s="749">
        <f t="shared" si="16"/>
        <v>2947</v>
      </c>
      <c r="J430" s="91"/>
    </row>
    <row r="431" spans="1:10" ht="12.75">
      <c r="A431" s="122"/>
      <c r="B431" s="109"/>
      <c r="C431" s="109">
        <v>4170</v>
      </c>
      <c r="D431" s="125" t="s">
        <v>84</v>
      </c>
      <c r="E431" s="759"/>
      <c r="F431" s="759">
        <v>1120</v>
      </c>
      <c r="G431" s="759"/>
      <c r="H431" s="749">
        <f t="shared" si="16"/>
        <v>1120</v>
      </c>
      <c r="J431" s="91"/>
    </row>
    <row r="432" spans="1:10" ht="12.75">
      <c r="A432" s="122"/>
      <c r="B432" s="109"/>
      <c r="C432" s="109">
        <v>4210</v>
      </c>
      <c r="D432" s="125" t="s">
        <v>85</v>
      </c>
      <c r="E432" s="759">
        <v>71019</v>
      </c>
      <c r="F432" s="759">
        <v>78252</v>
      </c>
      <c r="G432" s="759"/>
      <c r="H432" s="749">
        <f t="shared" si="16"/>
        <v>78252</v>
      </c>
      <c r="J432" s="91"/>
    </row>
    <row r="433" spans="1:10" ht="12.75">
      <c r="A433" s="122"/>
      <c r="B433" s="109"/>
      <c r="C433" s="109">
        <v>4220</v>
      </c>
      <c r="D433" s="125" t="s">
        <v>163</v>
      </c>
      <c r="E433" s="759">
        <v>10470</v>
      </c>
      <c r="F433" s="759">
        <v>20000</v>
      </c>
      <c r="G433" s="759"/>
      <c r="H433" s="749">
        <f t="shared" si="16"/>
        <v>20000</v>
      </c>
      <c r="J433" s="91"/>
    </row>
    <row r="434" spans="1:10" ht="12.75">
      <c r="A434" s="122"/>
      <c r="B434" s="109"/>
      <c r="C434" s="109">
        <v>4230</v>
      </c>
      <c r="D434" s="125" t="s">
        <v>747</v>
      </c>
      <c r="E434" s="759">
        <v>224</v>
      </c>
      <c r="F434" s="759">
        <v>500</v>
      </c>
      <c r="G434" s="759">
        <v>-250</v>
      </c>
      <c r="H434" s="749">
        <f t="shared" si="16"/>
        <v>250</v>
      </c>
      <c r="J434" s="91"/>
    </row>
    <row r="435" spans="1:10" ht="12.75">
      <c r="A435" s="122"/>
      <c r="B435" s="109"/>
      <c r="C435" s="109">
        <v>4260</v>
      </c>
      <c r="D435" s="125" t="s">
        <v>86</v>
      </c>
      <c r="E435" s="759">
        <v>5500</v>
      </c>
      <c r="F435" s="759">
        <v>3235</v>
      </c>
      <c r="G435" s="759">
        <v>341</v>
      </c>
      <c r="H435" s="749">
        <f t="shared" si="16"/>
        <v>3576</v>
      </c>
      <c r="J435" s="91"/>
    </row>
    <row r="436" spans="1:10" ht="12.75">
      <c r="A436" s="122"/>
      <c r="B436" s="109"/>
      <c r="C436" s="109">
        <v>4270</v>
      </c>
      <c r="D436" s="125" t="s">
        <v>87</v>
      </c>
      <c r="E436" s="759">
        <v>1500</v>
      </c>
      <c r="F436" s="759">
        <v>45516</v>
      </c>
      <c r="G436" s="759">
        <v>-5101</v>
      </c>
      <c r="H436" s="749">
        <f t="shared" si="16"/>
        <v>40415</v>
      </c>
      <c r="J436" s="91"/>
    </row>
    <row r="437" spans="1:10" ht="12.75">
      <c r="A437" s="122"/>
      <c r="B437" s="109"/>
      <c r="C437" s="109">
        <v>4280</v>
      </c>
      <c r="D437" s="125" t="s">
        <v>88</v>
      </c>
      <c r="E437" s="759">
        <v>400</v>
      </c>
      <c r="F437" s="759">
        <v>400</v>
      </c>
      <c r="G437" s="759">
        <v>-148</v>
      </c>
      <c r="H437" s="749">
        <f t="shared" si="16"/>
        <v>252</v>
      </c>
      <c r="J437" s="91"/>
    </row>
    <row r="438" spans="1:10" ht="12.75">
      <c r="A438" s="122"/>
      <c r="B438" s="109"/>
      <c r="C438" s="109">
        <v>4300</v>
      </c>
      <c r="D438" s="125" t="s">
        <v>74</v>
      </c>
      <c r="E438" s="759">
        <v>9956</v>
      </c>
      <c r="F438" s="759">
        <v>8200</v>
      </c>
      <c r="G438" s="759">
        <v>3550</v>
      </c>
      <c r="H438" s="749">
        <f t="shared" si="16"/>
        <v>11750</v>
      </c>
      <c r="J438" s="91"/>
    </row>
    <row r="439" spans="1:10" ht="12.75">
      <c r="A439" s="122"/>
      <c r="B439" s="109"/>
      <c r="C439" s="109">
        <v>4350</v>
      </c>
      <c r="D439" s="125" t="s">
        <v>89</v>
      </c>
      <c r="E439" s="759"/>
      <c r="F439" s="759">
        <v>531</v>
      </c>
      <c r="G439" s="759"/>
      <c r="H439" s="749">
        <f t="shared" si="16"/>
        <v>531</v>
      </c>
      <c r="J439" s="91"/>
    </row>
    <row r="440" spans="1:10" ht="12.75">
      <c r="A440" s="122"/>
      <c r="B440" s="109"/>
      <c r="C440" s="109">
        <v>4360</v>
      </c>
      <c r="D440" s="125" t="s">
        <v>90</v>
      </c>
      <c r="E440" s="759"/>
      <c r="F440" s="759">
        <v>0</v>
      </c>
      <c r="G440" s="759"/>
      <c r="H440" s="749">
        <f t="shared" si="16"/>
        <v>0</v>
      </c>
      <c r="J440" s="91"/>
    </row>
    <row r="441" spans="1:10" ht="12.75">
      <c r="A441" s="122"/>
      <c r="B441" s="109"/>
      <c r="C441" s="109">
        <v>4370</v>
      </c>
      <c r="D441" s="125" t="s">
        <v>91</v>
      </c>
      <c r="E441" s="759">
        <v>0</v>
      </c>
      <c r="F441" s="759">
        <v>1600</v>
      </c>
      <c r="G441" s="759"/>
      <c r="H441" s="749">
        <f t="shared" si="16"/>
        <v>1600</v>
      </c>
      <c r="J441" s="91"/>
    </row>
    <row r="442" spans="1:10" ht="12.75">
      <c r="A442" s="122"/>
      <c r="B442" s="109"/>
      <c r="C442" s="109">
        <v>4410</v>
      </c>
      <c r="D442" s="125" t="s">
        <v>92</v>
      </c>
      <c r="E442" s="759">
        <v>1500</v>
      </c>
      <c r="F442" s="759">
        <v>500</v>
      </c>
      <c r="G442" s="759">
        <v>-273</v>
      </c>
      <c r="H442" s="749">
        <f t="shared" si="16"/>
        <v>227</v>
      </c>
      <c r="J442" s="91"/>
    </row>
    <row r="443" spans="1:10" ht="12.75">
      <c r="A443" s="122"/>
      <c r="B443" s="109"/>
      <c r="C443" s="109">
        <v>4430</v>
      </c>
      <c r="D443" s="125" t="s">
        <v>93</v>
      </c>
      <c r="E443" s="759">
        <v>3200</v>
      </c>
      <c r="F443" s="759">
        <v>1796</v>
      </c>
      <c r="G443" s="759">
        <v>3522</v>
      </c>
      <c r="H443" s="749">
        <f t="shared" si="16"/>
        <v>5318</v>
      </c>
      <c r="J443" s="91"/>
    </row>
    <row r="444" spans="1:10" ht="12.75">
      <c r="A444" s="122"/>
      <c r="B444" s="109"/>
      <c r="C444" s="109">
        <v>4440</v>
      </c>
      <c r="D444" s="125" t="s">
        <v>94</v>
      </c>
      <c r="E444" s="759">
        <v>5133</v>
      </c>
      <c r="F444" s="759">
        <v>5632</v>
      </c>
      <c r="G444" s="759">
        <v>-644</v>
      </c>
      <c r="H444" s="749">
        <f t="shared" si="16"/>
        <v>4988</v>
      </c>
      <c r="J444" s="91"/>
    </row>
    <row r="445" spans="1:10" ht="12.75">
      <c r="A445" s="122"/>
      <c r="B445" s="109"/>
      <c r="C445" s="109">
        <v>4510</v>
      </c>
      <c r="D445" s="125" t="s">
        <v>97</v>
      </c>
      <c r="E445" s="759"/>
      <c r="F445" s="759">
        <v>50</v>
      </c>
      <c r="G445" s="759"/>
      <c r="H445" s="749">
        <f t="shared" si="16"/>
        <v>50</v>
      </c>
      <c r="J445" s="91"/>
    </row>
    <row r="446" spans="1:10" ht="12.75">
      <c r="A446" s="122"/>
      <c r="B446" s="109"/>
      <c r="C446" s="109">
        <v>4700</v>
      </c>
      <c r="D446" s="125" t="s">
        <v>113</v>
      </c>
      <c r="E446" s="759">
        <v>0</v>
      </c>
      <c r="F446" s="759">
        <v>2000</v>
      </c>
      <c r="G446" s="759">
        <v>-340</v>
      </c>
      <c r="H446" s="749">
        <f t="shared" si="16"/>
        <v>1660</v>
      </c>
      <c r="J446" s="91"/>
    </row>
    <row r="447" spans="1:10" ht="12.75">
      <c r="A447" s="122"/>
      <c r="B447" s="109"/>
      <c r="C447" s="109">
        <v>4740</v>
      </c>
      <c r="D447" s="125" t="s">
        <v>122</v>
      </c>
      <c r="E447" s="759">
        <v>0</v>
      </c>
      <c r="F447" s="759">
        <v>1500</v>
      </c>
      <c r="G447" s="759">
        <v>-12</v>
      </c>
      <c r="H447" s="749">
        <f t="shared" si="16"/>
        <v>1488</v>
      </c>
      <c r="J447" s="91"/>
    </row>
    <row r="448" spans="1:10" ht="12.75">
      <c r="A448" s="122"/>
      <c r="B448" s="109"/>
      <c r="C448" s="109">
        <v>4750</v>
      </c>
      <c r="D448" s="125" t="s">
        <v>123</v>
      </c>
      <c r="E448" s="759"/>
      <c r="F448" s="759">
        <v>3000</v>
      </c>
      <c r="G448" s="759">
        <v>55</v>
      </c>
      <c r="H448" s="749">
        <f t="shared" si="16"/>
        <v>3055</v>
      </c>
      <c r="J448" s="91"/>
    </row>
    <row r="449" spans="1:8" ht="12.75">
      <c r="A449" s="122"/>
      <c r="B449" s="109"/>
      <c r="C449" s="109"/>
      <c r="D449" s="125"/>
      <c r="E449" s="759"/>
      <c r="F449" s="759"/>
      <c r="G449" s="759"/>
      <c r="H449" s="749"/>
    </row>
    <row r="450" spans="1:8" ht="12.75">
      <c r="A450" s="122"/>
      <c r="B450" s="80">
        <v>85204</v>
      </c>
      <c r="C450" s="80"/>
      <c r="D450" s="130" t="s">
        <v>169</v>
      </c>
      <c r="E450" s="758">
        <f>SUM(E451:E457)</f>
        <v>1496800</v>
      </c>
      <c r="F450" s="758">
        <f>SUM(F451:F457)</f>
        <v>1407995</v>
      </c>
      <c r="G450" s="758">
        <f>SUM(G451:G457)</f>
        <v>143497</v>
      </c>
      <c r="H450" s="748">
        <f>SUM(H451:H457)</f>
        <v>1551492</v>
      </c>
    </row>
    <row r="451" spans="1:8" ht="12.75">
      <c r="A451" s="122"/>
      <c r="B451" s="109"/>
      <c r="C451" s="109">
        <v>2310</v>
      </c>
      <c r="D451" s="125" t="s">
        <v>155</v>
      </c>
      <c r="E451" s="759">
        <v>120000</v>
      </c>
      <c r="F451" s="759">
        <v>92396</v>
      </c>
      <c r="G451" s="759">
        <v>-1426</v>
      </c>
      <c r="H451" s="749">
        <f aca="true" t="shared" si="17" ref="H451:H457">F451+G451</f>
        <v>90970</v>
      </c>
    </row>
    <row r="452" spans="1:8" ht="12.75">
      <c r="A452" s="122"/>
      <c r="B452" s="109"/>
      <c r="C452" s="109">
        <v>3110</v>
      </c>
      <c r="D452" s="125" t="s">
        <v>162</v>
      </c>
      <c r="E452" s="759">
        <f>1176058+150000</f>
        <v>1326058</v>
      </c>
      <c r="F452" s="759">
        <v>1260527</v>
      </c>
      <c r="G452" s="759">
        <f>1426+143497</f>
        <v>144923</v>
      </c>
      <c r="H452" s="749">
        <f t="shared" si="17"/>
        <v>1405450</v>
      </c>
    </row>
    <row r="453" spans="1:8" ht="12.75">
      <c r="A453" s="122"/>
      <c r="B453" s="109"/>
      <c r="C453" s="109">
        <v>4110</v>
      </c>
      <c r="D453" s="125" t="s">
        <v>82</v>
      </c>
      <c r="E453" s="759">
        <v>3716</v>
      </c>
      <c r="F453" s="759">
        <v>3214</v>
      </c>
      <c r="G453" s="759"/>
      <c r="H453" s="749">
        <f t="shared" si="17"/>
        <v>3214</v>
      </c>
    </row>
    <row r="454" spans="1:8" ht="12.75">
      <c r="A454" s="122"/>
      <c r="B454" s="109"/>
      <c r="C454" s="109">
        <v>4120</v>
      </c>
      <c r="D454" s="125" t="s">
        <v>83</v>
      </c>
      <c r="E454" s="759">
        <v>561</v>
      </c>
      <c r="F454" s="759">
        <v>484</v>
      </c>
      <c r="G454" s="759"/>
      <c r="H454" s="749">
        <f t="shared" si="17"/>
        <v>484</v>
      </c>
    </row>
    <row r="455" spans="1:8" ht="12.75">
      <c r="A455" s="122"/>
      <c r="B455" s="109"/>
      <c r="C455" s="109">
        <v>4170</v>
      </c>
      <c r="D455" s="125" t="s">
        <v>688</v>
      </c>
      <c r="E455" s="759"/>
      <c r="F455" s="759">
        <v>19764</v>
      </c>
      <c r="G455" s="759"/>
      <c r="H455" s="749">
        <f t="shared" si="17"/>
        <v>19764</v>
      </c>
    </row>
    <row r="456" spans="1:8" ht="12.75">
      <c r="A456" s="122"/>
      <c r="B456" s="109"/>
      <c r="C456" s="109">
        <v>4210</v>
      </c>
      <c r="D456" s="125" t="s">
        <v>85</v>
      </c>
      <c r="E456" s="759"/>
      <c r="F456" s="759">
        <v>2000</v>
      </c>
      <c r="G456" s="759"/>
      <c r="H456" s="749">
        <f t="shared" si="17"/>
        <v>2000</v>
      </c>
    </row>
    <row r="457" spans="1:8" ht="12.75">
      <c r="A457" s="122"/>
      <c r="B457" s="109"/>
      <c r="C457" s="109">
        <v>4300</v>
      </c>
      <c r="D457" s="125" t="s">
        <v>74</v>
      </c>
      <c r="E457" s="759">
        <v>46465</v>
      </c>
      <c r="F457" s="759">
        <v>29610</v>
      </c>
      <c r="G457" s="759"/>
      <c r="H457" s="749">
        <f t="shared" si="17"/>
        <v>29610</v>
      </c>
    </row>
    <row r="458" spans="1:8" ht="12.75">
      <c r="A458" s="122"/>
      <c r="B458" s="109"/>
      <c r="C458" s="109"/>
      <c r="D458" s="125"/>
      <c r="E458" s="759"/>
      <c r="F458" s="759"/>
      <c r="G458" s="759"/>
      <c r="H458" s="749"/>
    </row>
    <row r="459" spans="1:8" ht="12.75">
      <c r="A459" s="122"/>
      <c r="B459" s="80">
        <v>85218</v>
      </c>
      <c r="C459" s="80"/>
      <c r="D459" s="130" t="s">
        <v>170</v>
      </c>
      <c r="E459" s="758">
        <f>SUM(E460:E480)</f>
        <v>548716</v>
      </c>
      <c r="F459" s="758">
        <f>SUM(F460:F480)</f>
        <v>655990</v>
      </c>
      <c r="G459" s="758">
        <f>SUM(G460:G480)</f>
        <v>-20954</v>
      </c>
      <c r="H459" s="748">
        <f>SUM(H460:H480)</f>
        <v>635036</v>
      </c>
    </row>
    <row r="460" spans="1:10" ht="12.75">
      <c r="A460" s="122"/>
      <c r="B460" s="109"/>
      <c r="C460" s="109">
        <v>4010</v>
      </c>
      <c r="D460" s="125" t="s">
        <v>80</v>
      </c>
      <c r="E460" s="759">
        <v>302701</v>
      </c>
      <c r="F460" s="759">
        <v>361854</v>
      </c>
      <c r="G460" s="759">
        <v>-30480</v>
      </c>
      <c r="H460" s="749">
        <f>F460+G460</f>
        <v>331374</v>
      </c>
      <c r="J460" s="91">
        <f>SUM(H460:H463)</f>
        <v>427376</v>
      </c>
    </row>
    <row r="461" spans="1:8" ht="12.75">
      <c r="A461" s="122"/>
      <c r="B461" s="109"/>
      <c r="C461" s="109">
        <v>4040</v>
      </c>
      <c r="D461" s="125" t="s">
        <v>81</v>
      </c>
      <c r="E461" s="759">
        <v>23898</v>
      </c>
      <c r="F461" s="759">
        <v>24153</v>
      </c>
      <c r="G461" s="759"/>
      <c r="H461" s="749">
        <f aca="true" t="shared" si="18" ref="H461:H480">F461+G461</f>
        <v>24153</v>
      </c>
    </row>
    <row r="462" spans="1:8" ht="12.75">
      <c r="A462" s="122"/>
      <c r="B462" s="109"/>
      <c r="C462" s="109">
        <v>4110</v>
      </c>
      <c r="D462" s="125" t="s">
        <v>82</v>
      </c>
      <c r="E462" s="759">
        <v>62672</v>
      </c>
      <c r="F462" s="759">
        <v>70591</v>
      </c>
      <c r="G462" s="759">
        <v>-7000</v>
      </c>
      <c r="H462" s="749">
        <f t="shared" si="18"/>
        <v>63591</v>
      </c>
    </row>
    <row r="463" spans="1:8" ht="12.75">
      <c r="A463" s="122"/>
      <c r="B463" s="109"/>
      <c r="C463" s="109">
        <v>4120</v>
      </c>
      <c r="D463" s="125" t="s">
        <v>83</v>
      </c>
      <c r="E463" s="759">
        <v>8578</v>
      </c>
      <c r="F463" s="759">
        <v>9767</v>
      </c>
      <c r="G463" s="759">
        <v>-1509</v>
      </c>
      <c r="H463" s="749">
        <f t="shared" si="18"/>
        <v>8258</v>
      </c>
    </row>
    <row r="464" spans="1:8" ht="12.75">
      <c r="A464" s="122"/>
      <c r="B464" s="109"/>
      <c r="C464" s="109">
        <v>4170</v>
      </c>
      <c r="D464" s="125" t="s">
        <v>688</v>
      </c>
      <c r="E464" s="759"/>
      <c r="F464" s="759">
        <v>26514</v>
      </c>
      <c r="G464" s="759"/>
      <c r="H464" s="749">
        <f t="shared" si="18"/>
        <v>26514</v>
      </c>
    </row>
    <row r="465" spans="1:8" ht="12.75">
      <c r="A465" s="122"/>
      <c r="B465" s="109"/>
      <c r="C465" s="109">
        <v>4210</v>
      </c>
      <c r="D465" s="125" t="s">
        <v>85</v>
      </c>
      <c r="E465" s="759">
        <v>39900</v>
      </c>
      <c r="F465" s="759">
        <v>53074</v>
      </c>
      <c r="G465" s="759">
        <v>16870</v>
      </c>
      <c r="H465" s="749">
        <f t="shared" si="18"/>
        <v>69944</v>
      </c>
    </row>
    <row r="466" spans="1:8" ht="12.75">
      <c r="A466" s="122"/>
      <c r="B466" s="109"/>
      <c r="C466" s="109">
        <v>4260</v>
      </c>
      <c r="D466" s="125" t="s">
        <v>86</v>
      </c>
      <c r="E466" s="759">
        <v>29601</v>
      </c>
      <c r="F466" s="759">
        <v>27360</v>
      </c>
      <c r="G466" s="759">
        <v>-3265</v>
      </c>
      <c r="H466" s="749">
        <f t="shared" si="18"/>
        <v>24095</v>
      </c>
    </row>
    <row r="467" spans="1:8" ht="12.75">
      <c r="A467" s="122"/>
      <c r="B467" s="109"/>
      <c r="C467" s="109">
        <v>4270</v>
      </c>
      <c r="D467" s="125" t="s">
        <v>87</v>
      </c>
      <c r="E467" s="759">
        <v>2431</v>
      </c>
      <c r="F467" s="759">
        <v>12992</v>
      </c>
      <c r="G467" s="759"/>
      <c r="H467" s="749">
        <f t="shared" si="18"/>
        <v>12992</v>
      </c>
    </row>
    <row r="468" spans="1:8" ht="12.75">
      <c r="A468" s="122"/>
      <c r="B468" s="109"/>
      <c r="C468" s="109">
        <v>4280</v>
      </c>
      <c r="D468" s="125" t="s">
        <v>88</v>
      </c>
      <c r="E468" s="759">
        <v>210</v>
      </c>
      <c r="F468" s="759">
        <v>176</v>
      </c>
      <c r="G468" s="759"/>
      <c r="H468" s="749">
        <f t="shared" si="18"/>
        <v>176</v>
      </c>
    </row>
    <row r="469" spans="1:8" ht="12.75">
      <c r="A469" s="122"/>
      <c r="B469" s="109"/>
      <c r="C469" s="109">
        <v>4300</v>
      </c>
      <c r="D469" s="125" t="s">
        <v>74</v>
      </c>
      <c r="E469" s="759">
        <v>65600</v>
      </c>
      <c r="F469" s="759">
        <v>29154</v>
      </c>
      <c r="G469" s="759">
        <v>4000</v>
      </c>
      <c r="H469" s="749">
        <f t="shared" si="18"/>
        <v>33154</v>
      </c>
    </row>
    <row r="470" spans="1:8" ht="12.75">
      <c r="A470" s="122"/>
      <c r="B470" s="109"/>
      <c r="C470" s="109">
        <v>4350</v>
      </c>
      <c r="D470" s="125" t="s">
        <v>128</v>
      </c>
      <c r="E470" s="759">
        <v>0</v>
      </c>
      <c r="F470" s="759">
        <v>822</v>
      </c>
      <c r="G470" s="759">
        <v>-220</v>
      </c>
      <c r="H470" s="749">
        <f t="shared" si="18"/>
        <v>602</v>
      </c>
    </row>
    <row r="471" spans="1:8" ht="12.75">
      <c r="A471" s="122"/>
      <c r="B471" s="109"/>
      <c r="C471" s="109">
        <v>4360</v>
      </c>
      <c r="D471" s="125" t="s">
        <v>90</v>
      </c>
      <c r="E471" s="759">
        <v>0</v>
      </c>
      <c r="F471" s="759">
        <v>540</v>
      </c>
      <c r="G471" s="759"/>
      <c r="H471" s="749">
        <f t="shared" si="18"/>
        <v>540</v>
      </c>
    </row>
    <row r="472" spans="1:8" ht="12.75">
      <c r="A472" s="122"/>
      <c r="B472" s="109"/>
      <c r="C472" s="109">
        <v>4370</v>
      </c>
      <c r="D472" s="125" t="s">
        <v>91</v>
      </c>
      <c r="E472" s="759">
        <v>0</v>
      </c>
      <c r="F472" s="759">
        <v>8288</v>
      </c>
      <c r="G472" s="759"/>
      <c r="H472" s="749">
        <f t="shared" si="18"/>
        <v>8288</v>
      </c>
    </row>
    <row r="473" spans="1:8" ht="12.75">
      <c r="A473" s="122"/>
      <c r="B473" s="109"/>
      <c r="C473" s="109">
        <v>4410</v>
      </c>
      <c r="D473" s="125" t="s">
        <v>92</v>
      </c>
      <c r="E473" s="759">
        <v>1000</v>
      </c>
      <c r="F473" s="759">
        <v>1500</v>
      </c>
      <c r="G473" s="759">
        <v>-200</v>
      </c>
      <c r="H473" s="749">
        <f t="shared" si="18"/>
        <v>1300</v>
      </c>
    </row>
    <row r="474" spans="1:8" ht="12.75">
      <c r="A474" s="122"/>
      <c r="B474" s="109"/>
      <c r="C474" s="109">
        <v>4430</v>
      </c>
      <c r="D474" s="125" t="s">
        <v>93</v>
      </c>
      <c r="E474" s="759">
        <v>4100</v>
      </c>
      <c r="F474" s="759">
        <v>4100</v>
      </c>
      <c r="G474" s="759">
        <v>1500</v>
      </c>
      <c r="H474" s="749">
        <f t="shared" si="18"/>
        <v>5600</v>
      </c>
    </row>
    <row r="475" spans="1:8" ht="12.75">
      <c r="A475" s="122"/>
      <c r="B475" s="109"/>
      <c r="C475" s="109">
        <v>4440</v>
      </c>
      <c r="D475" s="125" t="s">
        <v>94</v>
      </c>
      <c r="E475" s="759">
        <v>8025</v>
      </c>
      <c r="F475" s="759">
        <v>8328</v>
      </c>
      <c r="G475" s="759"/>
      <c r="H475" s="749">
        <f t="shared" si="18"/>
        <v>8328</v>
      </c>
    </row>
    <row r="476" spans="1:8" ht="12.75">
      <c r="A476" s="122"/>
      <c r="B476" s="109"/>
      <c r="C476" s="109">
        <v>4480</v>
      </c>
      <c r="D476" s="125" t="s">
        <v>95</v>
      </c>
      <c r="E476" s="759">
        <v>0</v>
      </c>
      <c r="F476" s="759">
        <v>1542</v>
      </c>
      <c r="G476" s="759"/>
      <c r="H476" s="749">
        <f t="shared" si="18"/>
        <v>1542</v>
      </c>
    </row>
    <row r="477" spans="1:8" ht="12.75">
      <c r="A477" s="122"/>
      <c r="B477" s="109"/>
      <c r="C477" s="109">
        <v>4510</v>
      </c>
      <c r="D477" s="125" t="s">
        <v>97</v>
      </c>
      <c r="E477" s="759"/>
      <c r="F477" s="759">
        <v>900</v>
      </c>
      <c r="G477" s="759"/>
      <c r="H477" s="749">
        <f t="shared" si="18"/>
        <v>900</v>
      </c>
    </row>
    <row r="478" spans="1:8" ht="12.75">
      <c r="A478" s="122"/>
      <c r="B478" s="109"/>
      <c r="C478" s="109">
        <v>4700</v>
      </c>
      <c r="D478" s="125" t="s">
        <v>113</v>
      </c>
      <c r="E478" s="759">
        <v>0</v>
      </c>
      <c r="F478" s="759">
        <v>4000</v>
      </c>
      <c r="G478" s="759">
        <v>-1150</v>
      </c>
      <c r="H478" s="749">
        <f t="shared" si="18"/>
        <v>2850</v>
      </c>
    </row>
    <row r="479" spans="1:8" ht="12.75">
      <c r="A479" s="122"/>
      <c r="B479" s="109"/>
      <c r="C479" s="109">
        <v>4740</v>
      </c>
      <c r="D479" s="125" t="s">
        <v>122</v>
      </c>
      <c r="E479" s="759">
        <v>0</v>
      </c>
      <c r="F479" s="759">
        <v>2535</v>
      </c>
      <c r="G479" s="759">
        <v>-500</v>
      </c>
      <c r="H479" s="749">
        <f>F479+G479</f>
        <v>2035</v>
      </c>
    </row>
    <row r="480" spans="1:8" ht="12.75">
      <c r="A480" s="122"/>
      <c r="B480" s="109"/>
      <c r="C480" s="109">
        <v>4750</v>
      </c>
      <c r="D480" s="125" t="s">
        <v>123</v>
      </c>
      <c r="E480" s="759">
        <v>0</v>
      </c>
      <c r="F480" s="759">
        <v>7800</v>
      </c>
      <c r="G480" s="759">
        <v>1000</v>
      </c>
      <c r="H480" s="749">
        <f t="shared" si="18"/>
        <v>8800</v>
      </c>
    </row>
    <row r="481" spans="1:8" ht="12.75">
      <c r="A481" s="122"/>
      <c r="B481" s="125"/>
      <c r="C481" s="140"/>
      <c r="D481" s="125"/>
      <c r="E481" s="759"/>
      <c r="F481" s="759"/>
      <c r="G481" s="759"/>
      <c r="H481" s="749"/>
    </row>
    <row r="482" spans="1:8" ht="12.75">
      <c r="A482" s="122"/>
      <c r="B482" s="80">
        <v>85220</v>
      </c>
      <c r="C482" s="80"/>
      <c r="D482" s="130" t="s">
        <v>171</v>
      </c>
      <c r="E482" s="758">
        <f>SUM(E483:E488)</f>
        <v>134216</v>
      </c>
      <c r="F482" s="758">
        <f>SUM(F483:F489)</f>
        <v>21112</v>
      </c>
      <c r="G482" s="758">
        <f>SUM(G483:G489)</f>
        <v>0</v>
      </c>
      <c r="H482" s="758">
        <f>SUM(H483:H489)</f>
        <v>21112</v>
      </c>
    </row>
    <row r="483" spans="1:8" ht="12.75">
      <c r="A483" s="122"/>
      <c r="B483" s="109"/>
      <c r="C483" s="109">
        <v>4210</v>
      </c>
      <c r="D483" s="125" t="s">
        <v>85</v>
      </c>
      <c r="E483" s="759">
        <v>8252</v>
      </c>
      <c r="F483" s="759">
        <v>6420</v>
      </c>
      <c r="G483" s="759">
        <v>-300</v>
      </c>
      <c r="H483" s="749">
        <f aca="true" t="shared" si="19" ref="H483:H489">F483+G483</f>
        <v>6120</v>
      </c>
    </row>
    <row r="484" spans="1:8" ht="12.75">
      <c r="A484" s="122"/>
      <c r="B484" s="109"/>
      <c r="C484" s="109">
        <v>4220</v>
      </c>
      <c r="D484" s="125" t="s">
        <v>163</v>
      </c>
      <c r="E484" s="759">
        <v>9464</v>
      </c>
      <c r="F484" s="759">
        <v>9464</v>
      </c>
      <c r="G484" s="759"/>
      <c r="H484" s="749">
        <f t="shared" si="19"/>
        <v>9464</v>
      </c>
    </row>
    <row r="485" spans="1:8" ht="12.75">
      <c r="A485" s="122"/>
      <c r="B485" s="109"/>
      <c r="C485" s="109">
        <v>4230</v>
      </c>
      <c r="D485" s="125" t="s">
        <v>747</v>
      </c>
      <c r="E485" s="759">
        <v>1000</v>
      </c>
      <c r="F485" s="759">
        <v>460</v>
      </c>
      <c r="G485" s="759"/>
      <c r="H485" s="749">
        <f t="shared" si="19"/>
        <v>460</v>
      </c>
    </row>
    <row r="486" spans="1:8" ht="12.75">
      <c r="A486" s="122"/>
      <c r="B486" s="125"/>
      <c r="C486" s="140" t="s">
        <v>172</v>
      </c>
      <c r="D486" s="125" t="s">
        <v>86</v>
      </c>
      <c r="E486" s="759">
        <v>1500</v>
      </c>
      <c r="F486" s="759">
        <v>3240</v>
      </c>
      <c r="G486" s="759">
        <v>300</v>
      </c>
      <c r="H486" s="749">
        <f t="shared" si="19"/>
        <v>3540</v>
      </c>
    </row>
    <row r="487" spans="1:8" ht="12.75">
      <c r="A487" s="122"/>
      <c r="B487" s="125"/>
      <c r="C487" s="140" t="s">
        <v>173</v>
      </c>
      <c r="D487" s="125" t="s">
        <v>87</v>
      </c>
      <c r="E487" s="759">
        <v>113000</v>
      </c>
      <c r="F487" s="759">
        <v>1028</v>
      </c>
      <c r="G487" s="759"/>
      <c r="H487" s="749">
        <f t="shared" si="19"/>
        <v>1028</v>
      </c>
    </row>
    <row r="488" spans="1:8" ht="12.75">
      <c r="A488" s="122"/>
      <c r="B488" s="125"/>
      <c r="C488" s="140" t="s">
        <v>73</v>
      </c>
      <c r="D488" s="125" t="s">
        <v>74</v>
      </c>
      <c r="E488" s="759">
        <v>1000</v>
      </c>
      <c r="F488" s="759">
        <v>200</v>
      </c>
      <c r="G488" s="759"/>
      <c r="H488" s="749">
        <f t="shared" si="19"/>
        <v>200</v>
      </c>
    </row>
    <row r="489" spans="1:8" ht="12.75">
      <c r="A489" s="122"/>
      <c r="B489" s="125"/>
      <c r="C489" s="140" t="s">
        <v>698</v>
      </c>
      <c r="D489" s="125" t="s">
        <v>90</v>
      </c>
      <c r="E489" s="759"/>
      <c r="F489" s="759">
        <v>300</v>
      </c>
      <c r="G489" s="759"/>
      <c r="H489" s="749">
        <f t="shared" si="19"/>
        <v>300</v>
      </c>
    </row>
    <row r="490" spans="1:8" ht="12.75">
      <c r="A490" s="122"/>
      <c r="B490" s="125"/>
      <c r="C490" s="140"/>
      <c r="D490" s="125"/>
      <c r="E490" s="759"/>
      <c r="F490" s="759"/>
      <c r="G490" s="759"/>
      <c r="H490" s="749"/>
    </row>
    <row r="491" spans="1:8" ht="12.75">
      <c r="A491" s="122"/>
      <c r="B491" s="130">
        <v>85233</v>
      </c>
      <c r="C491" s="60"/>
      <c r="D491" s="130" t="s">
        <v>713</v>
      </c>
      <c r="E491" s="758"/>
      <c r="F491" s="758">
        <f>F492</f>
        <v>3100</v>
      </c>
      <c r="G491" s="758">
        <f>G492</f>
        <v>0</v>
      </c>
      <c r="H491" s="748">
        <f>H492</f>
        <v>3100</v>
      </c>
    </row>
    <row r="492" spans="1:8" ht="12.75">
      <c r="A492" s="122"/>
      <c r="B492" s="125"/>
      <c r="C492" s="140" t="s">
        <v>73</v>
      </c>
      <c r="D492" s="125" t="s">
        <v>74</v>
      </c>
      <c r="E492" s="759"/>
      <c r="F492" s="759">
        <v>3100</v>
      </c>
      <c r="G492" s="759"/>
      <c r="H492" s="749">
        <f>F492+G492</f>
        <v>3100</v>
      </c>
    </row>
    <row r="493" spans="1:8" ht="12.75">
      <c r="A493" s="122"/>
      <c r="B493" s="125"/>
      <c r="C493" s="140"/>
      <c r="D493" s="125"/>
      <c r="E493" s="759"/>
      <c r="F493" s="759"/>
      <c r="G493" s="759"/>
      <c r="H493" s="749"/>
    </row>
    <row r="494" spans="1:8" ht="12.75">
      <c r="A494" s="122"/>
      <c r="B494" s="130">
        <v>85295</v>
      </c>
      <c r="C494" s="60"/>
      <c r="D494" s="130" t="s">
        <v>58</v>
      </c>
      <c r="E494" s="758"/>
      <c r="F494" s="758">
        <f>SUM(F495:F498)</f>
        <v>384526</v>
      </c>
      <c r="G494" s="758">
        <f>SUM(G495:G498)</f>
        <v>0</v>
      </c>
      <c r="H494" s="748">
        <f>SUM(H495:H498)</f>
        <v>384526</v>
      </c>
    </row>
    <row r="495" spans="1:8" ht="12.75">
      <c r="A495" s="122"/>
      <c r="B495" s="125"/>
      <c r="C495" s="140" t="s">
        <v>108</v>
      </c>
      <c r="D495" s="125" t="s">
        <v>85</v>
      </c>
      <c r="E495" s="759"/>
      <c r="F495" s="759">
        <v>67190</v>
      </c>
      <c r="G495" s="759">
        <v>526</v>
      </c>
      <c r="H495" s="749">
        <f>F495+G495</f>
        <v>67716</v>
      </c>
    </row>
    <row r="496" spans="1:8" ht="12.75">
      <c r="A496" s="122"/>
      <c r="B496" s="125"/>
      <c r="C496" s="140" t="s">
        <v>173</v>
      </c>
      <c r="D496" s="125" t="s">
        <v>87</v>
      </c>
      <c r="E496" s="759"/>
      <c r="F496" s="759">
        <v>313528</v>
      </c>
      <c r="G496" s="759">
        <v>-1126</v>
      </c>
      <c r="H496" s="749">
        <f>F496+G496</f>
        <v>312402</v>
      </c>
    </row>
    <row r="497" spans="1:8" ht="12.75">
      <c r="A497" s="122"/>
      <c r="B497" s="125"/>
      <c r="C497" s="140" t="s">
        <v>73</v>
      </c>
      <c r="D497" s="125" t="s">
        <v>74</v>
      </c>
      <c r="E497" s="759"/>
      <c r="F497" s="759">
        <v>3498</v>
      </c>
      <c r="G497" s="759"/>
      <c r="H497" s="749">
        <f>F497+G497</f>
        <v>3498</v>
      </c>
    </row>
    <row r="498" spans="1:8" ht="12.75">
      <c r="A498" s="122"/>
      <c r="B498" s="125"/>
      <c r="C498" s="140" t="s">
        <v>387</v>
      </c>
      <c r="D498" s="125" t="s">
        <v>123</v>
      </c>
      <c r="E498" s="759"/>
      <c r="F498" s="759">
        <v>310</v>
      </c>
      <c r="G498" s="759">
        <v>600</v>
      </c>
      <c r="H498" s="749">
        <f>F498+G498</f>
        <v>910</v>
      </c>
    </row>
    <row r="499" spans="1:8" ht="12.75">
      <c r="A499" s="122"/>
      <c r="B499" s="125"/>
      <c r="C499" s="140"/>
      <c r="D499" s="125"/>
      <c r="E499" s="759"/>
      <c r="F499" s="759"/>
      <c r="G499" s="759"/>
      <c r="H499" s="749"/>
    </row>
    <row r="500" spans="1:8" ht="13.5" thickBot="1">
      <c r="A500" s="79">
        <v>853</v>
      </c>
      <c r="B500" s="128"/>
      <c r="C500" s="128"/>
      <c r="D500" s="86" t="s">
        <v>174</v>
      </c>
      <c r="E500" s="103" t="e">
        <f>E505+E526+E530+#REF!</f>
        <v>#REF!</v>
      </c>
      <c r="F500" s="103">
        <f>F505+F526+F530+F501</f>
        <v>1615092</v>
      </c>
      <c r="G500" s="103">
        <f>G505+G526+G530+G501</f>
        <v>-184203</v>
      </c>
      <c r="H500" s="103">
        <f>H505+H526+H530+H501</f>
        <v>1430889</v>
      </c>
    </row>
    <row r="501" spans="1:8" ht="12.75">
      <c r="A501" s="104"/>
      <c r="B501" s="120">
        <v>85311</v>
      </c>
      <c r="C501" s="120"/>
      <c r="D501" s="87" t="s">
        <v>763</v>
      </c>
      <c r="E501" s="764"/>
      <c r="F501" s="764">
        <f>F502</f>
        <v>113987</v>
      </c>
      <c r="G501" s="764">
        <f>G502</f>
        <v>0</v>
      </c>
      <c r="H501" s="750">
        <f>H502</f>
        <v>113987</v>
      </c>
    </row>
    <row r="502" spans="1:8" ht="12.75">
      <c r="A502" s="104"/>
      <c r="B502" s="109"/>
      <c r="C502" s="109">
        <v>2580</v>
      </c>
      <c r="D502" s="125" t="s">
        <v>764</v>
      </c>
      <c r="E502" s="759"/>
      <c r="F502" s="759">
        <v>113987</v>
      </c>
      <c r="G502" s="759"/>
      <c r="H502" s="749">
        <f>F502+G502</f>
        <v>113987</v>
      </c>
    </row>
    <row r="503" spans="1:8" ht="12.75">
      <c r="A503" s="104"/>
      <c r="B503" s="109"/>
      <c r="C503" s="109"/>
      <c r="D503" s="125" t="s">
        <v>765</v>
      </c>
      <c r="E503" s="759"/>
      <c r="F503" s="759"/>
      <c r="G503" s="759"/>
      <c r="H503" s="749"/>
    </row>
    <row r="504" spans="1:8" ht="12.75">
      <c r="A504" s="104"/>
      <c r="B504" s="109"/>
      <c r="C504" s="109"/>
      <c r="D504" s="125"/>
      <c r="E504" s="759"/>
      <c r="F504" s="759"/>
      <c r="G504" s="759"/>
      <c r="H504" s="749"/>
    </row>
    <row r="505" spans="1:8" ht="12.75">
      <c r="A505" s="104"/>
      <c r="B505" s="80">
        <v>85321</v>
      </c>
      <c r="C505" s="80"/>
      <c r="D505" s="130" t="s">
        <v>175</v>
      </c>
      <c r="E505" s="758">
        <f>SUM(E506:E524)</f>
        <v>274325</v>
      </c>
      <c r="F505" s="758">
        <f>SUM(F506:F524)</f>
        <v>342039</v>
      </c>
      <c r="G505" s="758">
        <f>SUM(G506:G524)</f>
        <v>0</v>
      </c>
      <c r="H505" s="748">
        <f>SUM(H506:H524)</f>
        <v>342039</v>
      </c>
    </row>
    <row r="506" spans="1:10" ht="12.75">
      <c r="A506" s="104"/>
      <c r="B506" s="109"/>
      <c r="C506" s="109">
        <v>4010</v>
      </c>
      <c r="D506" s="125" t="s">
        <v>80</v>
      </c>
      <c r="E506" s="759">
        <v>66887</v>
      </c>
      <c r="F506" s="759">
        <v>78675</v>
      </c>
      <c r="G506" s="759"/>
      <c r="H506" s="749">
        <f>F506+G506</f>
        <v>78675</v>
      </c>
      <c r="J506" s="91">
        <f>SUM(H506:H509)</f>
        <v>101729</v>
      </c>
    </row>
    <row r="507" spans="1:8" ht="12.75">
      <c r="A507" s="104"/>
      <c r="B507" s="109"/>
      <c r="C507" s="109">
        <v>4040</v>
      </c>
      <c r="D507" s="125" t="s">
        <v>81</v>
      </c>
      <c r="E507" s="759">
        <v>4431</v>
      </c>
      <c r="F507" s="759">
        <v>4510</v>
      </c>
      <c r="G507" s="759"/>
      <c r="H507" s="749">
        <f aca="true" t="shared" si="20" ref="H507:H524">F507+G507</f>
        <v>4510</v>
      </c>
    </row>
    <row r="508" spans="1:8" ht="12.75">
      <c r="A508" s="104"/>
      <c r="B508" s="109"/>
      <c r="C508" s="109">
        <v>4110</v>
      </c>
      <c r="D508" s="125" t="s">
        <v>82</v>
      </c>
      <c r="E508" s="759">
        <v>11860</v>
      </c>
      <c r="F508" s="759">
        <v>17599</v>
      </c>
      <c r="G508" s="759">
        <v>-1100</v>
      </c>
      <c r="H508" s="749">
        <f t="shared" si="20"/>
        <v>16499</v>
      </c>
    </row>
    <row r="509" spans="1:8" ht="12.75">
      <c r="A509" s="104"/>
      <c r="B509" s="109"/>
      <c r="C509" s="109">
        <v>4120</v>
      </c>
      <c r="D509" s="125" t="s">
        <v>83</v>
      </c>
      <c r="E509" s="759">
        <v>1394</v>
      </c>
      <c r="F509" s="759">
        <v>2042</v>
      </c>
      <c r="G509" s="759">
        <v>3</v>
      </c>
      <c r="H509" s="749">
        <f t="shared" si="20"/>
        <v>2045</v>
      </c>
    </row>
    <row r="510" spans="1:8" ht="12.75">
      <c r="A510" s="104"/>
      <c r="B510" s="109"/>
      <c r="C510" s="109">
        <v>4170</v>
      </c>
      <c r="D510" s="125" t="s">
        <v>84</v>
      </c>
      <c r="E510" s="759"/>
      <c r="F510" s="759">
        <v>40300</v>
      </c>
      <c r="G510" s="759">
        <v>-920</v>
      </c>
      <c r="H510" s="749">
        <f t="shared" si="20"/>
        <v>39380</v>
      </c>
    </row>
    <row r="511" spans="1:8" ht="12.75">
      <c r="A511" s="104"/>
      <c r="B511" s="109"/>
      <c r="C511" s="109">
        <v>4210</v>
      </c>
      <c r="D511" s="125" t="s">
        <v>85</v>
      </c>
      <c r="E511" s="759">
        <v>18900</v>
      </c>
      <c r="F511" s="759">
        <v>22489</v>
      </c>
      <c r="G511" s="759">
        <v>10487</v>
      </c>
      <c r="H511" s="749">
        <f t="shared" si="20"/>
        <v>32976</v>
      </c>
    </row>
    <row r="512" spans="1:8" ht="12.75">
      <c r="A512" s="104"/>
      <c r="B512" s="109"/>
      <c r="C512" s="109">
        <v>4260</v>
      </c>
      <c r="D512" s="125" t="s">
        <v>86</v>
      </c>
      <c r="E512" s="759">
        <v>11020</v>
      </c>
      <c r="F512" s="759">
        <v>11640</v>
      </c>
      <c r="G512" s="759"/>
      <c r="H512" s="749">
        <f t="shared" si="20"/>
        <v>11640</v>
      </c>
    </row>
    <row r="513" spans="1:8" ht="12.75">
      <c r="A513" s="104"/>
      <c r="B513" s="109"/>
      <c r="C513" s="109">
        <v>4270</v>
      </c>
      <c r="D513" s="125" t="s">
        <v>87</v>
      </c>
      <c r="E513" s="759">
        <v>5600</v>
      </c>
      <c r="F513" s="759">
        <v>2254</v>
      </c>
      <c r="G513" s="759">
        <v>-2254</v>
      </c>
      <c r="H513" s="749">
        <f t="shared" si="20"/>
        <v>0</v>
      </c>
    </row>
    <row r="514" spans="1:8" ht="12.75">
      <c r="A514" s="104"/>
      <c r="B514" s="109"/>
      <c r="C514" s="109">
        <v>4280</v>
      </c>
      <c r="D514" s="125" t="s">
        <v>88</v>
      </c>
      <c r="E514" s="759">
        <v>100</v>
      </c>
      <c r="F514" s="759">
        <v>100</v>
      </c>
      <c r="G514" s="759">
        <v>-100</v>
      </c>
      <c r="H514" s="749">
        <f t="shared" si="20"/>
        <v>0</v>
      </c>
    </row>
    <row r="515" spans="1:8" ht="12.75">
      <c r="A515" s="104"/>
      <c r="B515" s="109"/>
      <c r="C515" s="109">
        <v>4300</v>
      </c>
      <c r="D515" s="125" t="s">
        <v>74</v>
      </c>
      <c r="E515" s="759">
        <v>148254</v>
      </c>
      <c r="F515" s="759">
        <v>142920</v>
      </c>
      <c r="G515" s="759">
        <v>-2612</v>
      </c>
      <c r="H515" s="749">
        <f t="shared" si="20"/>
        <v>140308</v>
      </c>
    </row>
    <row r="516" spans="1:8" ht="12.75">
      <c r="A516" s="104"/>
      <c r="B516" s="109"/>
      <c r="C516" s="109">
        <v>4370</v>
      </c>
      <c r="D516" s="125" t="s">
        <v>91</v>
      </c>
      <c r="E516" s="759">
        <v>0</v>
      </c>
      <c r="F516" s="759">
        <v>4800</v>
      </c>
      <c r="G516" s="759">
        <v>-1000</v>
      </c>
      <c r="H516" s="749">
        <f t="shared" si="20"/>
        <v>3800</v>
      </c>
    </row>
    <row r="517" spans="1:8" ht="12.75">
      <c r="A517" s="104"/>
      <c r="B517" s="109"/>
      <c r="C517" s="109">
        <v>4410</v>
      </c>
      <c r="D517" s="125" t="s">
        <v>92</v>
      </c>
      <c r="E517" s="759">
        <v>3000</v>
      </c>
      <c r="F517" s="759">
        <v>3000</v>
      </c>
      <c r="G517" s="759">
        <v>-648</v>
      </c>
      <c r="H517" s="749">
        <f t="shared" si="20"/>
        <v>2352</v>
      </c>
    </row>
    <row r="518" spans="1:8" ht="12.75">
      <c r="A518" s="104"/>
      <c r="B518" s="109"/>
      <c r="C518" s="109">
        <v>4430</v>
      </c>
      <c r="D518" s="125" t="s">
        <v>93</v>
      </c>
      <c r="E518" s="759">
        <v>972</v>
      </c>
      <c r="F518" s="759">
        <v>700</v>
      </c>
      <c r="G518" s="759">
        <v>-243</v>
      </c>
      <c r="H518" s="749">
        <f t="shared" si="20"/>
        <v>457</v>
      </c>
    </row>
    <row r="519" spans="1:8" ht="12.75">
      <c r="A519" s="104"/>
      <c r="B519" s="109"/>
      <c r="C519" s="109">
        <v>4440</v>
      </c>
      <c r="D519" s="125" t="s">
        <v>94</v>
      </c>
      <c r="E519" s="759">
        <v>1907</v>
      </c>
      <c r="F519" s="759">
        <v>2897</v>
      </c>
      <c r="G519" s="759"/>
      <c r="H519" s="749">
        <f t="shared" si="20"/>
        <v>2897</v>
      </c>
    </row>
    <row r="520" spans="1:8" ht="12.75">
      <c r="A520" s="104"/>
      <c r="B520" s="109"/>
      <c r="C520" s="109">
        <v>4480</v>
      </c>
      <c r="D520" s="125" t="s">
        <v>95</v>
      </c>
      <c r="E520" s="759"/>
      <c r="F520" s="759">
        <v>463</v>
      </c>
      <c r="G520" s="759">
        <v>-463</v>
      </c>
      <c r="H520" s="749">
        <f t="shared" si="20"/>
        <v>0</v>
      </c>
    </row>
    <row r="521" spans="1:8" ht="12.75">
      <c r="A521" s="104"/>
      <c r="B521" s="109"/>
      <c r="C521" s="109">
        <v>4510</v>
      </c>
      <c r="D521" s="125" t="s">
        <v>97</v>
      </c>
      <c r="E521" s="759"/>
      <c r="F521" s="759">
        <v>150</v>
      </c>
      <c r="G521" s="759"/>
      <c r="H521" s="749">
        <f t="shared" si="20"/>
        <v>150</v>
      </c>
    </row>
    <row r="522" spans="1:8" ht="12.75">
      <c r="A522" s="104"/>
      <c r="B522" s="109"/>
      <c r="C522" s="109">
        <v>4700</v>
      </c>
      <c r="D522" s="125" t="s">
        <v>113</v>
      </c>
      <c r="E522" s="759">
        <v>0</v>
      </c>
      <c r="F522" s="759">
        <v>0</v>
      </c>
      <c r="G522" s="759"/>
      <c r="H522" s="749">
        <f t="shared" si="20"/>
        <v>0</v>
      </c>
    </row>
    <row r="523" spans="1:8" ht="12.75">
      <c r="A523" s="104"/>
      <c r="B523" s="109"/>
      <c r="C523" s="109">
        <v>4740</v>
      </c>
      <c r="D523" s="125" t="s">
        <v>122</v>
      </c>
      <c r="E523" s="759">
        <v>0</v>
      </c>
      <c r="F523" s="759">
        <v>1500</v>
      </c>
      <c r="G523" s="759"/>
      <c r="H523" s="749">
        <f t="shared" si="20"/>
        <v>1500</v>
      </c>
    </row>
    <row r="524" spans="1:8" ht="12.75">
      <c r="A524" s="104"/>
      <c r="B524" s="109"/>
      <c r="C524" s="109">
        <v>4750</v>
      </c>
      <c r="D524" s="125" t="s">
        <v>123</v>
      </c>
      <c r="E524" s="759">
        <v>0</v>
      </c>
      <c r="F524" s="759">
        <v>6000</v>
      </c>
      <c r="G524" s="759">
        <v>-1150</v>
      </c>
      <c r="H524" s="749">
        <f t="shared" si="20"/>
        <v>4850</v>
      </c>
    </row>
    <row r="525" spans="1:8" ht="12.75">
      <c r="A525" s="104"/>
      <c r="B525" s="109"/>
      <c r="C525" s="109"/>
      <c r="D525" s="125"/>
      <c r="E525" s="759"/>
      <c r="F525" s="759"/>
      <c r="G525" s="759"/>
      <c r="H525" s="749"/>
    </row>
    <row r="526" spans="1:8" ht="12.75">
      <c r="A526" s="113"/>
      <c r="B526" s="80">
        <v>85333</v>
      </c>
      <c r="C526" s="80"/>
      <c r="D526" s="130" t="s">
        <v>176</v>
      </c>
      <c r="E526" s="758">
        <f>SUM(E527:E528)</f>
        <v>87217</v>
      </c>
      <c r="F526" s="758">
        <f>SUM(F527:F528)</f>
        <v>656809</v>
      </c>
      <c r="G526" s="758">
        <f>SUM(G527:G528)</f>
        <v>-40706</v>
      </c>
      <c r="H526" s="748">
        <f>SUM(H527:H528)</f>
        <v>616103</v>
      </c>
    </row>
    <row r="527" spans="1:8" ht="12.75">
      <c r="A527" s="113"/>
      <c r="B527" s="109"/>
      <c r="C527" s="109">
        <v>2310</v>
      </c>
      <c r="D527" s="125" t="s">
        <v>155</v>
      </c>
      <c r="E527" s="759">
        <v>0</v>
      </c>
      <c r="F527" s="759">
        <v>616103</v>
      </c>
      <c r="G527" s="759"/>
      <c r="H527" s="749">
        <f>F527+G527</f>
        <v>616103</v>
      </c>
    </row>
    <row r="528" spans="1:8" ht="12.75">
      <c r="A528" s="113"/>
      <c r="B528" s="109"/>
      <c r="C528" s="109">
        <v>4300</v>
      </c>
      <c r="D528" s="125" t="s">
        <v>74</v>
      </c>
      <c r="E528" s="759">
        <v>87217</v>
      </c>
      <c r="F528" s="759">
        <v>40706</v>
      </c>
      <c r="G528" s="759">
        <v>-40706</v>
      </c>
      <c r="H528" s="749">
        <f>F528+G528</f>
        <v>0</v>
      </c>
    </row>
    <row r="529" spans="1:8" ht="12.75">
      <c r="A529" s="113"/>
      <c r="B529" s="109"/>
      <c r="C529" s="109"/>
      <c r="D529" s="125"/>
      <c r="E529" s="759"/>
      <c r="F529" s="759"/>
      <c r="G529" s="759"/>
      <c r="H529" s="749"/>
    </row>
    <row r="530" spans="1:8" ht="12.75">
      <c r="A530" s="113"/>
      <c r="B530" s="80">
        <v>85395</v>
      </c>
      <c r="C530" s="80"/>
      <c r="D530" s="130" t="s">
        <v>58</v>
      </c>
      <c r="E530" s="758">
        <f>SUM(E532:E537)</f>
        <v>715961</v>
      </c>
      <c r="F530" s="758">
        <f>SUM(F531:F537)</f>
        <v>502257</v>
      </c>
      <c r="G530" s="758">
        <f>SUM(G531:G537)</f>
        <v>-143497</v>
      </c>
      <c r="H530" s="748">
        <f>SUM(H531:H537)</f>
        <v>358760</v>
      </c>
    </row>
    <row r="531" spans="1:8" ht="12.75">
      <c r="A531" s="113"/>
      <c r="B531" s="109"/>
      <c r="C531" s="109">
        <v>3110</v>
      </c>
      <c r="D531" s="125" t="s">
        <v>177</v>
      </c>
      <c r="E531" s="759"/>
      <c r="F531" s="759">
        <v>143497</v>
      </c>
      <c r="G531" s="759">
        <v>-143497</v>
      </c>
      <c r="H531" s="749">
        <f aca="true" t="shared" si="21" ref="H531:H537">F531+G531</f>
        <v>0</v>
      </c>
    </row>
    <row r="532" spans="1:8" ht="12.75">
      <c r="A532" s="113"/>
      <c r="B532" s="109"/>
      <c r="C532" s="109">
        <v>3118</v>
      </c>
      <c r="D532" s="125" t="s">
        <v>177</v>
      </c>
      <c r="E532" s="759">
        <v>426475</v>
      </c>
      <c r="F532" s="759">
        <v>179527</v>
      </c>
      <c r="G532" s="759"/>
      <c r="H532" s="749">
        <f t="shared" si="21"/>
        <v>179527</v>
      </c>
    </row>
    <row r="533" spans="1:8" ht="12.75">
      <c r="A533" s="113"/>
      <c r="B533" s="109"/>
      <c r="C533" s="109">
        <v>3119</v>
      </c>
      <c r="D533" s="125" t="s">
        <v>177</v>
      </c>
      <c r="E533" s="759">
        <v>0</v>
      </c>
      <c r="F533" s="759">
        <v>39911</v>
      </c>
      <c r="G533" s="759"/>
      <c r="H533" s="749">
        <f t="shared" si="21"/>
        <v>39911</v>
      </c>
    </row>
    <row r="534" spans="1:8" ht="12.75">
      <c r="A534" s="113"/>
      <c r="B534" s="109"/>
      <c r="C534" s="109">
        <v>4118</v>
      </c>
      <c r="D534" s="125" t="s">
        <v>82</v>
      </c>
      <c r="E534" s="759">
        <v>35871</v>
      </c>
      <c r="F534" s="759">
        <v>109568</v>
      </c>
      <c r="G534" s="759"/>
      <c r="H534" s="749">
        <f t="shared" si="21"/>
        <v>109568</v>
      </c>
    </row>
    <row r="535" spans="1:8" ht="12.75">
      <c r="A535" s="113"/>
      <c r="B535" s="109"/>
      <c r="C535" s="109">
        <v>4219</v>
      </c>
      <c r="D535" s="125" t="s">
        <v>85</v>
      </c>
      <c r="E535" s="759"/>
      <c r="F535" s="759">
        <v>10000</v>
      </c>
      <c r="G535" s="759"/>
      <c r="H535" s="749">
        <f t="shared" si="21"/>
        <v>10000</v>
      </c>
    </row>
    <row r="536" spans="1:8" ht="12.75">
      <c r="A536" s="113"/>
      <c r="B536" s="109"/>
      <c r="C536" s="109">
        <v>4288</v>
      </c>
      <c r="D536" s="125" t="s">
        <v>88</v>
      </c>
      <c r="E536" s="759"/>
      <c r="F536" s="759">
        <v>1888</v>
      </c>
      <c r="G536" s="759"/>
      <c r="H536" s="749">
        <f t="shared" si="21"/>
        <v>1888</v>
      </c>
    </row>
    <row r="537" spans="1:8" ht="12.75">
      <c r="A537" s="113"/>
      <c r="B537" s="109"/>
      <c r="C537" s="109">
        <v>4308</v>
      </c>
      <c r="D537" s="125" t="s">
        <v>74</v>
      </c>
      <c r="E537" s="759">
        <v>253615</v>
      </c>
      <c r="F537" s="759">
        <v>17866</v>
      </c>
      <c r="G537" s="759"/>
      <c r="H537" s="749">
        <f t="shared" si="21"/>
        <v>17866</v>
      </c>
    </row>
    <row r="538" spans="1:8" ht="12.75">
      <c r="A538" s="122"/>
      <c r="B538" s="109"/>
      <c r="C538" s="109"/>
      <c r="D538" s="125"/>
      <c r="E538" s="759"/>
      <c r="F538" s="759"/>
      <c r="G538" s="759"/>
      <c r="H538" s="749"/>
    </row>
    <row r="539" spans="1:8" ht="13.5" thickBot="1">
      <c r="A539" s="79">
        <v>854</v>
      </c>
      <c r="B539" s="128"/>
      <c r="C539" s="128"/>
      <c r="D539" s="86" t="s">
        <v>178</v>
      </c>
      <c r="E539" s="103" t="e">
        <f>E540+E551+E575+E593+E643+E611+#REF!</f>
        <v>#REF!</v>
      </c>
      <c r="F539" s="103">
        <f>F540+F551+F575+F593+F643+F611+F638</f>
        <v>4311177</v>
      </c>
      <c r="G539" s="103">
        <f>G540+G551+G575+G593+G643+G611+G638</f>
        <v>335164</v>
      </c>
      <c r="H539" s="145">
        <f>H540+H551+H575+H593+H643+H611+H638</f>
        <v>4646341</v>
      </c>
    </row>
    <row r="540" spans="1:8" ht="12.75">
      <c r="A540" s="113"/>
      <c r="B540" s="80">
        <v>85401</v>
      </c>
      <c r="C540" s="80"/>
      <c r="D540" s="130" t="s">
        <v>179</v>
      </c>
      <c r="E540" s="758">
        <f>SUM(E541:E548)</f>
        <v>43170</v>
      </c>
      <c r="F540" s="758">
        <f>SUM(F541:F549)</f>
        <v>56592</v>
      </c>
      <c r="G540" s="758">
        <f>SUM(G541:G549)</f>
        <v>978</v>
      </c>
      <c r="H540" s="748">
        <f>SUM(H541:H549)</f>
        <v>57570</v>
      </c>
    </row>
    <row r="541" spans="1:8" ht="12.75">
      <c r="A541" s="113"/>
      <c r="B541" s="109"/>
      <c r="C541" s="109">
        <v>3020</v>
      </c>
      <c r="D541" s="125" t="s">
        <v>79</v>
      </c>
      <c r="E541" s="759">
        <v>0</v>
      </c>
      <c r="F541" s="759">
        <v>63</v>
      </c>
      <c r="G541" s="759"/>
      <c r="H541" s="749">
        <f>F541+G541</f>
        <v>63</v>
      </c>
    </row>
    <row r="542" spans="1:10" ht="12.75">
      <c r="A542" s="113"/>
      <c r="B542" s="109"/>
      <c r="C542" s="109">
        <v>4010</v>
      </c>
      <c r="D542" s="125" t="s">
        <v>80</v>
      </c>
      <c r="E542" s="759">
        <v>30166</v>
      </c>
      <c r="F542" s="759">
        <v>39786</v>
      </c>
      <c r="G542" s="759">
        <f>934-1882</f>
        <v>-948</v>
      </c>
      <c r="H542" s="749">
        <f aca="true" t="shared" si="22" ref="H542:H549">F542+G542</f>
        <v>38838</v>
      </c>
      <c r="J542" s="91">
        <f>SUM(H542:H545)</f>
        <v>49062</v>
      </c>
    </row>
    <row r="543" spans="1:8" ht="12.75">
      <c r="A543" s="113"/>
      <c r="B543" s="109"/>
      <c r="C543" s="109">
        <v>4040</v>
      </c>
      <c r="D543" s="125" t="s">
        <v>81</v>
      </c>
      <c r="E543" s="759">
        <v>2410</v>
      </c>
      <c r="F543" s="759">
        <v>2580</v>
      </c>
      <c r="G543" s="759"/>
      <c r="H543" s="749">
        <f t="shared" si="22"/>
        <v>2580</v>
      </c>
    </row>
    <row r="544" spans="1:8" ht="12.75">
      <c r="A544" s="113"/>
      <c r="B544" s="109"/>
      <c r="C544" s="109">
        <v>4110</v>
      </c>
      <c r="D544" s="125" t="s">
        <v>82</v>
      </c>
      <c r="E544" s="759">
        <v>5837</v>
      </c>
      <c r="F544" s="759">
        <v>6507</v>
      </c>
      <c r="G544" s="759">
        <f>38+161</f>
        <v>199</v>
      </c>
      <c r="H544" s="749">
        <f t="shared" si="22"/>
        <v>6706</v>
      </c>
    </row>
    <row r="545" spans="1:8" ht="12.75">
      <c r="A545" s="113"/>
      <c r="B545" s="109"/>
      <c r="C545" s="109">
        <v>4120</v>
      </c>
      <c r="D545" s="125" t="s">
        <v>83</v>
      </c>
      <c r="E545" s="759">
        <v>911</v>
      </c>
      <c r="F545" s="759">
        <v>906</v>
      </c>
      <c r="G545" s="759">
        <f>6+26</f>
        <v>32</v>
      </c>
      <c r="H545" s="749">
        <f t="shared" si="22"/>
        <v>938</v>
      </c>
    </row>
    <row r="546" spans="1:8" ht="12.75">
      <c r="A546" s="113"/>
      <c r="B546" s="109"/>
      <c r="C546" s="109">
        <v>4210</v>
      </c>
      <c r="D546" s="125" t="s">
        <v>85</v>
      </c>
      <c r="E546" s="759">
        <v>0</v>
      </c>
      <c r="F546" s="759">
        <v>1853</v>
      </c>
      <c r="G546" s="759">
        <v>1695</v>
      </c>
      <c r="H546" s="749">
        <f t="shared" si="22"/>
        <v>3548</v>
      </c>
    </row>
    <row r="547" spans="1:8" ht="12.75">
      <c r="A547" s="113"/>
      <c r="B547" s="109"/>
      <c r="C547" s="109">
        <v>4260</v>
      </c>
      <c r="D547" s="125" t="s">
        <v>86</v>
      </c>
      <c r="E547" s="759">
        <v>0</v>
      </c>
      <c r="F547" s="759">
        <v>800</v>
      </c>
      <c r="G547" s="759"/>
      <c r="H547" s="749">
        <f t="shared" si="22"/>
        <v>800</v>
      </c>
    </row>
    <row r="548" spans="1:8" ht="12.75">
      <c r="A548" s="113"/>
      <c r="B548" s="109"/>
      <c r="C548" s="109">
        <v>4440</v>
      </c>
      <c r="D548" s="125" t="s">
        <v>94</v>
      </c>
      <c r="E548" s="759">
        <v>3846</v>
      </c>
      <c r="F548" s="759">
        <v>3950</v>
      </c>
      <c r="G548" s="759"/>
      <c r="H548" s="749">
        <f t="shared" si="22"/>
        <v>3950</v>
      </c>
    </row>
    <row r="549" spans="1:8" ht="12.75">
      <c r="A549" s="113"/>
      <c r="B549" s="109"/>
      <c r="C549" s="109">
        <v>4750</v>
      </c>
      <c r="D549" s="125" t="s">
        <v>123</v>
      </c>
      <c r="E549" s="759"/>
      <c r="F549" s="759">
        <v>147</v>
      </c>
      <c r="G549" s="759"/>
      <c r="H549" s="749">
        <f t="shared" si="22"/>
        <v>147</v>
      </c>
    </row>
    <row r="550" spans="1:8" ht="14.25" customHeight="1">
      <c r="A550" s="113"/>
      <c r="B550" s="109"/>
      <c r="C550" s="109"/>
      <c r="D550" s="125"/>
      <c r="E550" s="759"/>
      <c r="F550" s="759"/>
      <c r="G550" s="759"/>
      <c r="H550" s="749"/>
    </row>
    <row r="551" spans="1:8" ht="12.75">
      <c r="A551" s="113"/>
      <c r="B551" s="80">
        <v>85406</v>
      </c>
      <c r="C551" s="80"/>
      <c r="D551" s="130" t="s">
        <v>180</v>
      </c>
      <c r="E551" s="758">
        <f>SUM(E552:E573)</f>
        <v>603699</v>
      </c>
      <c r="F551" s="758">
        <f>SUM(F552:F573)</f>
        <v>632822</v>
      </c>
      <c r="G551" s="758">
        <f>SUM(G552:G573)</f>
        <v>13672</v>
      </c>
      <c r="H551" s="748">
        <f>SUM(H552:H573)</f>
        <v>646494</v>
      </c>
    </row>
    <row r="552" spans="1:9" ht="12.75">
      <c r="A552" s="113"/>
      <c r="B552" s="109"/>
      <c r="C552" s="109">
        <v>2310</v>
      </c>
      <c r="D552" s="125" t="s">
        <v>155</v>
      </c>
      <c r="E552" s="759">
        <v>120000</v>
      </c>
      <c r="F552" s="759">
        <v>124800</v>
      </c>
      <c r="G552" s="759">
        <v>3600</v>
      </c>
      <c r="H552" s="749">
        <f>F552+G552</f>
        <v>128400</v>
      </c>
      <c r="I552" s="91"/>
    </row>
    <row r="553" spans="1:8" ht="12.75">
      <c r="A553" s="113"/>
      <c r="B553" s="109"/>
      <c r="C553" s="109">
        <v>3020</v>
      </c>
      <c r="D553" s="125" t="s">
        <v>79</v>
      </c>
      <c r="E553" s="759">
        <v>919</v>
      </c>
      <c r="F553" s="759">
        <v>101</v>
      </c>
      <c r="G553" s="759">
        <v>-71</v>
      </c>
      <c r="H553" s="749">
        <f aca="true" t="shared" si="23" ref="H553:H573">F553+G553</f>
        <v>30</v>
      </c>
    </row>
    <row r="554" spans="1:10" ht="12.75">
      <c r="A554" s="113"/>
      <c r="B554" s="109"/>
      <c r="C554" s="109">
        <v>4010</v>
      </c>
      <c r="D554" s="125" t="s">
        <v>80</v>
      </c>
      <c r="E554" s="759">
        <v>317392</v>
      </c>
      <c r="F554" s="759">
        <v>334814</v>
      </c>
      <c r="G554" s="759">
        <f>-1267+16006</f>
        <v>14739</v>
      </c>
      <c r="H554" s="749">
        <f t="shared" si="23"/>
        <v>349553</v>
      </c>
      <c r="J554" s="91">
        <f>SUM(H554:H557)</f>
        <v>444990</v>
      </c>
    </row>
    <row r="555" spans="1:8" ht="12.75">
      <c r="A555" s="113"/>
      <c r="B555" s="109"/>
      <c r="C555" s="109">
        <v>4040</v>
      </c>
      <c r="D555" s="125" t="s">
        <v>81</v>
      </c>
      <c r="E555" s="759">
        <v>24151</v>
      </c>
      <c r="F555" s="759">
        <v>25578</v>
      </c>
      <c r="G555" s="759"/>
      <c r="H555" s="749">
        <f t="shared" si="23"/>
        <v>25578</v>
      </c>
    </row>
    <row r="556" spans="1:8" ht="12.75">
      <c r="A556" s="113"/>
      <c r="B556" s="109"/>
      <c r="C556" s="109">
        <v>4110</v>
      </c>
      <c r="D556" s="125" t="s">
        <v>82</v>
      </c>
      <c r="E556" s="759">
        <v>58876</v>
      </c>
      <c r="F556" s="759">
        <v>59927</v>
      </c>
      <c r="G556" s="759">
        <f>-3554+4699</f>
        <v>1145</v>
      </c>
      <c r="H556" s="749">
        <f t="shared" si="23"/>
        <v>61072</v>
      </c>
    </row>
    <row r="557" spans="1:8" ht="12.75">
      <c r="A557" s="113"/>
      <c r="B557" s="109"/>
      <c r="C557" s="109">
        <v>4120</v>
      </c>
      <c r="D557" s="125" t="s">
        <v>83</v>
      </c>
      <c r="E557" s="759">
        <v>8222</v>
      </c>
      <c r="F557" s="759">
        <v>15579</v>
      </c>
      <c r="G557" s="759">
        <v>-6792</v>
      </c>
      <c r="H557" s="749">
        <f t="shared" si="23"/>
        <v>8787</v>
      </c>
    </row>
    <row r="558" spans="1:8" ht="12.75">
      <c r="A558" s="113"/>
      <c r="B558" s="109"/>
      <c r="C558" s="109">
        <v>4170</v>
      </c>
      <c r="D558" s="125" t="s">
        <v>84</v>
      </c>
      <c r="E558" s="759"/>
      <c r="F558" s="759">
        <v>3679</v>
      </c>
      <c r="G558" s="759"/>
      <c r="H558" s="749">
        <f t="shared" si="23"/>
        <v>3679</v>
      </c>
    </row>
    <row r="559" spans="1:8" ht="12.75">
      <c r="A559" s="113"/>
      <c r="B559" s="109"/>
      <c r="C559" s="109">
        <v>4210</v>
      </c>
      <c r="D559" s="125" t="s">
        <v>85</v>
      </c>
      <c r="E559" s="759">
        <v>7409</v>
      </c>
      <c r="F559" s="759">
        <v>12420</v>
      </c>
      <c r="G559" s="759">
        <f>7+1178+850</f>
        <v>2035</v>
      </c>
      <c r="H559" s="749">
        <f t="shared" si="23"/>
        <v>14455</v>
      </c>
    </row>
    <row r="560" spans="1:8" ht="12.75">
      <c r="A560" s="113"/>
      <c r="B560" s="109"/>
      <c r="C560" s="109">
        <v>4240</v>
      </c>
      <c r="D560" s="125" t="s">
        <v>144</v>
      </c>
      <c r="E560" s="759">
        <v>21916</v>
      </c>
      <c r="F560" s="759">
        <v>2090</v>
      </c>
      <c r="G560" s="759">
        <v>200</v>
      </c>
      <c r="H560" s="749">
        <f t="shared" si="23"/>
        <v>2290</v>
      </c>
    </row>
    <row r="561" spans="1:8" ht="12.75">
      <c r="A561" s="113"/>
      <c r="B561" s="109"/>
      <c r="C561" s="109">
        <v>4260</v>
      </c>
      <c r="D561" s="125" t="s">
        <v>86</v>
      </c>
      <c r="E561" s="759">
        <v>8931</v>
      </c>
      <c r="F561" s="759">
        <v>10000</v>
      </c>
      <c r="G561" s="759">
        <v>-572</v>
      </c>
      <c r="H561" s="749">
        <f t="shared" si="23"/>
        <v>9428</v>
      </c>
    </row>
    <row r="562" spans="1:8" ht="12.75">
      <c r="A562" s="113"/>
      <c r="B562" s="109"/>
      <c r="C562" s="109">
        <v>4270</v>
      </c>
      <c r="D562" s="125" t="s">
        <v>87</v>
      </c>
      <c r="E562" s="759">
        <v>2880</v>
      </c>
      <c r="F562" s="759">
        <v>3250</v>
      </c>
      <c r="G562" s="759">
        <v>-230</v>
      </c>
      <c r="H562" s="749">
        <f t="shared" si="23"/>
        <v>3020</v>
      </c>
    </row>
    <row r="563" spans="1:8" ht="12.75">
      <c r="A563" s="113"/>
      <c r="B563" s="125"/>
      <c r="C563" s="109">
        <v>4280</v>
      </c>
      <c r="D563" s="125" t="s">
        <v>88</v>
      </c>
      <c r="E563" s="759">
        <v>40</v>
      </c>
      <c r="F563" s="759">
        <v>164</v>
      </c>
      <c r="G563" s="759">
        <v>-40</v>
      </c>
      <c r="H563" s="749">
        <f t="shared" si="23"/>
        <v>124</v>
      </c>
    </row>
    <row r="564" spans="1:8" ht="12.75">
      <c r="A564" s="113"/>
      <c r="B564" s="125"/>
      <c r="C564" s="109">
        <v>4300</v>
      </c>
      <c r="D564" s="125" t="s">
        <v>74</v>
      </c>
      <c r="E564" s="759">
        <v>9565</v>
      </c>
      <c r="F564" s="759">
        <v>5206</v>
      </c>
      <c r="G564" s="759">
        <f>-415-18</f>
        <v>-433</v>
      </c>
      <c r="H564" s="749">
        <f t="shared" si="23"/>
        <v>4773</v>
      </c>
    </row>
    <row r="565" spans="1:8" ht="12.75">
      <c r="A565" s="113"/>
      <c r="B565" s="125"/>
      <c r="C565" s="109">
        <v>4350</v>
      </c>
      <c r="D565" s="125" t="s">
        <v>128</v>
      </c>
      <c r="E565" s="759">
        <v>68</v>
      </c>
      <c r="F565" s="759">
        <v>100</v>
      </c>
      <c r="G565" s="759">
        <v>90</v>
      </c>
      <c r="H565" s="749">
        <f t="shared" si="23"/>
        <v>190</v>
      </c>
    </row>
    <row r="566" spans="1:8" ht="12.75">
      <c r="A566" s="113"/>
      <c r="B566" s="125"/>
      <c r="C566" s="109">
        <v>4370</v>
      </c>
      <c r="D566" s="125" t="s">
        <v>91</v>
      </c>
      <c r="E566" s="759">
        <v>0</v>
      </c>
      <c r="F566" s="759">
        <v>3200</v>
      </c>
      <c r="G566" s="759">
        <v>236</v>
      </c>
      <c r="H566" s="749">
        <f t="shared" si="23"/>
        <v>3436</v>
      </c>
    </row>
    <row r="567" spans="1:8" ht="12.75">
      <c r="A567" s="113"/>
      <c r="B567" s="125"/>
      <c r="C567" s="109">
        <v>4400</v>
      </c>
      <c r="D567" s="125" t="s">
        <v>748</v>
      </c>
      <c r="E567" s="759">
        <v>0</v>
      </c>
      <c r="F567" s="759">
        <v>2158</v>
      </c>
      <c r="G567" s="759"/>
      <c r="H567" s="749">
        <f>F567+G567</f>
        <v>2158</v>
      </c>
    </row>
    <row r="568" spans="1:8" ht="12.75">
      <c r="A568" s="113"/>
      <c r="B568" s="125"/>
      <c r="C568" s="109">
        <v>4410</v>
      </c>
      <c r="D568" s="125" t="s">
        <v>92</v>
      </c>
      <c r="E568" s="759">
        <v>2105</v>
      </c>
      <c r="F568" s="759">
        <v>1874</v>
      </c>
      <c r="G568" s="759">
        <v>-516</v>
      </c>
      <c r="H568" s="749">
        <f t="shared" si="23"/>
        <v>1358</v>
      </c>
    </row>
    <row r="569" spans="1:8" ht="12.75">
      <c r="A569" s="113"/>
      <c r="B569" s="125"/>
      <c r="C569" s="109">
        <v>4430</v>
      </c>
      <c r="D569" s="125" t="s">
        <v>93</v>
      </c>
      <c r="E569" s="759">
        <v>412</v>
      </c>
      <c r="F569" s="759">
        <v>2000</v>
      </c>
      <c r="G569" s="759">
        <f>140+18</f>
        <v>158</v>
      </c>
      <c r="H569" s="749">
        <f t="shared" si="23"/>
        <v>2158</v>
      </c>
    </row>
    <row r="570" spans="1:8" ht="12.75">
      <c r="A570" s="113"/>
      <c r="B570" s="125"/>
      <c r="C570" s="109">
        <v>4440</v>
      </c>
      <c r="D570" s="125" t="s">
        <v>94</v>
      </c>
      <c r="E570" s="759">
        <v>20813</v>
      </c>
      <c r="F570" s="759">
        <v>22179</v>
      </c>
      <c r="G570" s="759">
        <v>123</v>
      </c>
      <c r="H570" s="749">
        <f t="shared" si="23"/>
        <v>22302</v>
      </c>
    </row>
    <row r="571" spans="1:8" ht="12.75">
      <c r="A571" s="113"/>
      <c r="B571" s="125"/>
      <c r="C571" s="109">
        <v>4700</v>
      </c>
      <c r="D571" s="125" t="s">
        <v>113</v>
      </c>
      <c r="E571" s="759">
        <v>0</v>
      </c>
      <c r="F571" s="759">
        <v>330</v>
      </c>
      <c r="G571" s="759"/>
      <c r="H571" s="749">
        <f t="shared" si="23"/>
        <v>330</v>
      </c>
    </row>
    <row r="572" spans="1:8" ht="12.75">
      <c r="A572" s="113"/>
      <c r="B572" s="125"/>
      <c r="C572" s="109">
        <v>4740</v>
      </c>
      <c r="D572" s="125" t="s">
        <v>122</v>
      </c>
      <c r="E572" s="759">
        <v>0</v>
      </c>
      <c r="F572" s="759">
        <v>873</v>
      </c>
      <c r="G572" s="759"/>
      <c r="H572" s="749">
        <f t="shared" si="23"/>
        <v>873</v>
      </c>
    </row>
    <row r="573" spans="1:8" ht="12.75">
      <c r="A573" s="113"/>
      <c r="B573" s="125"/>
      <c r="C573" s="109">
        <v>4750</v>
      </c>
      <c r="D573" s="125" t="s">
        <v>123</v>
      </c>
      <c r="E573" s="759">
        <v>0</v>
      </c>
      <c r="F573" s="759">
        <v>2500</v>
      </c>
      <c r="G573" s="759"/>
      <c r="H573" s="749">
        <f t="shared" si="23"/>
        <v>2500</v>
      </c>
    </row>
    <row r="574" spans="1:8" ht="12.75">
      <c r="A574" s="113"/>
      <c r="B574" s="125"/>
      <c r="C574" s="109"/>
      <c r="D574" s="125"/>
      <c r="E574" s="759"/>
      <c r="F574" s="759"/>
      <c r="G574" s="759"/>
      <c r="H574" s="749"/>
    </row>
    <row r="575" spans="1:8" ht="12.75">
      <c r="A575" s="122"/>
      <c r="B575" s="80">
        <v>85410</v>
      </c>
      <c r="C575" s="80"/>
      <c r="D575" s="130" t="s">
        <v>181</v>
      </c>
      <c r="E575" s="758">
        <f>SUM(E576:E591)</f>
        <v>235468</v>
      </c>
      <c r="F575" s="758">
        <f>SUM(F576:F591)</f>
        <v>293877</v>
      </c>
      <c r="G575" s="758">
        <f>SUM(G576:G591)</f>
        <v>-25926</v>
      </c>
      <c r="H575" s="748">
        <f>SUM(H576:H591)</f>
        <v>267951</v>
      </c>
    </row>
    <row r="576" spans="1:8" ht="12.75">
      <c r="A576" s="122"/>
      <c r="B576" s="125"/>
      <c r="C576" s="109">
        <v>3020</v>
      </c>
      <c r="D576" s="125" t="s">
        <v>79</v>
      </c>
      <c r="E576" s="759">
        <v>136</v>
      </c>
      <c r="F576" s="759">
        <v>157</v>
      </c>
      <c r="G576" s="759"/>
      <c r="H576" s="749">
        <f>F576+G576</f>
        <v>157</v>
      </c>
    </row>
    <row r="577" spans="1:10" ht="12.75">
      <c r="A577" s="122"/>
      <c r="B577" s="125"/>
      <c r="C577" s="109">
        <v>4010</v>
      </c>
      <c r="D577" s="125" t="s">
        <v>80</v>
      </c>
      <c r="E577" s="759">
        <v>70638</v>
      </c>
      <c r="F577" s="759">
        <v>105896</v>
      </c>
      <c r="G577" s="759">
        <f>-764-3106-17445</f>
        <v>-21315</v>
      </c>
      <c r="H577" s="749">
        <f aca="true" t="shared" si="24" ref="H577:H591">F577+G577</f>
        <v>84581</v>
      </c>
      <c r="J577" s="91">
        <f>SUM(H577:H580)</f>
        <v>107896</v>
      </c>
    </row>
    <row r="578" spans="1:8" ht="12.75">
      <c r="A578" s="122"/>
      <c r="B578" s="125"/>
      <c r="C578" s="109">
        <v>4040</v>
      </c>
      <c r="D578" s="125" t="s">
        <v>81</v>
      </c>
      <c r="E578" s="759">
        <v>5128</v>
      </c>
      <c r="F578" s="759">
        <v>5509</v>
      </c>
      <c r="G578" s="759"/>
      <c r="H578" s="749">
        <f t="shared" si="24"/>
        <v>5509</v>
      </c>
    </row>
    <row r="579" spans="1:8" ht="12.75">
      <c r="A579" s="122"/>
      <c r="B579" s="125"/>
      <c r="C579" s="109">
        <v>4110</v>
      </c>
      <c r="D579" s="125" t="s">
        <v>82</v>
      </c>
      <c r="E579" s="759">
        <v>15696</v>
      </c>
      <c r="F579" s="759">
        <v>17968</v>
      </c>
      <c r="G579" s="759">
        <f>697-3047</f>
        <v>-2350</v>
      </c>
      <c r="H579" s="749">
        <f t="shared" si="24"/>
        <v>15618</v>
      </c>
    </row>
    <row r="580" spans="1:8" ht="12.75">
      <c r="A580" s="122"/>
      <c r="B580" s="125"/>
      <c r="C580" s="109">
        <v>4120</v>
      </c>
      <c r="D580" s="125" t="s">
        <v>83</v>
      </c>
      <c r="E580" s="759">
        <v>1914</v>
      </c>
      <c r="F580" s="759">
        <v>2555</v>
      </c>
      <c r="G580" s="759">
        <f>67-434</f>
        <v>-367</v>
      </c>
      <c r="H580" s="749">
        <f t="shared" si="24"/>
        <v>2188</v>
      </c>
    </row>
    <row r="581" spans="1:8" ht="12.75">
      <c r="A581" s="122"/>
      <c r="B581" s="125"/>
      <c r="C581" s="109">
        <v>4210</v>
      </c>
      <c r="D581" s="125" t="s">
        <v>85</v>
      </c>
      <c r="E581" s="759">
        <v>57960</v>
      </c>
      <c r="F581" s="759">
        <v>77621</v>
      </c>
      <c r="G581" s="759">
        <v>3106</v>
      </c>
      <c r="H581" s="749">
        <f t="shared" si="24"/>
        <v>80727</v>
      </c>
    </row>
    <row r="582" spans="1:8" ht="12.75">
      <c r="A582" s="122"/>
      <c r="B582" s="125"/>
      <c r="C582" s="109">
        <v>4220</v>
      </c>
      <c r="D582" s="125" t="s">
        <v>163</v>
      </c>
      <c r="E582" s="759">
        <v>55548</v>
      </c>
      <c r="F582" s="759">
        <v>57542</v>
      </c>
      <c r="G582" s="759">
        <v>-5000</v>
      </c>
      <c r="H582" s="749">
        <f t="shared" si="24"/>
        <v>52542</v>
      </c>
    </row>
    <row r="583" spans="1:8" ht="12.75">
      <c r="A583" s="122"/>
      <c r="B583" s="125"/>
      <c r="C583" s="109">
        <v>4260</v>
      </c>
      <c r="D583" s="125" t="s">
        <v>86</v>
      </c>
      <c r="E583" s="759">
        <v>10000</v>
      </c>
      <c r="F583" s="759">
        <v>10500</v>
      </c>
      <c r="G583" s="759"/>
      <c r="H583" s="749">
        <f t="shared" si="24"/>
        <v>10500</v>
      </c>
    </row>
    <row r="584" spans="1:8" ht="12.75">
      <c r="A584" s="122"/>
      <c r="B584" s="125"/>
      <c r="C584" s="109">
        <v>4270</v>
      </c>
      <c r="D584" s="125" t="s">
        <v>87</v>
      </c>
      <c r="E584" s="759">
        <v>2000</v>
      </c>
      <c r="F584" s="759">
        <v>0</v>
      </c>
      <c r="G584" s="759"/>
      <c r="H584" s="749">
        <f t="shared" si="24"/>
        <v>0</v>
      </c>
    </row>
    <row r="585" spans="1:8" ht="12.75">
      <c r="A585" s="122"/>
      <c r="B585" s="125"/>
      <c r="C585" s="109">
        <v>4280</v>
      </c>
      <c r="D585" s="125" t="s">
        <v>88</v>
      </c>
      <c r="E585" s="759">
        <v>150</v>
      </c>
      <c r="F585" s="759">
        <v>150</v>
      </c>
      <c r="G585" s="759"/>
      <c r="H585" s="749">
        <f t="shared" si="24"/>
        <v>150</v>
      </c>
    </row>
    <row r="586" spans="1:8" ht="12.75">
      <c r="A586" s="122"/>
      <c r="B586" s="125"/>
      <c r="C586" s="109">
        <v>4300</v>
      </c>
      <c r="D586" s="125" t="s">
        <v>74</v>
      </c>
      <c r="E586" s="759">
        <v>2940</v>
      </c>
      <c r="F586" s="759">
        <v>5000</v>
      </c>
      <c r="G586" s="759"/>
      <c r="H586" s="749">
        <f t="shared" si="24"/>
        <v>5000</v>
      </c>
    </row>
    <row r="587" spans="1:8" ht="12.75">
      <c r="A587" s="122"/>
      <c r="B587" s="125"/>
      <c r="C587" s="109">
        <v>4370</v>
      </c>
      <c r="D587" s="125" t="s">
        <v>91</v>
      </c>
      <c r="E587" s="759">
        <v>0</v>
      </c>
      <c r="F587" s="759">
        <v>2000</v>
      </c>
      <c r="G587" s="759"/>
      <c r="H587" s="749">
        <f t="shared" si="24"/>
        <v>2000</v>
      </c>
    </row>
    <row r="588" spans="1:8" ht="12.75">
      <c r="A588" s="122"/>
      <c r="B588" s="125"/>
      <c r="C588" s="109">
        <v>4410</v>
      </c>
      <c r="D588" s="125" t="s">
        <v>92</v>
      </c>
      <c r="E588" s="759"/>
      <c r="F588" s="759">
        <v>222</v>
      </c>
      <c r="G588" s="759"/>
      <c r="H588" s="749">
        <f t="shared" si="24"/>
        <v>222</v>
      </c>
    </row>
    <row r="589" spans="1:8" ht="12.75">
      <c r="A589" s="122"/>
      <c r="B589" s="125"/>
      <c r="C589" s="109">
        <v>4430</v>
      </c>
      <c r="D589" s="125" t="s">
        <v>754</v>
      </c>
      <c r="E589" s="759"/>
      <c r="F589" s="759">
        <v>109</v>
      </c>
      <c r="G589" s="759"/>
      <c r="H589" s="749">
        <f t="shared" si="24"/>
        <v>109</v>
      </c>
    </row>
    <row r="590" spans="1:8" ht="12.75">
      <c r="A590" s="122"/>
      <c r="B590" s="125"/>
      <c r="C590" s="109">
        <v>4440</v>
      </c>
      <c r="D590" s="125" t="s">
        <v>94</v>
      </c>
      <c r="E590" s="759">
        <v>5358</v>
      </c>
      <c r="F590" s="759">
        <v>5862</v>
      </c>
      <c r="G590" s="759"/>
      <c r="H590" s="749">
        <f t="shared" si="24"/>
        <v>5862</v>
      </c>
    </row>
    <row r="591" spans="1:8" ht="12.75">
      <c r="A591" s="122"/>
      <c r="B591" s="125"/>
      <c r="C591" s="109">
        <v>4530</v>
      </c>
      <c r="D591" s="125" t="s">
        <v>182</v>
      </c>
      <c r="E591" s="759">
        <v>8000</v>
      </c>
      <c r="F591" s="759">
        <v>2786</v>
      </c>
      <c r="G591" s="759"/>
      <c r="H591" s="749">
        <f t="shared" si="24"/>
        <v>2786</v>
      </c>
    </row>
    <row r="592" spans="1:8" ht="12.75">
      <c r="A592" s="122"/>
      <c r="B592" s="125"/>
      <c r="C592" s="109"/>
      <c r="D592" s="125"/>
      <c r="E592" s="759"/>
      <c r="F592" s="759"/>
      <c r="G592" s="759"/>
      <c r="H592" s="749"/>
    </row>
    <row r="593" spans="1:8" ht="12.75">
      <c r="A593" s="122"/>
      <c r="B593" s="130">
        <v>85415</v>
      </c>
      <c r="C593" s="80"/>
      <c r="D593" s="130" t="s">
        <v>183</v>
      </c>
      <c r="E593" s="758">
        <f>SUM(E594:E607)</f>
        <v>765283</v>
      </c>
      <c r="F593" s="758">
        <f>SUM(F594:F609)</f>
        <v>421200</v>
      </c>
      <c r="G593" s="758">
        <f>SUM(G594:G609)</f>
        <v>-162765</v>
      </c>
      <c r="H593" s="748">
        <f>SUM(H594:H609)</f>
        <v>258435</v>
      </c>
    </row>
    <row r="594" spans="1:8" ht="12.75">
      <c r="A594" s="122"/>
      <c r="B594" s="125"/>
      <c r="C594" s="109">
        <v>3240</v>
      </c>
      <c r="D594" s="125" t="s">
        <v>184</v>
      </c>
      <c r="E594" s="759">
        <v>333300</v>
      </c>
      <c r="F594" s="759">
        <v>261565</v>
      </c>
      <c r="G594" s="759">
        <v>-159365</v>
      </c>
      <c r="H594" s="749">
        <f>F594+G594</f>
        <v>102200</v>
      </c>
    </row>
    <row r="595" spans="1:8" ht="12.75">
      <c r="A595" s="122"/>
      <c r="B595" s="125"/>
      <c r="C595" s="109">
        <v>3248</v>
      </c>
      <c r="D595" s="125" t="s">
        <v>185</v>
      </c>
      <c r="E595" s="759">
        <v>261328</v>
      </c>
      <c r="F595" s="759">
        <v>98736</v>
      </c>
      <c r="G595" s="759"/>
      <c r="H595" s="749">
        <f aca="true" t="shared" si="25" ref="H595:H609">F595+G595</f>
        <v>98736</v>
      </c>
    </row>
    <row r="596" spans="1:8" ht="13.5" customHeight="1">
      <c r="A596" s="122"/>
      <c r="B596" s="125"/>
      <c r="C596" s="109">
        <v>3249</v>
      </c>
      <c r="D596" s="125" t="s">
        <v>185</v>
      </c>
      <c r="E596" s="759">
        <v>123754</v>
      </c>
      <c r="F596" s="759">
        <v>46464</v>
      </c>
      <c r="G596" s="759"/>
      <c r="H596" s="749">
        <f t="shared" si="25"/>
        <v>46464</v>
      </c>
    </row>
    <row r="597" spans="1:10" ht="12.75">
      <c r="A597" s="122"/>
      <c r="B597" s="125"/>
      <c r="C597" s="109">
        <v>4118</v>
      </c>
      <c r="D597" s="125" t="s">
        <v>82</v>
      </c>
      <c r="E597" s="759">
        <v>119</v>
      </c>
      <c r="F597" s="759">
        <v>119</v>
      </c>
      <c r="G597" s="759"/>
      <c r="H597" s="749">
        <f t="shared" si="25"/>
        <v>119</v>
      </c>
      <c r="J597" s="91"/>
    </row>
    <row r="598" spans="1:10" ht="12.75">
      <c r="A598" s="122"/>
      <c r="B598" s="125"/>
      <c r="C598" s="109">
        <v>4119</v>
      </c>
      <c r="D598" s="125" t="s">
        <v>82</v>
      </c>
      <c r="E598" s="759">
        <v>56</v>
      </c>
      <c r="F598" s="759">
        <v>56</v>
      </c>
      <c r="G598" s="759"/>
      <c r="H598" s="749">
        <f t="shared" si="25"/>
        <v>56</v>
      </c>
      <c r="J598" s="91"/>
    </row>
    <row r="599" spans="1:8" ht="12.75">
      <c r="A599" s="122"/>
      <c r="B599" s="125"/>
      <c r="C599" s="109">
        <v>4128</v>
      </c>
      <c r="D599" s="125" t="s">
        <v>83</v>
      </c>
      <c r="E599" s="759">
        <v>17</v>
      </c>
      <c r="F599" s="759">
        <v>17</v>
      </c>
      <c r="G599" s="759"/>
      <c r="H599" s="749">
        <f t="shared" si="25"/>
        <v>17</v>
      </c>
    </row>
    <row r="600" spans="1:8" ht="12.75">
      <c r="A600" s="122"/>
      <c r="B600" s="125"/>
      <c r="C600" s="109">
        <v>4129</v>
      </c>
      <c r="D600" s="125" t="s">
        <v>83</v>
      </c>
      <c r="E600" s="759">
        <v>8</v>
      </c>
      <c r="F600" s="759">
        <v>8</v>
      </c>
      <c r="G600" s="759"/>
      <c r="H600" s="749">
        <f t="shared" si="25"/>
        <v>8</v>
      </c>
    </row>
    <row r="601" spans="1:8" ht="12.75">
      <c r="A601" s="122"/>
      <c r="B601" s="125"/>
      <c r="C601" s="109">
        <v>4178</v>
      </c>
      <c r="D601" s="125" t="s">
        <v>84</v>
      </c>
      <c r="E601" s="759">
        <v>2720</v>
      </c>
      <c r="F601" s="759">
        <f>1632+680</f>
        <v>2312</v>
      </c>
      <c r="G601" s="759"/>
      <c r="H601" s="749">
        <f t="shared" si="25"/>
        <v>2312</v>
      </c>
    </row>
    <row r="602" spans="1:8" ht="12.75">
      <c r="A602" s="122"/>
      <c r="B602" s="125"/>
      <c r="C602" s="109">
        <v>4179</v>
      </c>
      <c r="D602" s="125" t="s">
        <v>84</v>
      </c>
      <c r="E602" s="759">
        <v>1280</v>
      </c>
      <c r="F602" s="759">
        <f>768+320</f>
        <v>1088</v>
      </c>
      <c r="G602" s="759"/>
      <c r="H602" s="749">
        <f t="shared" si="25"/>
        <v>1088</v>
      </c>
    </row>
    <row r="603" spans="1:8" ht="12.75">
      <c r="A603" s="122"/>
      <c r="B603" s="125"/>
      <c r="C603" s="109">
        <v>4218</v>
      </c>
      <c r="D603" s="125" t="s">
        <v>85</v>
      </c>
      <c r="E603" s="759"/>
      <c r="F603" s="759">
        <v>3218</v>
      </c>
      <c r="G603" s="759"/>
      <c r="H603" s="749">
        <f t="shared" si="25"/>
        <v>3218</v>
      </c>
    </row>
    <row r="604" spans="1:8" ht="12.75">
      <c r="A604" s="122"/>
      <c r="B604" s="125"/>
      <c r="C604" s="109">
        <v>4219</v>
      </c>
      <c r="D604" s="125" t="s">
        <v>85</v>
      </c>
      <c r="E604" s="759"/>
      <c r="F604" s="759">
        <v>1514</v>
      </c>
      <c r="G604" s="759"/>
      <c r="H604" s="749">
        <f t="shared" si="25"/>
        <v>1514</v>
      </c>
    </row>
    <row r="605" spans="1:8" ht="12.75">
      <c r="A605" s="122"/>
      <c r="B605" s="125"/>
      <c r="C605" s="109">
        <v>4300</v>
      </c>
      <c r="D605" s="125" t="s">
        <v>74</v>
      </c>
      <c r="E605" s="759">
        <v>36196</v>
      </c>
      <c r="F605" s="759">
        <v>3400</v>
      </c>
      <c r="G605" s="759">
        <v>-3400</v>
      </c>
      <c r="H605" s="749">
        <f t="shared" si="25"/>
        <v>0</v>
      </c>
    </row>
    <row r="606" spans="1:8" ht="12.75">
      <c r="A606" s="122"/>
      <c r="B606" s="125"/>
      <c r="C606" s="109">
        <v>4308</v>
      </c>
      <c r="D606" s="125" t="s">
        <v>74</v>
      </c>
      <c r="E606" s="759">
        <v>4956</v>
      </c>
      <c r="F606" s="759">
        <v>1659</v>
      </c>
      <c r="G606" s="759"/>
      <c r="H606" s="749">
        <f t="shared" si="25"/>
        <v>1659</v>
      </c>
    </row>
    <row r="607" spans="1:8" ht="12.75">
      <c r="A607" s="122"/>
      <c r="B607" s="125"/>
      <c r="C607" s="109">
        <v>4309</v>
      </c>
      <c r="D607" s="125" t="s">
        <v>74</v>
      </c>
      <c r="E607" s="759">
        <v>1549</v>
      </c>
      <c r="F607" s="759">
        <v>781</v>
      </c>
      <c r="G607" s="759"/>
      <c r="H607" s="749">
        <f t="shared" si="25"/>
        <v>781</v>
      </c>
    </row>
    <row r="608" spans="1:8" ht="12.75">
      <c r="A608" s="122"/>
      <c r="B608" s="125"/>
      <c r="C608" s="109">
        <v>4748</v>
      </c>
      <c r="D608" s="125" t="s">
        <v>122</v>
      </c>
      <c r="E608" s="759"/>
      <c r="F608" s="759">
        <v>179</v>
      </c>
      <c r="G608" s="759"/>
      <c r="H608" s="749">
        <f t="shared" si="25"/>
        <v>179</v>
      </c>
    </row>
    <row r="609" spans="1:8" ht="12.75">
      <c r="A609" s="122"/>
      <c r="B609" s="125"/>
      <c r="C609" s="109">
        <v>4749</v>
      </c>
      <c r="D609" s="125" t="s">
        <v>122</v>
      </c>
      <c r="E609" s="759"/>
      <c r="F609" s="759">
        <v>84</v>
      </c>
      <c r="G609" s="759"/>
      <c r="H609" s="749">
        <f t="shared" si="25"/>
        <v>84</v>
      </c>
    </row>
    <row r="610" spans="1:8" ht="12.75">
      <c r="A610" s="122"/>
      <c r="B610" s="125"/>
      <c r="C610" s="109"/>
      <c r="D610" s="125"/>
      <c r="E610" s="759"/>
      <c r="F610" s="759"/>
      <c r="G610" s="759"/>
      <c r="H610" s="749"/>
    </row>
    <row r="611" spans="1:8" ht="12.75">
      <c r="A611" s="122"/>
      <c r="B611" s="130">
        <v>85420</v>
      </c>
      <c r="C611" s="80"/>
      <c r="D611" s="130" t="s">
        <v>186</v>
      </c>
      <c r="E611" s="758">
        <f>SUM(E612:E635)</f>
        <v>1988771</v>
      </c>
      <c r="F611" s="758">
        <f>SUM(F612:F636)</f>
        <v>2895377</v>
      </c>
      <c r="G611" s="758">
        <f>SUM(G612:G636)</f>
        <v>508348</v>
      </c>
      <c r="H611" s="748">
        <f>SUM(H612:H636)</f>
        <v>3403725</v>
      </c>
    </row>
    <row r="612" spans="1:8" ht="12.75">
      <c r="A612" s="122"/>
      <c r="B612" s="125"/>
      <c r="C612" s="109">
        <v>3020</v>
      </c>
      <c r="D612" s="125" t="s">
        <v>79</v>
      </c>
      <c r="E612" s="759">
        <v>63016</v>
      </c>
      <c r="F612" s="759">
        <v>60000</v>
      </c>
      <c r="G612" s="759">
        <v>2407</v>
      </c>
      <c r="H612" s="749">
        <f>F612+G612</f>
        <v>62407</v>
      </c>
    </row>
    <row r="613" spans="1:8" ht="12.75">
      <c r="A613" s="122"/>
      <c r="B613" s="125"/>
      <c r="C613" s="109">
        <v>3110</v>
      </c>
      <c r="D613" s="125" t="s">
        <v>162</v>
      </c>
      <c r="E613" s="759">
        <v>1000</v>
      </c>
      <c r="F613" s="759">
        <v>3000</v>
      </c>
      <c r="G613" s="759">
        <v>-1366</v>
      </c>
      <c r="H613" s="749">
        <f aca="true" t="shared" si="26" ref="H613:H636">F613+G613</f>
        <v>1634</v>
      </c>
    </row>
    <row r="614" spans="1:10" ht="12.75">
      <c r="A614" s="122"/>
      <c r="B614" s="125"/>
      <c r="C614" s="109">
        <v>4010</v>
      </c>
      <c r="D614" s="125" t="s">
        <v>80</v>
      </c>
      <c r="E614" s="759">
        <v>945195</v>
      </c>
      <c r="F614" s="759">
        <v>1023617</v>
      </c>
      <c r="G614" s="759">
        <v>1554</v>
      </c>
      <c r="H614" s="749">
        <f t="shared" si="26"/>
        <v>1025171</v>
      </c>
      <c r="J614" s="91">
        <f>SUM(H614:H618)</f>
        <v>1322850</v>
      </c>
    </row>
    <row r="615" spans="1:8" ht="12.75">
      <c r="A615" s="122"/>
      <c r="B615" s="125"/>
      <c r="C615" s="109">
        <v>4040</v>
      </c>
      <c r="D615" s="125" t="s">
        <v>81</v>
      </c>
      <c r="E615" s="759">
        <v>67815</v>
      </c>
      <c r="F615" s="759">
        <v>75237</v>
      </c>
      <c r="G615" s="759">
        <f>-2020</f>
        <v>-2020</v>
      </c>
      <c r="H615" s="749">
        <f t="shared" si="26"/>
        <v>73217</v>
      </c>
    </row>
    <row r="616" spans="1:8" ht="12.75">
      <c r="A616" s="122"/>
      <c r="B616" s="125"/>
      <c r="C616" s="109">
        <v>4110</v>
      </c>
      <c r="D616" s="125" t="s">
        <v>82</v>
      </c>
      <c r="E616" s="759">
        <v>175108</v>
      </c>
      <c r="F616" s="759">
        <v>196560</v>
      </c>
      <c r="G616" s="759">
        <f>-2957+812</f>
        <v>-2145</v>
      </c>
      <c r="H616" s="749">
        <f t="shared" si="26"/>
        <v>194415</v>
      </c>
    </row>
    <row r="617" spans="1:8" ht="12.75">
      <c r="A617" s="122"/>
      <c r="B617" s="125"/>
      <c r="C617" s="109">
        <v>4120</v>
      </c>
      <c r="D617" s="125" t="s">
        <v>83</v>
      </c>
      <c r="E617" s="759">
        <v>24702</v>
      </c>
      <c r="F617" s="759">
        <v>27499</v>
      </c>
      <c r="G617" s="759">
        <f>-684-369</f>
        <v>-1053</v>
      </c>
      <c r="H617" s="749">
        <f t="shared" si="26"/>
        <v>26446</v>
      </c>
    </row>
    <row r="618" spans="1:8" ht="12.75">
      <c r="A618" s="122"/>
      <c r="B618" s="125"/>
      <c r="C618" s="109">
        <v>4170</v>
      </c>
      <c r="D618" s="125" t="s">
        <v>84</v>
      </c>
      <c r="E618" s="759">
        <v>3000</v>
      </c>
      <c r="F618" s="759">
        <v>6018</v>
      </c>
      <c r="G618" s="759">
        <f>-3000+583</f>
        <v>-2417</v>
      </c>
      <c r="H618" s="749">
        <f t="shared" si="26"/>
        <v>3601</v>
      </c>
    </row>
    <row r="619" spans="1:8" ht="12.75">
      <c r="A619" s="122"/>
      <c r="B619" s="125"/>
      <c r="C619" s="109">
        <v>4210</v>
      </c>
      <c r="D619" s="125" t="s">
        <v>85</v>
      </c>
      <c r="E619" s="759">
        <v>298619</v>
      </c>
      <c r="F619" s="759">
        <v>994991</v>
      </c>
      <c r="G619" s="759">
        <f>34981+11406</f>
        <v>46387</v>
      </c>
      <c r="H619" s="749">
        <f t="shared" si="26"/>
        <v>1041378</v>
      </c>
    </row>
    <row r="620" spans="1:8" ht="12.75">
      <c r="A620" s="122"/>
      <c r="B620" s="125"/>
      <c r="C620" s="109">
        <v>4220</v>
      </c>
      <c r="D620" s="125" t="s">
        <v>163</v>
      </c>
      <c r="E620" s="759">
        <v>5000</v>
      </c>
      <c r="F620" s="759">
        <v>6100</v>
      </c>
      <c r="G620" s="759">
        <v>170</v>
      </c>
      <c r="H620" s="749">
        <f t="shared" si="26"/>
        <v>6270</v>
      </c>
    </row>
    <row r="621" spans="1:8" ht="12.75">
      <c r="A621" s="122"/>
      <c r="B621" s="125"/>
      <c r="C621" s="109">
        <v>4260</v>
      </c>
      <c r="D621" s="125" t="s">
        <v>86</v>
      </c>
      <c r="E621" s="759">
        <v>40121</v>
      </c>
      <c r="F621" s="759">
        <v>42000</v>
      </c>
      <c r="G621" s="759">
        <v>-4786</v>
      </c>
      <c r="H621" s="749">
        <f t="shared" si="26"/>
        <v>37214</v>
      </c>
    </row>
    <row r="622" spans="1:8" ht="12.75">
      <c r="A622" s="122"/>
      <c r="B622" s="125"/>
      <c r="C622" s="109">
        <v>4270</v>
      </c>
      <c r="D622" s="125" t="s">
        <v>87</v>
      </c>
      <c r="E622" s="759">
        <v>2947</v>
      </c>
      <c r="F622" s="759">
        <v>109244</v>
      </c>
      <c r="G622" s="759">
        <f>-1485+450000</f>
        <v>448515</v>
      </c>
      <c r="H622" s="749">
        <f t="shared" si="26"/>
        <v>557759</v>
      </c>
    </row>
    <row r="623" spans="1:8" ht="12.75">
      <c r="A623" s="122"/>
      <c r="B623" s="125"/>
      <c r="C623" s="109">
        <v>4280</v>
      </c>
      <c r="D623" s="125" t="s">
        <v>88</v>
      </c>
      <c r="E623" s="759"/>
      <c r="F623" s="759">
        <v>0</v>
      </c>
      <c r="G623" s="759">
        <v>345</v>
      </c>
      <c r="H623" s="749">
        <f t="shared" si="26"/>
        <v>345</v>
      </c>
    </row>
    <row r="624" spans="1:8" ht="12.75">
      <c r="A624" s="122"/>
      <c r="B624" s="125"/>
      <c r="C624" s="109">
        <v>4300</v>
      </c>
      <c r="D624" s="125" t="s">
        <v>74</v>
      </c>
      <c r="E624" s="759">
        <v>264492</v>
      </c>
      <c r="F624" s="759">
        <v>216500</v>
      </c>
      <c r="G624" s="759">
        <f>-345+33211</f>
        <v>32866</v>
      </c>
      <c r="H624" s="749">
        <f t="shared" si="26"/>
        <v>249366</v>
      </c>
    </row>
    <row r="625" spans="1:8" ht="12.75">
      <c r="A625" s="122"/>
      <c r="B625" s="125"/>
      <c r="C625" s="109">
        <v>4350</v>
      </c>
      <c r="D625" s="125" t="s">
        <v>128</v>
      </c>
      <c r="E625" s="759">
        <v>0</v>
      </c>
      <c r="F625" s="759">
        <v>3000</v>
      </c>
      <c r="G625" s="759">
        <v>-1686</v>
      </c>
      <c r="H625" s="749">
        <f t="shared" si="26"/>
        <v>1314</v>
      </c>
    </row>
    <row r="626" spans="1:8" ht="12.75">
      <c r="A626" s="122"/>
      <c r="B626" s="125"/>
      <c r="C626" s="109">
        <v>4360</v>
      </c>
      <c r="D626" s="125" t="s">
        <v>90</v>
      </c>
      <c r="E626" s="759">
        <v>0</v>
      </c>
      <c r="F626" s="759">
        <v>3000</v>
      </c>
      <c r="G626" s="759">
        <v>-1160</v>
      </c>
      <c r="H626" s="749">
        <f t="shared" si="26"/>
        <v>1840</v>
      </c>
    </row>
    <row r="627" spans="1:8" ht="12.75">
      <c r="A627" s="122"/>
      <c r="B627" s="125"/>
      <c r="C627" s="109">
        <v>4370</v>
      </c>
      <c r="D627" s="125" t="s">
        <v>91</v>
      </c>
      <c r="E627" s="759">
        <v>0</v>
      </c>
      <c r="F627" s="759">
        <v>6000</v>
      </c>
      <c r="G627" s="759">
        <v>1185</v>
      </c>
      <c r="H627" s="749">
        <f t="shared" si="26"/>
        <v>7185</v>
      </c>
    </row>
    <row r="628" spans="1:8" ht="12.75">
      <c r="A628" s="122"/>
      <c r="B628" s="125"/>
      <c r="C628" s="109">
        <v>4390</v>
      </c>
      <c r="D628" s="125" t="s">
        <v>118</v>
      </c>
      <c r="E628" s="759">
        <v>0</v>
      </c>
      <c r="F628" s="759">
        <v>5000</v>
      </c>
      <c r="G628" s="759">
        <v>-4573</v>
      </c>
      <c r="H628" s="749">
        <f t="shared" si="26"/>
        <v>427</v>
      </c>
    </row>
    <row r="629" spans="1:8" ht="12.75">
      <c r="A629" s="122"/>
      <c r="B629" s="125"/>
      <c r="C629" s="109">
        <v>4410</v>
      </c>
      <c r="D629" s="125" t="s">
        <v>92</v>
      </c>
      <c r="E629" s="759">
        <v>3172</v>
      </c>
      <c r="F629" s="759">
        <v>3500</v>
      </c>
      <c r="G629" s="759">
        <v>-116</v>
      </c>
      <c r="H629" s="749">
        <f>F629+G629</f>
        <v>3384</v>
      </c>
    </row>
    <row r="630" spans="1:8" ht="12.75">
      <c r="A630" s="122"/>
      <c r="B630" s="125"/>
      <c r="C630" s="109">
        <v>4420</v>
      </c>
      <c r="D630" s="125" t="s">
        <v>126</v>
      </c>
      <c r="E630" s="759">
        <v>1850</v>
      </c>
      <c r="F630" s="759">
        <v>1500</v>
      </c>
      <c r="G630" s="759">
        <v>-1100</v>
      </c>
      <c r="H630" s="749">
        <f t="shared" si="26"/>
        <v>400</v>
      </c>
    </row>
    <row r="631" spans="1:8" ht="12.75">
      <c r="A631" s="122"/>
      <c r="B631" s="125"/>
      <c r="C631" s="109">
        <v>4430</v>
      </c>
      <c r="D631" s="125" t="s">
        <v>93</v>
      </c>
      <c r="E631" s="759">
        <v>10242</v>
      </c>
      <c r="F631" s="759">
        <v>10700</v>
      </c>
      <c r="G631" s="759">
        <v>-754</v>
      </c>
      <c r="H631" s="749">
        <f t="shared" si="26"/>
        <v>9946</v>
      </c>
    </row>
    <row r="632" spans="1:8" ht="12.75">
      <c r="A632" s="122"/>
      <c r="B632" s="125"/>
      <c r="C632" s="109">
        <v>4440</v>
      </c>
      <c r="D632" s="125" t="s">
        <v>94</v>
      </c>
      <c r="E632" s="759">
        <v>82492</v>
      </c>
      <c r="F632" s="759">
        <v>90911</v>
      </c>
      <c r="G632" s="759"/>
      <c r="H632" s="749">
        <f t="shared" si="26"/>
        <v>90911</v>
      </c>
    </row>
    <row r="633" spans="1:8" ht="12.75">
      <c r="A633" s="122"/>
      <c r="B633" s="125"/>
      <c r="C633" s="109">
        <v>4530</v>
      </c>
      <c r="D633" s="125" t="s">
        <v>99</v>
      </c>
      <c r="E633" s="759"/>
      <c r="F633" s="759">
        <v>4500</v>
      </c>
      <c r="G633" s="759">
        <v>-942</v>
      </c>
      <c r="H633" s="749">
        <f t="shared" si="26"/>
        <v>3558</v>
      </c>
    </row>
    <row r="634" spans="1:8" ht="12.75">
      <c r="A634" s="122"/>
      <c r="B634" s="125"/>
      <c r="C634" s="109">
        <v>4700</v>
      </c>
      <c r="D634" s="125" t="s">
        <v>716</v>
      </c>
      <c r="E634" s="759"/>
      <c r="F634" s="759">
        <v>2000</v>
      </c>
      <c r="G634" s="759">
        <v>-710</v>
      </c>
      <c r="H634" s="749">
        <f t="shared" si="26"/>
        <v>1290</v>
      </c>
    </row>
    <row r="635" spans="1:8" ht="12.75">
      <c r="A635" s="122"/>
      <c r="B635" s="125"/>
      <c r="C635" s="109">
        <v>4740</v>
      </c>
      <c r="D635" s="125" t="s">
        <v>122</v>
      </c>
      <c r="E635" s="759">
        <v>0</v>
      </c>
      <c r="F635" s="759">
        <v>2000</v>
      </c>
      <c r="G635" s="759">
        <v>-1302</v>
      </c>
      <c r="H635" s="749">
        <f t="shared" si="26"/>
        <v>698</v>
      </c>
    </row>
    <row r="636" spans="1:8" ht="12.75">
      <c r="A636" s="122"/>
      <c r="B636" s="125"/>
      <c r="C636" s="109">
        <v>4750</v>
      </c>
      <c r="D636" s="125" t="s">
        <v>123</v>
      </c>
      <c r="E636" s="759"/>
      <c r="F636" s="759">
        <v>2500</v>
      </c>
      <c r="G636" s="759">
        <v>1049</v>
      </c>
      <c r="H636" s="749">
        <f t="shared" si="26"/>
        <v>3549</v>
      </c>
    </row>
    <row r="637" spans="1:8" ht="12.75">
      <c r="A637" s="122"/>
      <c r="B637" s="125"/>
      <c r="C637" s="109"/>
      <c r="D637" s="125"/>
      <c r="E637" s="759"/>
      <c r="F637" s="759"/>
      <c r="G637" s="759"/>
      <c r="H637" s="749"/>
    </row>
    <row r="638" spans="1:8" ht="12.75">
      <c r="A638" s="122"/>
      <c r="B638" s="130">
        <v>85446</v>
      </c>
      <c r="C638" s="80"/>
      <c r="D638" s="130" t="s">
        <v>148</v>
      </c>
      <c r="E638" s="758"/>
      <c r="F638" s="758">
        <f>SUM(F639:F641)</f>
        <v>4615</v>
      </c>
      <c r="G638" s="758">
        <f>SUM(G639:G641)</f>
        <v>0</v>
      </c>
      <c r="H638" s="748">
        <f>SUM(H639:H641)</f>
        <v>4615</v>
      </c>
    </row>
    <row r="639" spans="1:8" ht="12.75">
      <c r="A639" s="122"/>
      <c r="B639" s="125"/>
      <c r="C639" s="109">
        <v>4300</v>
      </c>
      <c r="D639" s="125" t="s">
        <v>74</v>
      </c>
      <c r="E639" s="759"/>
      <c r="F639" s="759">
        <v>2300</v>
      </c>
      <c r="G639" s="759"/>
      <c r="H639" s="749">
        <f>F639+G639</f>
        <v>2300</v>
      </c>
    </row>
    <row r="640" spans="1:8" ht="12.75">
      <c r="A640" s="122"/>
      <c r="B640" s="125"/>
      <c r="C640" s="109">
        <v>4410</v>
      </c>
      <c r="D640" s="125" t="s">
        <v>92</v>
      </c>
      <c r="E640" s="759"/>
      <c r="F640" s="759">
        <v>1170</v>
      </c>
      <c r="G640" s="759"/>
      <c r="H640" s="749">
        <f>F640+G640</f>
        <v>1170</v>
      </c>
    </row>
    <row r="641" spans="1:8" ht="12.75">
      <c r="A641" s="122"/>
      <c r="B641" s="125"/>
      <c r="C641" s="109">
        <v>4700</v>
      </c>
      <c r="D641" s="125" t="s">
        <v>716</v>
      </c>
      <c r="E641" s="759"/>
      <c r="F641" s="759">
        <v>1145</v>
      </c>
      <c r="G641" s="759"/>
      <c r="H641" s="749">
        <f>F641+G641</f>
        <v>1145</v>
      </c>
    </row>
    <row r="642" spans="1:8" ht="12.75">
      <c r="A642" s="122"/>
      <c r="B642" s="125"/>
      <c r="C642" s="109"/>
      <c r="D642" s="125"/>
      <c r="E642" s="759"/>
      <c r="F642" s="759"/>
      <c r="G642" s="759"/>
      <c r="H642" s="749"/>
    </row>
    <row r="643" spans="1:8" ht="12.75">
      <c r="A643" s="122"/>
      <c r="B643" s="130">
        <v>85495</v>
      </c>
      <c r="C643" s="80"/>
      <c r="D643" s="130" t="s">
        <v>58</v>
      </c>
      <c r="E643" s="758">
        <f>SUM(E644)</f>
        <v>6619</v>
      </c>
      <c r="F643" s="758">
        <f>SUM(F644)</f>
        <v>6694</v>
      </c>
      <c r="G643" s="758">
        <f>SUM(G644)</f>
        <v>857</v>
      </c>
      <c r="H643" s="748">
        <f>SUM(H644)</f>
        <v>7551</v>
      </c>
    </row>
    <row r="644" spans="1:8" ht="12.75">
      <c r="A644" s="122"/>
      <c r="B644" s="125"/>
      <c r="C644" s="109">
        <v>4440</v>
      </c>
      <c r="D644" s="125" t="s">
        <v>94</v>
      </c>
      <c r="E644" s="759">
        <v>6619</v>
      </c>
      <c r="F644" s="759">
        <v>6694</v>
      </c>
      <c r="G644" s="759">
        <v>857</v>
      </c>
      <c r="H644" s="749">
        <f>F644+G644</f>
        <v>7551</v>
      </c>
    </row>
    <row r="645" spans="1:8" ht="12.75">
      <c r="A645" s="113"/>
      <c r="B645" s="109"/>
      <c r="C645" s="109"/>
      <c r="D645" s="125"/>
      <c r="E645" s="759"/>
      <c r="F645" s="759"/>
      <c r="G645" s="759"/>
      <c r="H645" s="749"/>
    </row>
    <row r="646" spans="1:8" ht="13.5" thickBot="1">
      <c r="A646" s="79">
        <v>921</v>
      </c>
      <c r="B646" s="128"/>
      <c r="C646" s="128"/>
      <c r="D646" s="86" t="s">
        <v>187</v>
      </c>
      <c r="E646" s="103">
        <f>E647+E655</f>
        <v>55000</v>
      </c>
      <c r="F646" s="103">
        <f>F647+F655</f>
        <v>55000</v>
      </c>
      <c r="G646" s="103">
        <f>G647+G655</f>
        <v>6744</v>
      </c>
      <c r="H646" s="145">
        <f>H647+H655</f>
        <v>61744</v>
      </c>
    </row>
    <row r="647" spans="1:8" ht="12.75">
      <c r="A647" s="113"/>
      <c r="B647" s="80">
        <v>92105</v>
      </c>
      <c r="C647" s="80"/>
      <c r="D647" s="130" t="s">
        <v>188</v>
      </c>
      <c r="E647" s="758">
        <f>SUM(E648:E653)</f>
        <v>20000</v>
      </c>
      <c r="F647" s="758">
        <f>SUM(F648:F653)</f>
        <v>20000</v>
      </c>
      <c r="G647" s="758">
        <f>SUM(G648:G653)</f>
        <v>6744</v>
      </c>
      <c r="H647" s="748">
        <f>SUM(H648:H653)</f>
        <v>26744</v>
      </c>
    </row>
    <row r="648" spans="1:9" ht="12.75">
      <c r="A648" s="113"/>
      <c r="B648" s="109"/>
      <c r="C648" s="140" t="s">
        <v>105</v>
      </c>
      <c r="D648" s="125" t="s">
        <v>106</v>
      </c>
      <c r="E648" s="759">
        <v>4000</v>
      </c>
      <c r="F648" s="759">
        <v>3000</v>
      </c>
      <c r="G648" s="759"/>
      <c r="H648" s="749">
        <f>F648+G648</f>
        <v>3000</v>
      </c>
      <c r="I648" s="91"/>
    </row>
    <row r="649" spans="1:9" ht="12.75">
      <c r="A649" s="113"/>
      <c r="B649" s="109"/>
      <c r="C649" s="140"/>
      <c r="D649" s="125" t="s">
        <v>107</v>
      </c>
      <c r="E649" s="759"/>
      <c r="F649" s="759"/>
      <c r="G649" s="759"/>
      <c r="H649" s="749"/>
      <c r="I649" s="91"/>
    </row>
    <row r="650" spans="1:8" ht="12.75">
      <c r="A650" s="113"/>
      <c r="B650" s="109"/>
      <c r="C650" s="109">
        <v>3020</v>
      </c>
      <c r="D650" s="125" t="s">
        <v>79</v>
      </c>
      <c r="E650" s="759">
        <v>5000</v>
      </c>
      <c r="F650" s="759">
        <v>5000</v>
      </c>
      <c r="G650" s="759"/>
      <c r="H650" s="749">
        <f>F650+G650</f>
        <v>5000</v>
      </c>
    </row>
    <row r="651" spans="1:8" ht="12.75">
      <c r="A651" s="113"/>
      <c r="B651" s="109"/>
      <c r="C651" s="109">
        <v>4170</v>
      </c>
      <c r="D651" s="125" t="s">
        <v>84</v>
      </c>
      <c r="E651" s="759"/>
      <c r="F651" s="759">
        <v>3123</v>
      </c>
      <c r="G651" s="759"/>
      <c r="H651" s="749">
        <f>F651+G651</f>
        <v>3123</v>
      </c>
    </row>
    <row r="652" spans="1:8" ht="12.75">
      <c r="A652" s="113"/>
      <c r="B652" s="109"/>
      <c r="C652" s="109">
        <v>4210</v>
      </c>
      <c r="D652" s="125" t="s">
        <v>85</v>
      </c>
      <c r="E652" s="759">
        <v>1840</v>
      </c>
      <c r="F652" s="759">
        <v>3000</v>
      </c>
      <c r="G652" s="759"/>
      <c r="H652" s="749">
        <f>F652+G652</f>
        <v>3000</v>
      </c>
    </row>
    <row r="653" spans="1:8" ht="12.75">
      <c r="A653" s="113"/>
      <c r="B653" s="109"/>
      <c r="C653" s="109">
        <v>4300</v>
      </c>
      <c r="D653" s="125" t="s">
        <v>74</v>
      </c>
      <c r="E653" s="759">
        <v>9160</v>
      </c>
      <c r="F653" s="759">
        <v>5877</v>
      </c>
      <c r="G653" s="759">
        <v>6744</v>
      </c>
      <c r="H653" s="749">
        <f>F653+G653</f>
        <v>12621</v>
      </c>
    </row>
    <row r="654" spans="1:8" ht="12.75">
      <c r="A654" s="113"/>
      <c r="B654" s="109"/>
      <c r="C654" s="109"/>
      <c r="D654" s="125"/>
      <c r="E654" s="759"/>
      <c r="F654" s="759"/>
      <c r="G654" s="759"/>
      <c r="H654" s="749"/>
    </row>
    <row r="655" spans="1:8" ht="12.75">
      <c r="A655" s="113"/>
      <c r="B655" s="80">
        <v>92116</v>
      </c>
      <c r="C655" s="80"/>
      <c r="D655" s="130" t="s">
        <v>189</v>
      </c>
      <c r="E655" s="758">
        <f>E656</f>
        <v>35000</v>
      </c>
      <c r="F655" s="758">
        <f>F656</f>
        <v>35000</v>
      </c>
      <c r="G655" s="758">
        <f>G656</f>
        <v>0</v>
      </c>
      <c r="H655" s="748">
        <f>H656</f>
        <v>35000</v>
      </c>
    </row>
    <row r="656" spans="1:9" ht="12.75">
      <c r="A656" s="113"/>
      <c r="B656" s="109"/>
      <c r="C656" s="109">
        <v>2310</v>
      </c>
      <c r="D656" s="125" t="s">
        <v>155</v>
      </c>
      <c r="E656" s="759">
        <v>35000</v>
      </c>
      <c r="F656" s="759">
        <v>35000</v>
      </c>
      <c r="G656" s="759"/>
      <c r="H656" s="749">
        <f>F656+G656</f>
        <v>35000</v>
      </c>
      <c r="I656" s="91"/>
    </row>
    <row r="657" spans="1:8" ht="12.75">
      <c r="A657" s="113"/>
      <c r="B657" s="109"/>
      <c r="C657" s="109"/>
      <c r="D657" s="125"/>
      <c r="E657" s="759"/>
      <c r="F657" s="759"/>
      <c r="G657" s="759"/>
      <c r="H657" s="749"/>
    </row>
    <row r="658" spans="1:8" ht="13.5" thickBot="1">
      <c r="A658" s="79">
        <v>926</v>
      </c>
      <c r="B658" s="128"/>
      <c r="C658" s="128"/>
      <c r="D658" s="86" t="s">
        <v>190</v>
      </c>
      <c r="E658" s="103">
        <f>E659</f>
        <v>94700</v>
      </c>
      <c r="F658" s="103">
        <f>F659</f>
        <v>100000</v>
      </c>
      <c r="G658" s="103">
        <f>G659</f>
        <v>-6744</v>
      </c>
      <c r="H658" s="145">
        <f>H659</f>
        <v>93256</v>
      </c>
    </row>
    <row r="659" spans="1:8" ht="12.75">
      <c r="A659" s="113"/>
      <c r="B659" s="80">
        <v>92605</v>
      </c>
      <c r="C659" s="80"/>
      <c r="D659" s="130" t="s">
        <v>191</v>
      </c>
      <c r="E659" s="758">
        <f>SUM(E660:E664)</f>
        <v>94700</v>
      </c>
      <c r="F659" s="758">
        <f>SUM(F660:F664)</f>
        <v>100000</v>
      </c>
      <c r="G659" s="758">
        <f>SUM(G660:G664)</f>
        <v>-6744</v>
      </c>
      <c r="H659" s="748">
        <f>SUM(H660:H664)</f>
        <v>93256</v>
      </c>
    </row>
    <row r="660" spans="1:9" ht="12.75">
      <c r="A660" s="113"/>
      <c r="B660" s="109"/>
      <c r="C660" s="140" t="s">
        <v>105</v>
      </c>
      <c r="D660" s="125" t="s">
        <v>106</v>
      </c>
      <c r="E660" s="759">
        <v>64000</v>
      </c>
      <c r="F660" s="759">
        <v>70000</v>
      </c>
      <c r="G660" s="759"/>
      <c r="H660" s="749">
        <f>F660+G660</f>
        <v>70000</v>
      </c>
      <c r="I660" s="91"/>
    </row>
    <row r="661" spans="1:9" ht="12.75">
      <c r="A661" s="113"/>
      <c r="B661" s="109"/>
      <c r="C661" s="140"/>
      <c r="D661" s="125" t="s">
        <v>691</v>
      </c>
      <c r="E661" s="759"/>
      <c r="F661" s="759"/>
      <c r="G661" s="759"/>
      <c r="H661" s="749"/>
      <c r="I661" s="91"/>
    </row>
    <row r="662" spans="1:8" ht="12.75">
      <c r="A662" s="113"/>
      <c r="B662" s="109"/>
      <c r="C662" s="109">
        <v>3020</v>
      </c>
      <c r="D662" s="125" t="s">
        <v>192</v>
      </c>
      <c r="E662" s="759">
        <v>10000</v>
      </c>
      <c r="F662" s="759">
        <v>10000</v>
      </c>
      <c r="G662" s="759"/>
      <c r="H662" s="749">
        <f>F662+G662</f>
        <v>10000</v>
      </c>
    </row>
    <row r="663" spans="1:8" ht="12.75">
      <c r="A663" s="113"/>
      <c r="B663" s="109"/>
      <c r="C663" s="109">
        <v>4210</v>
      </c>
      <c r="D663" s="125" t="s">
        <v>85</v>
      </c>
      <c r="E663" s="759">
        <v>5700</v>
      </c>
      <c r="F663" s="759">
        <v>5000</v>
      </c>
      <c r="G663" s="759"/>
      <c r="H663" s="749">
        <f>F663+G663</f>
        <v>5000</v>
      </c>
    </row>
    <row r="664" spans="1:8" ht="12.75">
      <c r="A664" s="113"/>
      <c r="B664" s="109"/>
      <c r="C664" s="109">
        <v>4300</v>
      </c>
      <c r="D664" s="125" t="s">
        <v>74</v>
      </c>
      <c r="E664" s="759">
        <v>15000</v>
      </c>
      <c r="F664" s="759">
        <v>15000</v>
      </c>
      <c r="G664" s="759">
        <v>-6744</v>
      </c>
      <c r="H664" s="749">
        <f>F664+G664</f>
        <v>8256</v>
      </c>
    </row>
    <row r="665" spans="1:8" ht="13.5" thickBot="1">
      <c r="A665" s="113"/>
      <c r="B665" s="109"/>
      <c r="C665" s="109"/>
      <c r="D665" s="125"/>
      <c r="E665" s="759"/>
      <c r="F665" s="759"/>
      <c r="G665" s="769"/>
      <c r="H665" s="749"/>
    </row>
    <row r="666" spans="1:8" ht="17.25" customHeight="1" thickBot="1">
      <c r="A666" s="936" t="s">
        <v>193</v>
      </c>
      <c r="B666" s="937"/>
      <c r="C666" s="937"/>
      <c r="D666" s="937"/>
      <c r="E666" s="766" t="e">
        <f>E658+E646+E539+E500+E365+E347+E329+E220+E216+E210+E192+E106+E78+E66+E59+E30+E23+E15+#REF!</f>
        <v>#REF!</v>
      </c>
      <c r="F666" s="766">
        <f>F658+F646+F539+F500+F365+F347+F329+F220+F216+F210+F192+F106+F78+F66+F59+F30+F23+F15+F185</f>
        <v>34798119</v>
      </c>
      <c r="G666" s="766">
        <f>G658+G646+G539+G500+G365+G347+G329+G220+G216+G210+G192+G106+G78+G66+G59+G30+G23+G15+G185</f>
        <v>-802437</v>
      </c>
      <c r="H666" s="751">
        <f>H658+H646+H539+H500+H365+H347+H329+H220+H216+H210+H192+H106+H78+H66+H59+H30+H23+H15+H185</f>
        <v>33995682</v>
      </c>
    </row>
    <row r="667" spans="5:7" ht="12.75">
      <c r="E667" s="115"/>
      <c r="G667" s="770"/>
    </row>
    <row r="668" spans="5:12" ht="12.75">
      <c r="E668" s="115" t="s">
        <v>194</v>
      </c>
      <c r="G668" s="770"/>
      <c r="I668" s="134"/>
      <c r="J668" s="134"/>
      <c r="K668" s="134"/>
      <c r="L668" s="134"/>
    </row>
    <row r="669" spans="5:12" ht="12.75">
      <c r="E669" s="115" t="s">
        <v>2</v>
      </c>
      <c r="G669" s="770"/>
      <c r="H669" s="135"/>
      <c r="I669" s="91"/>
      <c r="K669" s="134"/>
      <c r="L669" s="134"/>
    </row>
    <row r="670" spans="5:12" ht="12.75">
      <c r="E670" s="115" t="s">
        <v>195</v>
      </c>
      <c r="G670" s="770"/>
      <c r="H670" s="135"/>
      <c r="I670" s="135"/>
      <c r="J670" s="136"/>
      <c r="K670" s="134"/>
      <c r="L670" s="134"/>
    </row>
    <row r="671" spans="5:11" ht="12.75">
      <c r="E671" s="115" t="s">
        <v>196</v>
      </c>
      <c r="G671" s="770"/>
      <c r="H671" s="135"/>
      <c r="I671" s="135"/>
      <c r="J671" s="136"/>
      <c r="K671" s="92"/>
    </row>
    <row r="672" spans="5:11" ht="12.75">
      <c r="E672" s="115" t="s">
        <v>197</v>
      </c>
      <c r="G672" s="770"/>
      <c r="H672" s="135"/>
      <c r="I672" s="135"/>
      <c r="J672" s="136"/>
      <c r="K672" s="92"/>
    </row>
    <row r="673" spans="5:11" ht="12.75">
      <c r="E673" s="115"/>
      <c r="G673" s="770"/>
      <c r="K673" s="92"/>
    </row>
    <row r="674" spans="5:7" ht="12.75">
      <c r="E674" s="115"/>
      <c r="G674" s="770"/>
    </row>
    <row r="675" spans="5:7" ht="12.75">
      <c r="E675" s="115"/>
      <c r="G675" s="770"/>
    </row>
    <row r="676" spans="5:7" ht="12.75">
      <c r="E676" s="115"/>
      <c r="G676" s="770"/>
    </row>
    <row r="677" spans="5:7" ht="12.75">
      <c r="E677" s="115"/>
      <c r="G677" s="770"/>
    </row>
    <row r="678" spans="5:7" ht="12.75">
      <c r="E678" s="115"/>
      <c r="G678" s="770"/>
    </row>
    <row r="679" spans="5:7" ht="12.75">
      <c r="E679" s="115"/>
      <c r="G679" s="770"/>
    </row>
    <row r="680" spans="5:7" ht="12.75">
      <c r="E680" s="115"/>
      <c r="G680" s="770"/>
    </row>
    <row r="681" spans="5:7" ht="12.75">
      <c r="E681" s="115"/>
      <c r="G681" s="770"/>
    </row>
    <row r="682" spans="5:7" ht="12.75">
      <c r="E682" s="115"/>
      <c r="G682" s="770"/>
    </row>
    <row r="683" spans="5:7" ht="12.75">
      <c r="E683" s="115"/>
      <c r="G683" s="770"/>
    </row>
    <row r="684" spans="5:7" ht="12.75">
      <c r="E684" s="115"/>
      <c r="G684" s="770"/>
    </row>
    <row r="685" spans="5:7" ht="12.75">
      <c r="E685" s="115"/>
      <c r="G685" s="770"/>
    </row>
    <row r="686" spans="5:7" ht="12.75">
      <c r="E686" s="115"/>
      <c r="G686" s="770"/>
    </row>
    <row r="687" spans="5:7" ht="12.75">
      <c r="E687" s="115"/>
      <c r="G687" s="770"/>
    </row>
    <row r="688" spans="5:7" ht="12.75">
      <c r="E688" s="115"/>
      <c r="G688" s="770"/>
    </row>
    <row r="689" spans="5:7" ht="12.75">
      <c r="E689" s="115"/>
      <c r="G689" s="770"/>
    </row>
    <row r="690" spans="5:7" ht="12.75">
      <c r="E690" s="115"/>
      <c r="G690" s="770"/>
    </row>
    <row r="691" spans="5:7" ht="12.75">
      <c r="E691" s="115"/>
      <c r="G691" s="770"/>
    </row>
    <row r="692" spans="5:7" ht="12.75">
      <c r="E692" s="115"/>
      <c r="G692" s="770"/>
    </row>
    <row r="693" spans="5:7" ht="12.75">
      <c r="E693" s="115"/>
      <c r="G693" s="770"/>
    </row>
    <row r="694" spans="5:7" ht="12.75">
      <c r="E694" s="115"/>
      <c r="G694" s="770"/>
    </row>
    <row r="695" spans="5:7" ht="12.75">
      <c r="E695" s="115"/>
      <c r="G695" s="770"/>
    </row>
    <row r="696" spans="5:7" ht="12.75">
      <c r="E696" s="115"/>
      <c r="G696" s="770"/>
    </row>
    <row r="697" spans="5:7" ht="12.75">
      <c r="E697" s="115"/>
      <c r="G697" s="770"/>
    </row>
    <row r="698" spans="5:7" ht="12.75">
      <c r="E698" s="115"/>
      <c r="G698" s="770"/>
    </row>
    <row r="699" spans="5:7" ht="12.75">
      <c r="E699" s="115"/>
      <c r="G699" s="770"/>
    </row>
    <row r="700" spans="5:7" ht="12.75">
      <c r="E700" s="115"/>
      <c r="G700" s="770"/>
    </row>
    <row r="701" spans="5:7" ht="12.75">
      <c r="E701" s="115"/>
      <c r="G701" s="770"/>
    </row>
    <row r="702" spans="5:7" ht="12.75">
      <c r="E702" s="115"/>
      <c r="G702" s="770"/>
    </row>
    <row r="703" spans="5:7" ht="12.75">
      <c r="E703" s="115"/>
      <c r="G703" s="770"/>
    </row>
    <row r="704" spans="5:7" ht="12.75">
      <c r="E704" s="115"/>
      <c r="G704" s="770"/>
    </row>
    <row r="705" spans="5:7" ht="12.75">
      <c r="E705" s="115"/>
      <c r="G705" s="770"/>
    </row>
    <row r="706" spans="5:7" ht="12.75">
      <c r="E706" s="115"/>
      <c r="G706" s="770"/>
    </row>
    <row r="707" spans="5:7" ht="12.75">
      <c r="E707" s="115"/>
      <c r="G707" s="770"/>
    </row>
    <row r="708" spans="5:7" ht="12.75">
      <c r="E708" s="115"/>
      <c r="G708" s="770"/>
    </row>
    <row r="709" spans="5:7" ht="12.75">
      <c r="E709" s="115"/>
      <c r="G709" s="770"/>
    </row>
    <row r="710" spans="5:7" ht="12.75">
      <c r="E710" s="115"/>
      <c r="G710" s="770"/>
    </row>
    <row r="711" spans="5:7" ht="12.75">
      <c r="E711" s="115"/>
      <c r="G711" s="770"/>
    </row>
    <row r="712" spans="5:7" ht="12.75">
      <c r="E712" s="115"/>
      <c r="G712" s="770"/>
    </row>
    <row r="713" spans="5:7" ht="12.75">
      <c r="E713" s="115"/>
      <c r="G713" s="770"/>
    </row>
    <row r="714" spans="5:7" ht="12.75">
      <c r="E714" s="115"/>
      <c r="G714" s="770"/>
    </row>
    <row r="715" spans="5:7" ht="12.75">
      <c r="E715" s="115"/>
      <c r="G715" s="770"/>
    </row>
    <row r="716" spans="5:7" ht="12.75">
      <c r="E716" s="115"/>
      <c r="G716" s="770"/>
    </row>
    <row r="717" spans="5:7" ht="12.75">
      <c r="E717" s="115"/>
      <c r="G717" s="770"/>
    </row>
    <row r="718" spans="5:7" ht="12.75">
      <c r="E718" s="115"/>
      <c r="G718" s="770"/>
    </row>
    <row r="719" spans="5:7" ht="12.75">
      <c r="E719" s="115"/>
      <c r="G719" s="770"/>
    </row>
    <row r="720" spans="5:7" ht="12.75">
      <c r="E720" s="115"/>
      <c r="G720" s="770"/>
    </row>
    <row r="721" spans="5:7" ht="12.75">
      <c r="E721" s="115"/>
      <c r="G721" s="770"/>
    </row>
    <row r="722" spans="5:7" ht="12.75">
      <c r="E722" s="115"/>
      <c r="G722" s="770"/>
    </row>
    <row r="723" spans="5:7" ht="12.75">
      <c r="E723" s="115"/>
      <c r="G723" s="770"/>
    </row>
    <row r="724" spans="5:7" ht="12.75">
      <c r="E724" s="115"/>
      <c r="G724" s="770"/>
    </row>
    <row r="725" spans="5:7" ht="12.75">
      <c r="E725" s="115"/>
      <c r="G725" s="770"/>
    </row>
    <row r="726" spans="5:7" ht="12.75">
      <c r="E726" s="115"/>
      <c r="G726" s="770"/>
    </row>
    <row r="727" spans="5:7" ht="12.75">
      <c r="E727" s="115"/>
      <c r="G727" s="770"/>
    </row>
    <row r="728" spans="5:7" ht="12.75">
      <c r="E728" s="115"/>
      <c r="G728" s="770"/>
    </row>
    <row r="729" spans="5:7" ht="12.75">
      <c r="E729" s="115"/>
      <c r="G729" s="770"/>
    </row>
    <row r="730" spans="5:7" ht="12.75">
      <c r="E730" s="115"/>
      <c r="G730" s="770"/>
    </row>
    <row r="731" spans="5:7" ht="12.75">
      <c r="E731" s="115"/>
      <c r="G731" s="770"/>
    </row>
    <row r="732" spans="5:7" ht="12.75">
      <c r="E732" s="115"/>
      <c r="G732" s="770"/>
    </row>
    <row r="733" spans="5:7" ht="12.75">
      <c r="E733" s="115"/>
      <c r="G733" s="770"/>
    </row>
    <row r="734" spans="5:7" ht="12.75">
      <c r="E734" s="115"/>
      <c r="G734" s="770"/>
    </row>
    <row r="735" ht="12.75">
      <c r="E735" s="115"/>
    </row>
    <row r="736" ht="12.75">
      <c r="E736" s="115"/>
    </row>
    <row r="737" ht="12.75">
      <c r="E737" s="115"/>
    </row>
    <row r="738" ht="12.75">
      <c r="E738" s="115"/>
    </row>
    <row r="739" ht="12.75">
      <c r="E739" s="115"/>
    </row>
    <row r="740" ht="12.75">
      <c r="E740" s="115"/>
    </row>
    <row r="741" ht="12.75">
      <c r="E741" s="115"/>
    </row>
    <row r="742" ht="12.75">
      <c r="E742" s="115"/>
    </row>
    <row r="743" ht="12.75">
      <c r="E743" s="115"/>
    </row>
    <row r="744" ht="12.75">
      <c r="E744" s="115"/>
    </row>
    <row r="745" ht="12.75">
      <c r="E745" s="115"/>
    </row>
    <row r="746" ht="12.75">
      <c r="E746" s="115"/>
    </row>
    <row r="747" ht="12.75">
      <c r="E747" s="115"/>
    </row>
    <row r="748" ht="12.75">
      <c r="E748" s="115"/>
    </row>
    <row r="749" ht="12.75">
      <c r="E749" s="115"/>
    </row>
    <row r="750" ht="12.75">
      <c r="E750" s="115"/>
    </row>
    <row r="751" ht="12.75">
      <c r="E751" s="115"/>
    </row>
    <row r="752" ht="12.75">
      <c r="E752" s="115"/>
    </row>
    <row r="753" ht="12.75">
      <c r="E753" s="115"/>
    </row>
    <row r="754" ht="12.75">
      <c r="E754" s="115"/>
    </row>
    <row r="755" ht="12.75">
      <c r="E755" s="115"/>
    </row>
    <row r="756" ht="12.75">
      <c r="E756" s="115"/>
    </row>
    <row r="757" ht="12.75">
      <c r="E757" s="115"/>
    </row>
    <row r="758" ht="12.75">
      <c r="E758" s="115"/>
    </row>
    <row r="759" ht="12.75">
      <c r="E759" s="115"/>
    </row>
    <row r="760" ht="12.75">
      <c r="E760" s="115"/>
    </row>
    <row r="761" ht="12.75">
      <c r="E761" s="115"/>
    </row>
    <row r="762" ht="12.75">
      <c r="E762" s="115"/>
    </row>
    <row r="763" ht="12.75">
      <c r="E763" s="115"/>
    </row>
    <row r="764" ht="12.75">
      <c r="E764" s="115"/>
    </row>
    <row r="765" ht="12.75">
      <c r="E765" s="115"/>
    </row>
    <row r="766" ht="12.75">
      <c r="E766" s="115"/>
    </row>
    <row r="767" ht="12.75">
      <c r="E767" s="115"/>
    </row>
    <row r="768" ht="12.75">
      <c r="E768" s="115"/>
    </row>
    <row r="769" ht="12.75">
      <c r="E769" s="115"/>
    </row>
    <row r="770" ht="12.75">
      <c r="E770" s="115"/>
    </row>
    <row r="771" ht="12.75">
      <c r="E771" s="115"/>
    </row>
    <row r="772" ht="12.75">
      <c r="E772" s="115"/>
    </row>
    <row r="773" ht="12.75">
      <c r="E773" s="115"/>
    </row>
    <row r="774" ht="12.75">
      <c r="E774" s="115"/>
    </row>
    <row r="775" ht="12.75">
      <c r="E775" s="115"/>
    </row>
    <row r="776" ht="12.75">
      <c r="E776" s="115"/>
    </row>
    <row r="777" ht="12.75">
      <c r="E777" s="115"/>
    </row>
    <row r="778" ht="12.75">
      <c r="E778" s="115"/>
    </row>
    <row r="779" ht="12.75">
      <c r="E779" s="115"/>
    </row>
    <row r="780" ht="12.75">
      <c r="E780" s="115"/>
    </row>
    <row r="781" ht="12.75">
      <c r="E781" s="115"/>
    </row>
    <row r="782" ht="12.75">
      <c r="E782" s="115"/>
    </row>
    <row r="783" ht="12.75">
      <c r="E783" s="115"/>
    </row>
    <row r="784" ht="12.75">
      <c r="E784" s="115"/>
    </row>
    <row r="785" ht="12.75">
      <c r="E785" s="115"/>
    </row>
    <row r="786" ht="12.75">
      <c r="E786" s="115"/>
    </row>
    <row r="787" ht="12.75">
      <c r="E787" s="115"/>
    </row>
    <row r="788" ht="12.75">
      <c r="E788" s="115"/>
    </row>
    <row r="789" ht="12.75">
      <c r="E789" s="115"/>
    </row>
    <row r="790" ht="12.75">
      <c r="E790" s="115"/>
    </row>
    <row r="791" ht="12.75">
      <c r="E791" s="115"/>
    </row>
    <row r="792" ht="12.75">
      <c r="E792" s="115"/>
    </row>
    <row r="793" ht="12.75">
      <c r="E793" s="115"/>
    </row>
    <row r="794" ht="12.75">
      <c r="E794" s="115"/>
    </row>
    <row r="795" ht="12.75">
      <c r="E795" s="115"/>
    </row>
    <row r="796" ht="12.75">
      <c r="E796" s="115"/>
    </row>
    <row r="797" ht="12.75">
      <c r="E797" s="115"/>
    </row>
    <row r="798" ht="12.75">
      <c r="E798" s="115"/>
    </row>
    <row r="799" ht="12.75">
      <c r="E799" s="115"/>
    </row>
    <row r="800" ht="12.75">
      <c r="E800" s="115"/>
    </row>
    <row r="801" ht="12.75">
      <c r="E801" s="115"/>
    </row>
    <row r="802" ht="12.75">
      <c r="E802" s="115"/>
    </row>
    <row r="803" ht="12.75">
      <c r="E803" s="115"/>
    </row>
    <row r="804" ht="12.75">
      <c r="E804" s="115"/>
    </row>
    <row r="805" ht="12.75">
      <c r="E805" s="115"/>
    </row>
    <row r="806" ht="12.75">
      <c r="E806" s="115"/>
    </row>
    <row r="807" ht="12.75">
      <c r="E807" s="115"/>
    </row>
    <row r="808" ht="12.75">
      <c r="E808" s="115"/>
    </row>
    <row r="809" ht="12.75">
      <c r="E809" s="115"/>
    </row>
    <row r="810" ht="12.75">
      <c r="E810" s="115"/>
    </row>
    <row r="811" ht="12.75">
      <c r="E811" s="115"/>
    </row>
    <row r="812" ht="12.75">
      <c r="E812" s="115"/>
    </row>
    <row r="813" ht="12.75">
      <c r="E813" s="115"/>
    </row>
    <row r="814" ht="12.75">
      <c r="E814" s="115"/>
    </row>
    <row r="815" ht="12.75">
      <c r="E815" s="115"/>
    </row>
    <row r="816" ht="12.75">
      <c r="E816" s="115"/>
    </row>
    <row r="817" ht="12.75">
      <c r="E817" s="115"/>
    </row>
    <row r="818" ht="12.75">
      <c r="E818" s="115"/>
    </row>
    <row r="819" ht="12.75">
      <c r="E819" s="115"/>
    </row>
    <row r="820" ht="12.75">
      <c r="E820" s="115"/>
    </row>
    <row r="821" ht="12.75">
      <c r="E821" s="115"/>
    </row>
    <row r="822" ht="12.75">
      <c r="E822" s="115"/>
    </row>
    <row r="823" ht="12.75">
      <c r="E823" s="115"/>
    </row>
    <row r="824" ht="12.75">
      <c r="E824" s="115"/>
    </row>
    <row r="825" ht="12.75">
      <c r="E825" s="115"/>
    </row>
    <row r="826" ht="12.75">
      <c r="E826" s="115"/>
    </row>
    <row r="827" ht="12.75">
      <c r="E827" s="115"/>
    </row>
    <row r="828" ht="12.75">
      <c r="E828" s="115"/>
    </row>
    <row r="829" ht="12.75">
      <c r="E829" s="115"/>
    </row>
    <row r="830" ht="12.75">
      <c r="E830" s="115"/>
    </row>
    <row r="831" ht="12.75">
      <c r="E831" s="115"/>
    </row>
    <row r="832" ht="12.75">
      <c r="E832" s="115"/>
    </row>
    <row r="833" ht="12.75">
      <c r="E833" s="115"/>
    </row>
    <row r="834" ht="12.75">
      <c r="E834" s="115"/>
    </row>
    <row r="835" ht="12.75">
      <c r="E835" s="115"/>
    </row>
    <row r="836" ht="12.75">
      <c r="E836" s="115"/>
    </row>
    <row r="837" ht="12.75">
      <c r="E837" s="115"/>
    </row>
    <row r="838" ht="12.75">
      <c r="E838" s="115"/>
    </row>
    <row r="839" ht="12.75">
      <c r="E839" s="115"/>
    </row>
    <row r="840" ht="12.75">
      <c r="E840" s="115"/>
    </row>
    <row r="841" ht="12.75">
      <c r="E841" s="115"/>
    </row>
    <row r="842" ht="12.75">
      <c r="E842" s="115"/>
    </row>
    <row r="843" ht="12.75">
      <c r="E843" s="115"/>
    </row>
    <row r="844" ht="12.75">
      <c r="E844" s="115"/>
    </row>
    <row r="845" ht="12.75">
      <c r="E845" s="115"/>
    </row>
    <row r="846" ht="12.75">
      <c r="E846" s="115"/>
    </row>
    <row r="847" ht="12.75">
      <c r="E847" s="115"/>
    </row>
    <row r="848" ht="12.75">
      <c r="E848" s="115"/>
    </row>
    <row r="849" ht="12.75">
      <c r="E849" s="115"/>
    </row>
    <row r="850" ht="12.75">
      <c r="E850" s="115"/>
    </row>
    <row r="851" ht="12.75">
      <c r="E851" s="115"/>
    </row>
    <row r="852" ht="12.75">
      <c r="E852" s="115"/>
    </row>
    <row r="853" ht="12.75">
      <c r="E853" s="115"/>
    </row>
    <row r="854" ht="12.75">
      <c r="E854" s="115"/>
    </row>
    <row r="855" ht="12.75">
      <c r="E855" s="115"/>
    </row>
    <row r="856" ht="12.75">
      <c r="E856" s="115"/>
    </row>
    <row r="857" ht="12.75">
      <c r="E857" s="115"/>
    </row>
    <row r="858" ht="12.75">
      <c r="E858" s="115"/>
    </row>
    <row r="859" ht="12.75">
      <c r="E859" s="115"/>
    </row>
    <row r="860" ht="12.75">
      <c r="E860" s="115"/>
    </row>
    <row r="861" ht="12.75">
      <c r="E861" s="115"/>
    </row>
    <row r="862" ht="12.75">
      <c r="E862" s="115"/>
    </row>
    <row r="863" ht="12.75">
      <c r="E863" s="115"/>
    </row>
    <row r="864" ht="12.75">
      <c r="E864" s="115"/>
    </row>
    <row r="865" ht="12.75">
      <c r="E865" s="115"/>
    </row>
    <row r="866" ht="12.75">
      <c r="E866" s="115"/>
    </row>
    <row r="867" ht="12.75">
      <c r="E867" s="115"/>
    </row>
    <row r="868" ht="12.75">
      <c r="E868" s="115"/>
    </row>
    <row r="869" ht="12.75">
      <c r="E869" s="115"/>
    </row>
    <row r="870" ht="12.75">
      <c r="E870" s="115"/>
    </row>
    <row r="871" ht="12.75">
      <c r="E871" s="115"/>
    </row>
    <row r="872" ht="12.75">
      <c r="E872" s="115"/>
    </row>
    <row r="873" ht="12.75">
      <c r="E873" s="115"/>
    </row>
    <row r="874" ht="12.75">
      <c r="E874" s="115"/>
    </row>
    <row r="875" ht="12.75">
      <c r="E875" s="115"/>
    </row>
    <row r="876" ht="12.75">
      <c r="E876" s="115"/>
    </row>
    <row r="877" ht="12.75">
      <c r="E877" s="115"/>
    </row>
    <row r="878" ht="12.75">
      <c r="E878" s="115"/>
    </row>
    <row r="879" ht="12.75">
      <c r="E879" s="115"/>
    </row>
    <row r="880" ht="12.75">
      <c r="E880" s="115"/>
    </row>
    <row r="881" ht="12.75">
      <c r="E881" s="115"/>
    </row>
    <row r="882" ht="12.75">
      <c r="E882" s="115"/>
    </row>
    <row r="883" ht="12.75">
      <c r="E883" s="115"/>
    </row>
    <row r="884" ht="12.75">
      <c r="E884" s="115"/>
    </row>
    <row r="885" ht="12.75">
      <c r="E885" s="115"/>
    </row>
    <row r="886" ht="12.75">
      <c r="E886" s="115"/>
    </row>
    <row r="887" ht="12.75">
      <c r="E887" s="115"/>
    </row>
    <row r="888" ht="12.75">
      <c r="E888" s="115"/>
    </row>
    <row r="889" ht="12.75">
      <c r="E889" s="115"/>
    </row>
    <row r="890" ht="12.75">
      <c r="E890" s="115"/>
    </row>
    <row r="891" ht="12.75">
      <c r="E891" s="115"/>
    </row>
    <row r="892" ht="12.75">
      <c r="E892" s="115"/>
    </row>
    <row r="893" ht="12.75">
      <c r="E893" s="115"/>
    </row>
    <row r="894" ht="12.75">
      <c r="E894" s="115"/>
    </row>
    <row r="895" ht="12.75">
      <c r="E895" s="115"/>
    </row>
    <row r="896" ht="12.75">
      <c r="E896" s="115"/>
    </row>
    <row r="897" ht="12.75">
      <c r="E897" s="115"/>
    </row>
    <row r="898" ht="12.75">
      <c r="E898" s="115"/>
    </row>
    <row r="899" ht="12.75">
      <c r="E899" s="115"/>
    </row>
    <row r="900" ht="12.75">
      <c r="E900" s="115"/>
    </row>
    <row r="901" ht="12.75">
      <c r="E901" s="115"/>
    </row>
    <row r="902" ht="12.75">
      <c r="E902" s="115"/>
    </row>
    <row r="903" ht="12.75">
      <c r="E903" s="115"/>
    </row>
    <row r="904" ht="12.75">
      <c r="E904" s="115"/>
    </row>
    <row r="905" ht="12.75">
      <c r="E905" s="115"/>
    </row>
    <row r="906" ht="12.75">
      <c r="E906" s="115"/>
    </row>
    <row r="907" ht="12.75">
      <c r="E907" s="115"/>
    </row>
    <row r="908" ht="12.75">
      <c r="E908" s="115"/>
    </row>
    <row r="909" ht="12.75">
      <c r="E909" s="115"/>
    </row>
    <row r="910" ht="12.75">
      <c r="E910" s="115"/>
    </row>
    <row r="911" ht="12.75">
      <c r="E911" s="115"/>
    </row>
    <row r="912" ht="12.75">
      <c r="E912" s="115"/>
    </row>
    <row r="913" ht="12.75">
      <c r="E913" s="115"/>
    </row>
    <row r="914" ht="12.75">
      <c r="E914" s="115"/>
    </row>
    <row r="915" ht="12.75">
      <c r="E915" s="115"/>
    </row>
    <row r="916" ht="12.75">
      <c r="E916" s="115"/>
    </row>
    <row r="917" ht="12.75">
      <c r="E917" s="115"/>
    </row>
    <row r="918" ht="12.75">
      <c r="E918" s="115"/>
    </row>
    <row r="919" ht="12.75">
      <c r="E919" s="115"/>
    </row>
    <row r="920" ht="12.75">
      <c r="E920" s="115"/>
    </row>
    <row r="921" ht="12.75">
      <c r="E921" s="115"/>
    </row>
    <row r="922" ht="12.75">
      <c r="E922" s="115"/>
    </row>
    <row r="923" ht="12.75">
      <c r="E923" s="115"/>
    </row>
    <row r="924" ht="12.75">
      <c r="E924" s="115"/>
    </row>
    <row r="925" ht="12.75">
      <c r="E925" s="115"/>
    </row>
    <row r="926" ht="12.75">
      <c r="E926" s="115"/>
    </row>
    <row r="927" ht="12.75">
      <c r="E927" s="115"/>
    </row>
    <row r="928" ht="12.75">
      <c r="E928" s="115"/>
    </row>
    <row r="929" ht="12.75">
      <c r="E929" s="115"/>
    </row>
    <row r="930" ht="12.75">
      <c r="E930" s="115"/>
    </row>
    <row r="931" ht="12.75">
      <c r="E931" s="115"/>
    </row>
    <row r="932" ht="12.75">
      <c r="E932" s="115"/>
    </row>
    <row r="933" ht="12.75">
      <c r="E933" s="115"/>
    </row>
    <row r="934" ht="12.75">
      <c r="E934" s="115"/>
    </row>
    <row r="935" ht="12.75">
      <c r="E935" s="115"/>
    </row>
    <row r="936" ht="12.75">
      <c r="E936" s="115"/>
    </row>
    <row r="937" ht="12.75">
      <c r="E937" s="115"/>
    </row>
    <row r="938" ht="12.75">
      <c r="E938" s="115"/>
    </row>
    <row r="939" ht="12.75">
      <c r="E939" s="115"/>
    </row>
    <row r="940" ht="12.75">
      <c r="E940" s="115"/>
    </row>
    <row r="941" ht="12.75">
      <c r="E941" s="115"/>
    </row>
    <row r="942" ht="12.75">
      <c r="E942" s="115"/>
    </row>
    <row r="943" ht="12.75">
      <c r="E943" s="115"/>
    </row>
    <row r="944" ht="12.75">
      <c r="E944" s="115"/>
    </row>
    <row r="945" ht="12.75">
      <c r="E945" s="115"/>
    </row>
    <row r="946" ht="12.75">
      <c r="E946" s="115"/>
    </row>
    <row r="947" ht="12.75">
      <c r="E947" s="115"/>
    </row>
    <row r="948" ht="12.75">
      <c r="E948" s="115"/>
    </row>
    <row r="949" ht="12.75">
      <c r="E949" s="115"/>
    </row>
    <row r="950" ht="12.75">
      <c r="E950" s="115"/>
    </row>
    <row r="951" ht="12.75">
      <c r="E951" s="115"/>
    </row>
    <row r="952" ht="12.75">
      <c r="E952" s="115"/>
    </row>
    <row r="953" ht="12.75">
      <c r="E953" s="115"/>
    </row>
    <row r="954" ht="12.75">
      <c r="E954" s="115"/>
    </row>
    <row r="955" ht="12.75">
      <c r="E955" s="115"/>
    </row>
    <row r="956" ht="12.75">
      <c r="E956" s="115"/>
    </row>
    <row r="957" ht="12.75">
      <c r="E957" s="115"/>
    </row>
    <row r="958" ht="12.75">
      <c r="E958" s="115"/>
    </row>
    <row r="959" ht="12.75">
      <c r="E959" s="115"/>
    </row>
    <row r="960" ht="12.75">
      <c r="E960" s="115"/>
    </row>
    <row r="961" ht="12.75">
      <c r="E961" s="115"/>
    </row>
    <row r="962" ht="12.75">
      <c r="E962" s="115"/>
    </row>
    <row r="963" ht="12.75">
      <c r="E963" s="115"/>
    </row>
    <row r="964" ht="12.75">
      <c r="E964" s="115"/>
    </row>
    <row r="965" ht="12.75">
      <c r="E965" s="115"/>
    </row>
    <row r="966" ht="12.75">
      <c r="E966" s="115"/>
    </row>
    <row r="967" ht="12.75">
      <c r="E967" s="115"/>
    </row>
    <row r="968" ht="12.75">
      <c r="E968" s="115"/>
    </row>
    <row r="969" ht="12.75">
      <c r="E969" s="115"/>
    </row>
    <row r="970" ht="12.75">
      <c r="E970" s="115"/>
    </row>
    <row r="971" ht="12.75">
      <c r="E971" s="115"/>
    </row>
    <row r="972" ht="12.75">
      <c r="E972" s="115"/>
    </row>
    <row r="973" ht="12.75">
      <c r="E973" s="115"/>
    </row>
    <row r="974" ht="12.75">
      <c r="E974" s="115"/>
    </row>
    <row r="975" ht="12.75">
      <c r="E975" s="115"/>
    </row>
    <row r="976" ht="12.75">
      <c r="E976" s="115"/>
    </row>
    <row r="977" ht="12.75">
      <c r="E977" s="115"/>
    </row>
    <row r="978" ht="12.75">
      <c r="E978" s="115"/>
    </row>
    <row r="979" ht="12.75">
      <c r="E979" s="115"/>
    </row>
    <row r="980" ht="12.75">
      <c r="E980" s="115"/>
    </row>
    <row r="981" ht="12.75">
      <c r="E981" s="115"/>
    </row>
    <row r="982" ht="12.75">
      <c r="E982" s="115"/>
    </row>
    <row r="983" ht="12.75">
      <c r="E983" s="115"/>
    </row>
    <row r="984" ht="12.75">
      <c r="E984" s="115"/>
    </row>
    <row r="985" ht="12.75">
      <c r="E985" s="115"/>
    </row>
    <row r="986" ht="12.75">
      <c r="E986" s="115"/>
    </row>
    <row r="987" ht="12.75">
      <c r="E987" s="115"/>
    </row>
    <row r="988" ht="12.75">
      <c r="E988" s="115"/>
    </row>
    <row r="989" ht="12.75">
      <c r="E989" s="115"/>
    </row>
    <row r="990" ht="12.75">
      <c r="E990" s="115"/>
    </row>
    <row r="991" ht="12.75">
      <c r="E991" s="115"/>
    </row>
    <row r="992" ht="12.75">
      <c r="E992" s="115"/>
    </row>
    <row r="993" ht="12.75">
      <c r="E993" s="115"/>
    </row>
    <row r="994" ht="12.75">
      <c r="E994" s="115"/>
    </row>
    <row r="995" ht="12.75">
      <c r="E995" s="115"/>
    </row>
    <row r="996" ht="12.75">
      <c r="E996" s="115"/>
    </row>
    <row r="997" ht="12.75">
      <c r="E997" s="115"/>
    </row>
    <row r="998" ht="12.75">
      <c r="E998" s="115"/>
    </row>
    <row r="999" ht="12.75">
      <c r="E999" s="115"/>
    </row>
    <row r="1000" ht="12.75">
      <c r="E1000" s="115"/>
    </row>
    <row r="1001" ht="12.75">
      <c r="E1001" s="115"/>
    </row>
  </sheetData>
  <mergeCells count="11">
    <mergeCell ref="A7:H7"/>
    <mergeCell ref="E10:E12"/>
    <mergeCell ref="F10:F12"/>
    <mergeCell ref="A10:A12"/>
    <mergeCell ref="B10:B12"/>
    <mergeCell ref="C10:C12"/>
    <mergeCell ref="D10:D12"/>
    <mergeCell ref="G10:G12"/>
    <mergeCell ref="A666:D666"/>
    <mergeCell ref="H10:H12"/>
    <mergeCell ref="A9:H9"/>
  </mergeCells>
  <printOptions horizontalCentered="1"/>
  <pageMargins left="0.38" right="0.24" top="0.27" bottom="0.25" header="0.11811023622047245" footer="0.11811023622047245"/>
  <pageSetup fitToHeight="10" fitToWidth="10" horizontalDpi="600" verticalDpi="600" orientation="portrait" paperSize="9" scale="90" r:id="rId1"/>
  <rowBreaks count="5" manualBreakCount="5">
    <brk id="149" max="7" man="1"/>
    <brk id="236" max="7" man="1"/>
    <brk id="316" max="7" man="1"/>
    <brk id="481" max="7" man="1"/>
    <brk id="64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75" zoomScaleNormal="75" zoomScaleSheetLayoutView="75" workbookViewId="0" topLeftCell="A1">
      <pane ySplit="11" topLeftCell="BM21" activePane="bottomLeft" state="frozen"/>
      <selection pane="topLeft" activeCell="A1" sqref="A1"/>
      <selection pane="bottomLeft" activeCell="E28" sqref="E28"/>
    </sheetView>
  </sheetViews>
  <sheetFormatPr defaultColWidth="9.00390625" defaultRowHeight="12.75"/>
  <cols>
    <col min="1" max="1" width="5.625" style="1" customWidth="1"/>
    <col min="2" max="2" width="5.875" style="1" customWidth="1"/>
    <col min="3" max="3" width="6.625" style="1" customWidth="1"/>
    <col min="4" max="4" width="5.375" style="1" customWidth="1"/>
    <col min="5" max="5" width="45.75390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ht="12.75">
      <c r="K1" s="1" t="s">
        <v>342</v>
      </c>
    </row>
    <row r="2" ht="12.75">
      <c r="K2" s="1" t="s">
        <v>343</v>
      </c>
    </row>
    <row r="3" ht="12.75">
      <c r="K3" s="1" t="s">
        <v>216</v>
      </c>
    </row>
    <row r="4" ht="12.75">
      <c r="K4" s="1" t="s">
        <v>719</v>
      </c>
    </row>
    <row r="5" spans="1:12" ht="18">
      <c r="A5" s="956" t="s">
        <v>657</v>
      </c>
      <c r="B5" s="956"/>
      <c r="C5" s="956"/>
      <c r="D5" s="956"/>
      <c r="E5" s="956"/>
      <c r="F5" s="956"/>
      <c r="G5" s="956"/>
      <c r="H5" s="956"/>
      <c r="I5" s="956"/>
      <c r="J5" s="956"/>
      <c r="K5" s="956"/>
      <c r="L5" s="956"/>
    </row>
    <row r="6" spans="1:12" ht="10.5" customHeight="1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9" t="s">
        <v>624</v>
      </c>
    </row>
    <row r="7" spans="1:12" s="37" customFormat="1" ht="19.5" customHeight="1">
      <c r="A7" s="957" t="s">
        <v>643</v>
      </c>
      <c r="B7" s="959" t="s">
        <v>586</v>
      </c>
      <c r="C7" s="959" t="s">
        <v>623</v>
      </c>
      <c r="D7" s="959" t="s">
        <v>20</v>
      </c>
      <c r="E7" s="952" t="s">
        <v>23</v>
      </c>
      <c r="F7" s="952" t="s">
        <v>18</v>
      </c>
      <c r="G7" s="952" t="s">
        <v>658</v>
      </c>
      <c r="H7" s="952"/>
      <c r="I7" s="952"/>
      <c r="J7" s="952"/>
      <c r="K7" s="952"/>
      <c r="L7" s="961" t="s">
        <v>21</v>
      </c>
    </row>
    <row r="8" spans="1:12" s="37" customFormat="1" ht="19.5" customHeight="1">
      <c r="A8" s="958"/>
      <c r="B8" s="960"/>
      <c r="C8" s="960"/>
      <c r="D8" s="960"/>
      <c r="E8" s="953"/>
      <c r="F8" s="953"/>
      <c r="G8" s="953" t="s">
        <v>43</v>
      </c>
      <c r="H8" s="953" t="s">
        <v>44</v>
      </c>
      <c r="I8" s="953"/>
      <c r="J8" s="953"/>
      <c r="K8" s="953"/>
      <c r="L8" s="962"/>
    </row>
    <row r="9" spans="1:12" s="37" customFormat="1" ht="29.25" customHeight="1">
      <c r="A9" s="958"/>
      <c r="B9" s="960"/>
      <c r="C9" s="960"/>
      <c r="D9" s="960"/>
      <c r="E9" s="953"/>
      <c r="F9" s="953"/>
      <c r="G9" s="953"/>
      <c r="H9" s="953" t="s">
        <v>22</v>
      </c>
      <c r="I9" s="953" t="s">
        <v>4</v>
      </c>
      <c r="J9" s="953" t="s">
        <v>24</v>
      </c>
      <c r="K9" s="953" t="s">
        <v>5</v>
      </c>
      <c r="L9" s="962"/>
    </row>
    <row r="10" spans="1:12" s="37" customFormat="1" ht="19.5" customHeight="1">
      <c r="A10" s="958"/>
      <c r="B10" s="960"/>
      <c r="C10" s="960"/>
      <c r="D10" s="960"/>
      <c r="E10" s="953"/>
      <c r="F10" s="953"/>
      <c r="G10" s="953"/>
      <c r="H10" s="953"/>
      <c r="I10" s="953"/>
      <c r="J10" s="953"/>
      <c r="K10" s="953"/>
      <c r="L10" s="962"/>
    </row>
    <row r="11" spans="1:12" s="37" customFormat="1" ht="19.5" customHeight="1">
      <c r="A11" s="958"/>
      <c r="B11" s="960"/>
      <c r="C11" s="960"/>
      <c r="D11" s="960"/>
      <c r="E11" s="953"/>
      <c r="F11" s="953"/>
      <c r="G11" s="953"/>
      <c r="H11" s="953"/>
      <c r="I11" s="953"/>
      <c r="J11" s="953"/>
      <c r="K11" s="953"/>
      <c r="L11" s="962"/>
    </row>
    <row r="12" spans="1:12" ht="7.5" customHeight="1">
      <c r="A12" s="17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8">
        <v>12</v>
      </c>
    </row>
    <row r="13" spans="1:12" ht="24">
      <c r="A13" s="179" t="s">
        <v>595</v>
      </c>
      <c r="B13" s="181">
        <v>750</v>
      </c>
      <c r="C13" s="181">
        <v>75020</v>
      </c>
      <c r="D13" s="181">
        <v>6050</v>
      </c>
      <c r="E13" s="182" t="s">
        <v>36</v>
      </c>
      <c r="F13" s="180">
        <v>400000</v>
      </c>
      <c r="G13" s="180">
        <f>SUM(H13:K13)</f>
        <v>400000</v>
      </c>
      <c r="H13" s="180">
        <v>400000</v>
      </c>
      <c r="I13" s="181">
        <v>0</v>
      </c>
      <c r="J13" s="182">
        <v>0</v>
      </c>
      <c r="K13" s="181">
        <v>0</v>
      </c>
      <c r="L13" s="746" t="s">
        <v>204</v>
      </c>
    </row>
    <row r="14" spans="1:12" ht="24">
      <c r="A14" s="179" t="s">
        <v>596</v>
      </c>
      <c r="B14" s="181">
        <v>750</v>
      </c>
      <c r="C14" s="181">
        <v>75020</v>
      </c>
      <c r="D14" s="181">
        <v>6050</v>
      </c>
      <c r="E14" s="182" t="s">
        <v>220</v>
      </c>
      <c r="F14" s="180">
        <v>20000</v>
      </c>
      <c r="G14" s="180">
        <f aca="true" t="shared" si="0" ref="G14:G22">SUM(H14:K14)</f>
        <v>20000</v>
      </c>
      <c r="H14" s="180">
        <v>20000</v>
      </c>
      <c r="I14" s="181">
        <v>0</v>
      </c>
      <c r="J14" s="182">
        <v>0</v>
      </c>
      <c r="K14" s="181">
        <v>0</v>
      </c>
      <c r="L14" s="746" t="s">
        <v>204</v>
      </c>
    </row>
    <row r="15" spans="1:12" ht="47.25" customHeight="1">
      <c r="A15" s="179" t="s">
        <v>597</v>
      </c>
      <c r="B15" s="181">
        <v>750</v>
      </c>
      <c r="C15" s="181">
        <v>75020</v>
      </c>
      <c r="D15" s="181">
        <v>6050</v>
      </c>
      <c r="E15" s="182" t="s">
        <v>222</v>
      </c>
      <c r="F15" s="180">
        <v>100000</v>
      </c>
      <c r="G15" s="180">
        <f t="shared" si="0"/>
        <v>100000</v>
      </c>
      <c r="H15" s="180">
        <v>100000</v>
      </c>
      <c r="I15" s="181">
        <v>0</v>
      </c>
      <c r="J15" s="182">
        <v>0</v>
      </c>
      <c r="K15" s="181">
        <v>0</v>
      </c>
      <c r="L15" s="746" t="s">
        <v>204</v>
      </c>
    </row>
    <row r="16" spans="1:12" ht="24">
      <c r="A16" s="179" t="s">
        <v>585</v>
      </c>
      <c r="B16" s="181">
        <v>600</v>
      </c>
      <c r="C16" s="181">
        <v>60014</v>
      </c>
      <c r="D16" s="181">
        <v>6060</v>
      </c>
      <c r="E16" s="182" t="s">
        <v>579</v>
      </c>
      <c r="F16" s="837">
        <v>27100</v>
      </c>
      <c r="G16" s="837">
        <f t="shared" si="0"/>
        <v>27100</v>
      </c>
      <c r="H16" s="837">
        <f>15000+10100+2000</f>
        <v>27100</v>
      </c>
      <c r="I16" s="181">
        <v>0</v>
      </c>
      <c r="J16" s="182">
        <v>0</v>
      </c>
      <c r="K16" s="181">
        <v>0</v>
      </c>
      <c r="L16" s="746" t="s">
        <v>580</v>
      </c>
    </row>
    <row r="17" spans="1:12" ht="24">
      <c r="A17" s="179" t="s">
        <v>602</v>
      </c>
      <c r="B17" s="181">
        <v>600</v>
      </c>
      <c r="C17" s="181">
        <v>60014</v>
      </c>
      <c r="D17" s="181">
        <v>6060</v>
      </c>
      <c r="E17" s="182" t="s">
        <v>225</v>
      </c>
      <c r="F17" s="837">
        <v>0</v>
      </c>
      <c r="G17" s="837">
        <f t="shared" si="0"/>
        <v>0</v>
      </c>
      <c r="H17" s="837">
        <v>0</v>
      </c>
      <c r="I17" s="181">
        <v>0</v>
      </c>
      <c r="J17" s="182">
        <v>0</v>
      </c>
      <c r="K17" s="181">
        <v>0</v>
      </c>
      <c r="L17" s="746" t="s">
        <v>580</v>
      </c>
    </row>
    <row r="18" spans="1:12" ht="24">
      <c r="A18" s="179" t="s">
        <v>607</v>
      </c>
      <c r="B18" s="181">
        <v>600</v>
      </c>
      <c r="C18" s="181">
        <v>60014</v>
      </c>
      <c r="D18" s="181">
        <v>6060</v>
      </c>
      <c r="E18" s="182" t="s">
        <v>226</v>
      </c>
      <c r="F18" s="837">
        <v>100000</v>
      </c>
      <c r="G18" s="837">
        <f t="shared" si="0"/>
        <v>100000</v>
      </c>
      <c r="H18" s="837">
        <f>70000+30000</f>
        <v>100000</v>
      </c>
      <c r="I18" s="181">
        <v>0</v>
      </c>
      <c r="J18" s="182">
        <v>0</v>
      </c>
      <c r="K18" s="181">
        <v>0</v>
      </c>
      <c r="L18" s="746" t="s">
        <v>580</v>
      </c>
    </row>
    <row r="19" spans="1:12" ht="24">
      <c r="A19" s="179" t="s">
        <v>208</v>
      </c>
      <c r="B19" s="181">
        <v>600</v>
      </c>
      <c r="C19" s="181">
        <v>60014</v>
      </c>
      <c r="D19" s="181">
        <v>6060</v>
      </c>
      <c r="E19" s="182" t="s">
        <v>227</v>
      </c>
      <c r="F19" s="837">
        <v>54900</v>
      </c>
      <c r="G19" s="837">
        <f t="shared" si="0"/>
        <v>54900</v>
      </c>
      <c r="H19" s="837">
        <f>50000+4900</f>
        <v>54900</v>
      </c>
      <c r="I19" s="181">
        <v>0</v>
      </c>
      <c r="J19" s="182">
        <v>0</v>
      </c>
      <c r="K19" s="181">
        <v>0</v>
      </c>
      <c r="L19" s="746" t="s">
        <v>580</v>
      </c>
    </row>
    <row r="20" spans="1:12" ht="24">
      <c r="A20" s="179" t="s">
        <v>209</v>
      </c>
      <c r="B20" s="181">
        <v>750</v>
      </c>
      <c r="C20" s="181">
        <v>75020</v>
      </c>
      <c r="D20" s="181">
        <v>6060</v>
      </c>
      <c r="E20" s="182" t="s">
        <v>229</v>
      </c>
      <c r="F20" s="837">
        <v>74250</v>
      </c>
      <c r="G20" s="837">
        <f t="shared" si="0"/>
        <v>74250</v>
      </c>
      <c r="H20" s="837">
        <v>74250</v>
      </c>
      <c r="I20" s="181">
        <v>0</v>
      </c>
      <c r="J20" s="182">
        <v>0</v>
      </c>
      <c r="K20" s="181">
        <v>0</v>
      </c>
      <c r="L20" s="746" t="s">
        <v>204</v>
      </c>
    </row>
    <row r="21" spans="1:12" ht="24.75" customHeight="1">
      <c r="A21" s="179" t="s">
        <v>210</v>
      </c>
      <c r="B21" s="181">
        <v>750</v>
      </c>
      <c r="C21" s="181">
        <v>75020</v>
      </c>
      <c r="D21" s="181">
        <v>6060</v>
      </c>
      <c r="E21" s="182" t="s">
        <v>756</v>
      </c>
      <c r="F21" s="837">
        <v>70000</v>
      </c>
      <c r="G21" s="837">
        <f t="shared" si="0"/>
        <v>70000</v>
      </c>
      <c r="H21" s="837">
        <v>70000</v>
      </c>
      <c r="I21" s="181">
        <v>0</v>
      </c>
      <c r="J21" s="182">
        <v>0</v>
      </c>
      <c r="K21" s="181"/>
      <c r="L21" s="746" t="s">
        <v>204</v>
      </c>
    </row>
    <row r="22" spans="1:12" ht="31.5" customHeight="1">
      <c r="A22" s="179" t="s">
        <v>223</v>
      </c>
      <c r="B22" s="181">
        <v>801</v>
      </c>
      <c r="C22" s="181">
        <v>80120</v>
      </c>
      <c r="D22" s="181">
        <v>6060</v>
      </c>
      <c r="E22" s="182" t="s">
        <v>228</v>
      </c>
      <c r="F22" s="837">
        <v>20000</v>
      </c>
      <c r="G22" s="837">
        <f t="shared" si="0"/>
        <v>20000</v>
      </c>
      <c r="H22" s="837">
        <v>20000</v>
      </c>
      <c r="I22" s="181">
        <v>0</v>
      </c>
      <c r="J22" s="182">
        <v>0</v>
      </c>
      <c r="K22" s="181">
        <v>0</v>
      </c>
      <c r="L22" s="797" t="s">
        <v>581</v>
      </c>
    </row>
    <row r="23" spans="1:12" ht="45.75" customHeight="1">
      <c r="A23" s="179" t="s">
        <v>224</v>
      </c>
      <c r="B23" s="181">
        <v>801</v>
      </c>
      <c r="C23" s="181">
        <v>80130</v>
      </c>
      <c r="D23" s="181">
        <v>6060</v>
      </c>
      <c r="E23" s="182" t="s">
        <v>780</v>
      </c>
      <c r="F23" s="837">
        <v>10000</v>
      </c>
      <c r="G23" s="837">
        <f>SUM(H23:K23)</f>
        <v>10000</v>
      </c>
      <c r="H23" s="837">
        <v>10000</v>
      </c>
      <c r="I23" s="181">
        <v>0</v>
      </c>
      <c r="J23" s="182">
        <v>0</v>
      </c>
      <c r="K23" s="181">
        <v>0</v>
      </c>
      <c r="L23" s="746" t="s">
        <v>781</v>
      </c>
    </row>
    <row r="24" spans="1:12" ht="49.5" customHeight="1">
      <c r="A24" s="179" t="s">
        <v>12</v>
      </c>
      <c r="B24" s="181">
        <v>852</v>
      </c>
      <c r="C24" s="181">
        <v>85202</v>
      </c>
      <c r="D24" s="181">
        <v>6060</v>
      </c>
      <c r="E24" s="182" t="s">
        <v>710</v>
      </c>
      <c r="F24" s="180">
        <v>4555</v>
      </c>
      <c r="G24" s="180">
        <f>SUM(H24:K24)</f>
        <v>4555</v>
      </c>
      <c r="H24" s="180">
        <v>4555</v>
      </c>
      <c r="I24" s="181">
        <v>0</v>
      </c>
      <c r="J24" s="182">
        <v>0</v>
      </c>
      <c r="K24" s="181">
        <v>0</v>
      </c>
      <c r="L24" s="746" t="s">
        <v>711</v>
      </c>
    </row>
    <row r="25" spans="1:12" ht="40.5" customHeight="1">
      <c r="A25" s="179" t="s">
        <v>709</v>
      </c>
      <c r="B25" s="181">
        <v>852</v>
      </c>
      <c r="C25" s="181">
        <v>85202</v>
      </c>
      <c r="D25" s="181">
        <v>6060</v>
      </c>
      <c r="E25" s="182" t="s">
        <v>791</v>
      </c>
      <c r="F25" s="180">
        <v>24990</v>
      </c>
      <c r="G25" s="180">
        <f>SUM(H25:K25)</f>
        <v>24990</v>
      </c>
      <c r="H25" s="180">
        <v>24990</v>
      </c>
      <c r="I25" s="181">
        <v>0</v>
      </c>
      <c r="J25" s="182">
        <v>0</v>
      </c>
      <c r="K25" s="181">
        <v>0</v>
      </c>
      <c r="L25" s="746" t="s">
        <v>790</v>
      </c>
    </row>
    <row r="26" spans="1:12" ht="24" customHeight="1">
      <c r="A26" s="179" t="s">
        <v>789</v>
      </c>
      <c r="B26" s="181">
        <v>852</v>
      </c>
      <c r="C26" s="181">
        <v>85202</v>
      </c>
      <c r="D26" s="181">
        <v>6050</v>
      </c>
      <c r="E26" s="181" t="s">
        <v>221</v>
      </c>
      <c r="F26" s="180">
        <f>126500+1738</f>
        <v>128238</v>
      </c>
      <c r="G26" s="180">
        <f>SUM(H26:K26)</f>
        <v>128238</v>
      </c>
      <c r="H26" s="180">
        <f>80000+46500+1738</f>
        <v>128238</v>
      </c>
      <c r="I26" s="181">
        <v>0</v>
      </c>
      <c r="J26" s="182">
        <v>0</v>
      </c>
      <c r="K26" s="181">
        <v>0</v>
      </c>
      <c r="L26" s="746" t="s">
        <v>582</v>
      </c>
    </row>
    <row r="27" spans="1:12" ht="22.5" customHeight="1" thickBot="1">
      <c r="A27" s="954" t="s">
        <v>17</v>
      </c>
      <c r="B27" s="955"/>
      <c r="C27" s="955"/>
      <c r="D27" s="955"/>
      <c r="E27" s="955"/>
      <c r="F27" s="183">
        <f aca="true" t="shared" si="1" ref="F27:K27">SUM(F13:F26)</f>
        <v>1034033</v>
      </c>
      <c r="G27" s="183">
        <f t="shared" si="1"/>
        <v>1034033</v>
      </c>
      <c r="H27" s="183">
        <f t="shared" si="1"/>
        <v>1034033</v>
      </c>
      <c r="I27" s="183">
        <f t="shared" si="1"/>
        <v>0</v>
      </c>
      <c r="J27" s="183">
        <f t="shared" si="1"/>
        <v>0</v>
      </c>
      <c r="K27" s="183">
        <f t="shared" si="1"/>
        <v>0</v>
      </c>
      <c r="L27" s="184" t="s">
        <v>629</v>
      </c>
    </row>
    <row r="29" ht="12.75">
      <c r="A29" s="1" t="s">
        <v>653</v>
      </c>
    </row>
    <row r="30" ht="12.75">
      <c r="A30" s="1" t="s">
        <v>650</v>
      </c>
    </row>
    <row r="31" ht="12.75">
      <c r="A31" s="1" t="s">
        <v>651</v>
      </c>
    </row>
    <row r="32" ht="12.75">
      <c r="A32" s="1" t="s">
        <v>652</v>
      </c>
    </row>
    <row r="34" ht="12.75">
      <c r="A34" s="54" t="s">
        <v>48</v>
      </c>
    </row>
  </sheetData>
  <mergeCells count="16">
    <mergeCell ref="A27:E27"/>
    <mergeCell ref="A5:L5"/>
    <mergeCell ref="A7:A11"/>
    <mergeCell ref="B7:B11"/>
    <mergeCell ref="C7:C11"/>
    <mergeCell ref="E7:E11"/>
    <mergeCell ref="G7:K7"/>
    <mergeCell ref="L7:L11"/>
    <mergeCell ref="G8:G11"/>
    <mergeCell ref="D7:D11"/>
    <mergeCell ref="F7:F11"/>
    <mergeCell ref="H8:K8"/>
    <mergeCell ref="H9:H11"/>
    <mergeCell ref="I9:I11"/>
    <mergeCell ref="J9:J11"/>
    <mergeCell ref="K9:K11"/>
  </mergeCells>
  <printOptions horizontalCentered="1"/>
  <pageMargins left="0.2" right="0.39" top="0.25" bottom="0.22" header="0.17" footer="0.22"/>
  <pageSetup horizontalDpi="600" verticalDpi="600" orientation="landscape" paperSize="9" scale="79" r:id="rId1"/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75" zoomScaleNormal="75" workbookViewId="0" topLeftCell="D1">
      <selection activeCell="F16" sqref="F1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625" style="1" customWidth="1"/>
    <col min="5" max="5" width="33.00390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10.625" style="1" customWidth="1"/>
    <col min="13" max="13" width="11.625" style="1" customWidth="1"/>
    <col min="14" max="14" width="16.75390625" style="1" customWidth="1"/>
    <col min="15" max="16384" width="9.125" style="1" customWidth="1"/>
  </cols>
  <sheetData>
    <row r="1" spans="13:14" ht="12.75">
      <c r="M1" s="6" t="s">
        <v>339</v>
      </c>
      <c r="N1" s="6"/>
    </row>
    <row r="2" spans="13:14" ht="12.75">
      <c r="M2" s="6" t="s">
        <v>340</v>
      </c>
      <c r="N2" s="6"/>
    </row>
    <row r="3" spans="13:14" ht="12.75">
      <c r="M3" s="6" t="s">
        <v>341</v>
      </c>
      <c r="N3" s="6"/>
    </row>
    <row r="4" spans="13:14" ht="12.75">
      <c r="M4" s="6" t="s">
        <v>730</v>
      </c>
      <c r="N4" s="6"/>
    </row>
    <row r="6" spans="1:14" ht="18">
      <c r="A6" s="956" t="s">
        <v>659</v>
      </c>
      <c r="B6" s="956"/>
      <c r="C6" s="956"/>
      <c r="D6" s="956"/>
      <c r="E6" s="956"/>
      <c r="F6" s="956"/>
      <c r="G6" s="956"/>
      <c r="H6" s="956"/>
      <c r="I6" s="956"/>
      <c r="J6" s="956"/>
      <c r="K6" s="956"/>
      <c r="L6" s="956"/>
      <c r="M6" s="956"/>
      <c r="N6" s="956"/>
    </row>
    <row r="7" spans="1:14" ht="10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9" t="s">
        <v>624</v>
      </c>
    </row>
    <row r="8" spans="1:14" s="37" customFormat="1" ht="19.5" customHeight="1">
      <c r="A8" s="960" t="s">
        <v>643</v>
      </c>
      <c r="B8" s="960" t="s">
        <v>586</v>
      </c>
      <c r="C8" s="960" t="s">
        <v>623</v>
      </c>
      <c r="D8" s="960" t="s">
        <v>20</v>
      </c>
      <c r="E8" s="953" t="s">
        <v>6</v>
      </c>
      <c r="F8" s="953" t="s">
        <v>18</v>
      </c>
      <c r="G8" s="953" t="s">
        <v>658</v>
      </c>
      <c r="H8" s="953"/>
      <c r="I8" s="953"/>
      <c r="J8" s="953"/>
      <c r="K8" s="953"/>
      <c r="L8" s="953"/>
      <c r="M8" s="953"/>
      <c r="N8" s="953" t="s">
        <v>21</v>
      </c>
    </row>
    <row r="9" spans="1:14" s="37" customFormat="1" ht="19.5" customHeight="1">
      <c r="A9" s="960"/>
      <c r="B9" s="960"/>
      <c r="C9" s="960"/>
      <c r="D9" s="960"/>
      <c r="E9" s="953"/>
      <c r="F9" s="953"/>
      <c r="G9" s="953" t="s">
        <v>42</v>
      </c>
      <c r="H9" s="953" t="s">
        <v>44</v>
      </c>
      <c r="I9" s="953"/>
      <c r="J9" s="953"/>
      <c r="K9" s="953"/>
      <c r="L9" s="953" t="s">
        <v>639</v>
      </c>
      <c r="M9" s="953" t="s">
        <v>641</v>
      </c>
      <c r="N9" s="953"/>
    </row>
    <row r="10" spans="1:14" s="37" customFormat="1" ht="29.25" customHeight="1">
      <c r="A10" s="960"/>
      <c r="B10" s="960"/>
      <c r="C10" s="960"/>
      <c r="D10" s="960"/>
      <c r="E10" s="953"/>
      <c r="F10" s="953"/>
      <c r="G10" s="953"/>
      <c r="H10" s="953" t="s">
        <v>22</v>
      </c>
      <c r="I10" s="953" t="s">
        <v>4</v>
      </c>
      <c r="J10" s="953" t="s">
        <v>49</v>
      </c>
      <c r="K10" s="953" t="s">
        <v>5</v>
      </c>
      <c r="L10" s="953"/>
      <c r="M10" s="953"/>
      <c r="N10" s="953"/>
    </row>
    <row r="11" spans="1:14" s="37" customFormat="1" ht="19.5" customHeight="1">
      <c r="A11" s="960"/>
      <c r="B11" s="960"/>
      <c r="C11" s="960"/>
      <c r="D11" s="960"/>
      <c r="E11" s="953"/>
      <c r="F11" s="953"/>
      <c r="G11" s="953"/>
      <c r="H11" s="953"/>
      <c r="I11" s="953"/>
      <c r="J11" s="953"/>
      <c r="K11" s="953"/>
      <c r="L11" s="953"/>
      <c r="M11" s="953"/>
      <c r="N11" s="953"/>
    </row>
    <row r="12" spans="1:14" s="37" customFormat="1" ht="19.5" customHeight="1">
      <c r="A12" s="960"/>
      <c r="B12" s="960"/>
      <c r="C12" s="960"/>
      <c r="D12" s="960"/>
      <c r="E12" s="953"/>
      <c r="F12" s="953"/>
      <c r="G12" s="953"/>
      <c r="H12" s="953"/>
      <c r="I12" s="953"/>
      <c r="J12" s="953"/>
      <c r="K12" s="953"/>
      <c r="L12" s="953"/>
      <c r="M12" s="953"/>
      <c r="N12" s="953"/>
    </row>
    <row r="13" spans="1:14" ht="7.5" customHeight="1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">
        <v>11</v>
      </c>
      <c r="L13" s="17">
        <v>12</v>
      </c>
      <c r="M13" s="17">
        <v>13</v>
      </c>
      <c r="N13" s="17">
        <v>14</v>
      </c>
    </row>
    <row r="14" spans="1:14" ht="40.5" customHeight="1" hidden="1">
      <c r="A14" s="164" t="s">
        <v>596</v>
      </c>
      <c r="B14" s="161">
        <v>600</v>
      </c>
      <c r="C14" s="19">
        <v>60014</v>
      </c>
      <c r="D14" s="19">
        <v>6050</v>
      </c>
      <c r="E14" s="156" t="s">
        <v>198</v>
      </c>
      <c r="F14" s="159">
        <v>3100000</v>
      </c>
      <c r="G14" s="159">
        <f aca="true" t="shared" si="0" ref="G14:G22">SUM(H14:K14)</f>
        <v>0</v>
      </c>
      <c r="H14" s="159">
        <v>0</v>
      </c>
      <c r="I14" s="159">
        <v>0</v>
      </c>
      <c r="J14" s="160"/>
      <c r="K14" s="159">
        <v>0</v>
      </c>
      <c r="L14" s="159">
        <v>0</v>
      </c>
      <c r="M14" s="159">
        <v>80000</v>
      </c>
      <c r="N14" s="158" t="s">
        <v>580</v>
      </c>
    </row>
    <row r="15" spans="1:14" ht="63.75" hidden="1">
      <c r="A15" s="163" t="s">
        <v>597</v>
      </c>
      <c r="B15" s="161">
        <v>600</v>
      </c>
      <c r="C15" s="19">
        <v>60014</v>
      </c>
      <c r="D15" s="19">
        <v>6050</v>
      </c>
      <c r="E15" s="156" t="s">
        <v>458</v>
      </c>
      <c r="F15" s="159">
        <v>3080000</v>
      </c>
      <c r="G15" s="159">
        <f t="shared" si="0"/>
        <v>0</v>
      </c>
      <c r="H15" s="159">
        <v>0</v>
      </c>
      <c r="I15" s="159">
        <v>0</v>
      </c>
      <c r="J15" s="160"/>
      <c r="K15" s="159">
        <v>0</v>
      </c>
      <c r="L15" s="159">
        <v>80000</v>
      </c>
      <c r="M15" s="159">
        <v>1000000</v>
      </c>
      <c r="N15" s="158" t="s">
        <v>580</v>
      </c>
    </row>
    <row r="16" spans="1:14" ht="51">
      <c r="A16" s="164" t="s">
        <v>595</v>
      </c>
      <c r="B16" s="161">
        <v>600</v>
      </c>
      <c r="C16" s="19">
        <v>60014</v>
      </c>
      <c r="D16" s="19">
        <v>6050</v>
      </c>
      <c r="E16" s="156" t="s">
        <v>199</v>
      </c>
      <c r="F16" s="159">
        <v>3470000</v>
      </c>
      <c r="G16" s="159">
        <f t="shared" si="0"/>
        <v>0</v>
      </c>
      <c r="H16" s="159">
        <v>0</v>
      </c>
      <c r="I16" s="159">
        <v>0</v>
      </c>
      <c r="J16" s="160"/>
      <c r="K16" s="159">
        <v>0</v>
      </c>
      <c r="L16" s="159">
        <v>0</v>
      </c>
      <c r="M16" s="159">
        <v>1000000</v>
      </c>
      <c r="N16" s="158" t="s">
        <v>580</v>
      </c>
    </row>
    <row r="17" spans="1:14" ht="38.25" hidden="1">
      <c r="A17" s="163" t="s">
        <v>595</v>
      </c>
      <c r="B17" s="161">
        <v>600</v>
      </c>
      <c r="C17" s="19">
        <v>60014</v>
      </c>
      <c r="D17" s="19">
        <v>6050</v>
      </c>
      <c r="E17" s="156" t="s">
        <v>200</v>
      </c>
      <c r="F17" s="159">
        <v>3700000</v>
      </c>
      <c r="G17" s="159">
        <f t="shared" si="0"/>
        <v>0</v>
      </c>
      <c r="H17" s="159">
        <v>0</v>
      </c>
      <c r="I17" s="159">
        <v>0</v>
      </c>
      <c r="J17" s="160"/>
      <c r="K17" s="159">
        <v>0</v>
      </c>
      <c r="L17" s="159">
        <v>0</v>
      </c>
      <c r="M17" s="159">
        <v>64000</v>
      </c>
      <c r="N17" s="158" t="s">
        <v>580</v>
      </c>
    </row>
    <row r="18" spans="1:14" ht="25.5" hidden="1">
      <c r="A18" s="164" t="s">
        <v>596</v>
      </c>
      <c r="B18" s="161">
        <v>600</v>
      </c>
      <c r="C18" s="19">
        <v>60014</v>
      </c>
      <c r="D18" s="19">
        <v>6050</v>
      </c>
      <c r="E18" s="156" t="s">
        <v>201</v>
      </c>
      <c r="F18" s="159">
        <v>1200000</v>
      </c>
      <c r="G18" s="159">
        <f t="shared" si="0"/>
        <v>0</v>
      </c>
      <c r="H18" s="159">
        <v>0</v>
      </c>
      <c r="I18" s="159">
        <v>0</v>
      </c>
      <c r="J18" s="160"/>
      <c r="K18" s="159">
        <v>0</v>
      </c>
      <c r="L18" s="159">
        <v>0</v>
      </c>
      <c r="M18" s="159">
        <v>300000</v>
      </c>
      <c r="N18" s="158" t="s">
        <v>580</v>
      </c>
    </row>
    <row r="19" spans="1:14" ht="38.25" hidden="1">
      <c r="A19" s="163" t="s">
        <v>597</v>
      </c>
      <c r="B19" s="161">
        <v>600</v>
      </c>
      <c r="C19" s="19">
        <v>60014</v>
      </c>
      <c r="D19" s="19">
        <v>6050</v>
      </c>
      <c r="E19" s="156" t="s">
        <v>202</v>
      </c>
      <c r="F19" s="159">
        <v>14000000</v>
      </c>
      <c r="G19" s="159">
        <f t="shared" si="0"/>
        <v>45000</v>
      </c>
      <c r="H19" s="159">
        <v>45000</v>
      </c>
      <c r="I19" s="159">
        <v>0</v>
      </c>
      <c r="J19" s="160"/>
      <c r="K19" s="159">
        <v>0</v>
      </c>
      <c r="L19" s="159">
        <v>1000000</v>
      </c>
      <c r="M19" s="159">
        <v>6350000</v>
      </c>
      <c r="N19" s="158" t="s">
        <v>580</v>
      </c>
    </row>
    <row r="20" spans="1:14" ht="38.25" hidden="1">
      <c r="A20" s="163" t="s">
        <v>595</v>
      </c>
      <c r="B20" s="161">
        <v>750</v>
      </c>
      <c r="C20" s="19">
        <v>75020</v>
      </c>
      <c r="D20" s="19">
        <v>6050</v>
      </c>
      <c r="E20" s="156" t="s">
        <v>203</v>
      </c>
      <c r="F20" s="159">
        <v>1566000</v>
      </c>
      <c r="G20" s="159">
        <f t="shared" si="0"/>
        <v>0</v>
      </c>
      <c r="H20" s="159">
        <v>0</v>
      </c>
      <c r="I20" s="159">
        <v>0</v>
      </c>
      <c r="J20" s="160"/>
      <c r="K20" s="159">
        <v>0</v>
      </c>
      <c r="L20" s="159">
        <v>700000</v>
      </c>
      <c r="M20" s="159">
        <v>866000</v>
      </c>
      <c r="N20" s="158" t="s">
        <v>204</v>
      </c>
    </row>
    <row r="21" spans="1:14" ht="51" hidden="1">
      <c r="A21" s="164" t="s">
        <v>602</v>
      </c>
      <c r="B21" s="161">
        <v>801</v>
      </c>
      <c r="C21" s="19">
        <v>80130</v>
      </c>
      <c r="D21" s="153">
        <v>6050</v>
      </c>
      <c r="E21" s="154" t="s">
        <v>205</v>
      </c>
      <c r="F21" s="159">
        <v>13500</v>
      </c>
      <c r="G21" s="159">
        <f t="shared" si="0"/>
        <v>13500</v>
      </c>
      <c r="H21" s="159">
        <v>13500</v>
      </c>
      <c r="I21" s="159">
        <v>0</v>
      </c>
      <c r="J21" s="160"/>
      <c r="K21" s="159">
        <v>0</v>
      </c>
      <c r="L21" s="159">
        <v>0</v>
      </c>
      <c r="M21" s="159">
        <v>0</v>
      </c>
      <c r="N21" s="158" t="s">
        <v>204</v>
      </c>
    </row>
    <row r="22" spans="1:14" ht="38.25" hidden="1">
      <c r="A22" s="152" t="s">
        <v>210</v>
      </c>
      <c r="B22" s="162">
        <v>852</v>
      </c>
      <c r="C22" s="155">
        <v>85201</v>
      </c>
      <c r="D22" s="155">
        <v>6050</v>
      </c>
      <c r="E22" s="157" t="s">
        <v>206</v>
      </c>
      <c r="F22" s="159">
        <v>200000</v>
      </c>
      <c r="G22" s="159">
        <f t="shared" si="0"/>
        <v>0</v>
      </c>
      <c r="H22" s="159">
        <v>0</v>
      </c>
      <c r="I22" s="159">
        <v>0</v>
      </c>
      <c r="J22" s="160"/>
      <c r="K22" s="159">
        <v>0</v>
      </c>
      <c r="L22" s="159">
        <v>0</v>
      </c>
      <c r="M22" s="159">
        <v>0</v>
      </c>
      <c r="N22" s="18" t="s">
        <v>207</v>
      </c>
    </row>
    <row r="23" spans="1:14" ht="22.5" customHeight="1">
      <c r="A23" s="963" t="s">
        <v>17</v>
      </c>
      <c r="B23" s="912"/>
      <c r="C23" s="912"/>
      <c r="D23" s="912"/>
      <c r="E23" s="913"/>
      <c r="F23" s="159">
        <f aca="true" t="shared" si="1" ref="F23:M23">F16</f>
        <v>3470000</v>
      </c>
      <c r="G23" s="159">
        <f t="shared" si="1"/>
        <v>0</v>
      </c>
      <c r="H23" s="159">
        <f t="shared" si="1"/>
        <v>0</v>
      </c>
      <c r="I23" s="159">
        <f t="shared" si="1"/>
        <v>0</v>
      </c>
      <c r="J23" s="159">
        <f t="shared" si="1"/>
        <v>0</v>
      </c>
      <c r="K23" s="159">
        <f t="shared" si="1"/>
        <v>0</v>
      </c>
      <c r="L23" s="159">
        <f t="shared" si="1"/>
        <v>0</v>
      </c>
      <c r="M23" s="159">
        <f t="shared" si="1"/>
        <v>1000000</v>
      </c>
      <c r="N23" s="50" t="s">
        <v>629</v>
      </c>
    </row>
    <row r="30" ht="12.75">
      <c r="A30" s="54"/>
    </row>
  </sheetData>
  <mergeCells count="18">
    <mergeCell ref="A6:N6"/>
    <mergeCell ref="A8:A12"/>
    <mergeCell ref="B8:B12"/>
    <mergeCell ref="C8:C12"/>
    <mergeCell ref="E8:E12"/>
    <mergeCell ref="G8:M8"/>
    <mergeCell ref="N8:N12"/>
    <mergeCell ref="G9:G12"/>
    <mergeCell ref="F8:F12"/>
    <mergeCell ref="M9:M12"/>
    <mergeCell ref="L9:L12"/>
    <mergeCell ref="A23:E23"/>
    <mergeCell ref="H9:K9"/>
    <mergeCell ref="H10:H12"/>
    <mergeCell ref="I10:I12"/>
    <mergeCell ref="J10:J12"/>
    <mergeCell ref="K10:K12"/>
    <mergeCell ref="D8:D12"/>
  </mergeCells>
  <printOptions horizontalCentered="1"/>
  <pageMargins left="0.2" right="0.22" top="0.24" bottom="0.19" header="0.24" footer="0.19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6"/>
  <sheetViews>
    <sheetView zoomScale="90" zoomScaleNormal="90" zoomScaleSheetLayoutView="75" workbookViewId="0" topLeftCell="A4">
      <pane ySplit="9" topLeftCell="BM129" activePane="bottomLeft" state="frozen"/>
      <selection pane="topLeft" activeCell="A4" sqref="A4"/>
      <selection pane="bottomLeft" activeCell="H131" sqref="H131"/>
    </sheetView>
  </sheetViews>
  <sheetFormatPr defaultColWidth="9.00390625" defaultRowHeight="24" customHeight="1"/>
  <cols>
    <col min="1" max="1" width="3.625" style="11" bestFit="1" customWidth="1"/>
    <col min="2" max="2" width="19.875" style="11" customWidth="1"/>
    <col min="3" max="3" width="13.00390625" style="11" customWidth="1"/>
    <col min="4" max="4" width="10.625" style="11" customWidth="1"/>
    <col min="5" max="5" width="12.00390625" style="11" customWidth="1"/>
    <col min="6" max="6" width="9.125" style="11" customWidth="1"/>
    <col min="7" max="7" width="9.375" style="11" customWidth="1"/>
    <col min="8" max="8" width="8.75390625" style="11" bestFit="1" customWidth="1"/>
    <col min="9" max="9" width="8.75390625" style="11" customWidth="1"/>
    <col min="10" max="11" width="7.75390625" style="11" customWidth="1"/>
    <col min="12" max="12" width="9.75390625" style="11" customWidth="1"/>
    <col min="13" max="13" width="11.75390625" style="11" customWidth="1"/>
    <col min="14" max="14" width="12.375" style="11" customWidth="1"/>
    <col min="15" max="15" width="8.25390625" style="11" customWidth="1"/>
    <col min="16" max="16" width="8.125" style="11" customWidth="1"/>
    <col min="17" max="17" width="8.75390625" style="11" customWidth="1"/>
    <col min="18" max="16384" width="10.25390625" style="11" customWidth="1"/>
  </cols>
  <sheetData>
    <row r="1" ht="12.75" customHeight="1">
      <c r="P1" s="720" t="s">
        <v>548</v>
      </c>
    </row>
    <row r="2" ht="12.75" customHeight="1">
      <c r="P2" s="720" t="s">
        <v>549</v>
      </c>
    </row>
    <row r="3" ht="12.75" customHeight="1">
      <c r="P3" s="720" t="s">
        <v>216</v>
      </c>
    </row>
    <row r="4" ht="12.75" customHeight="1">
      <c r="P4" s="720" t="s">
        <v>712</v>
      </c>
    </row>
    <row r="5" spans="1:17" ht="24" customHeight="1">
      <c r="A5" s="999" t="s">
        <v>7</v>
      </c>
      <c r="B5" s="999"/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</row>
    <row r="6" ht="10.5" customHeight="1" thickBot="1"/>
    <row r="7" spans="1:17" ht="13.5" customHeight="1">
      <c r="A7" s="980" t="s">
        <v>643</v>
      </c>
      <c r="B7" s="983" t="s">
        <v>660</v>
      </c>
      <c r="C7" s="986" t="s">
        <v>661</v>
      </c>
      <c r="D7" s="986" t="s">
        <v>45</v>
      </c>
      <c r="E7" s="986" t="s">
        <v>13</v>
      </c>
      <c r="F7" s="998" t="s">
        <v>590</v>
      </c>
      <c r="G7" s="998"/>
      <c r="H7" s="998" t="s">
        <v>658</v>
      </c>
      <c r="I7" s="998"/>
      <c r="J7" s="998"/>
      <c r="K7" s="998"/>
      <c r="L7" s="998"/>
      <c r="M7" s="998"/>
      <c r="N7" s="998"/>
      <c r="O7" s="998"/>
      <c r="P7" s="998"/>
      <c r="Q7" s="1007"/>
    </row>
    <row r="8" spans="1:17" ht="13.5" customHeight="1">
      <c r="A8" s="981"/>
      <c r="B8" s="984"/>
      <c r="C8" s="987"/>
      <c r="D8" s="987"/>
      <c r="E8" s="987"/>
      <c r="F8" s="997" t="s">
        <v>9</v>
      </c>
      <c r="G8" s="997" t="s">
        <v>10</v>
      </c>
      <c r="H8" s="995" t="s">
        <v>654</v>
      </c>
      <c r="I8" s="995"/>
      <c r="J8" s="995"/>
      <c r="K8" s="995"/>
      <c r="L8" s="995"/>
      <c r="M8" s="995"/>
      <c r="N8" s="995"/>
      <c r="O8" s="995"/>
      <c r="P8" s="995"/>
      <c r="Q8" s="996"/>
    </row>
    <row r="9" spans="1:17" ht="10.5" customHeight="1">
      <c r="A9" s="981"/>
      <c r="B9" s="984"/>
      <c r="C9" s="987"/>
      <c r="D9" s="987"/>
      <c r="E9" s="987"/>
      <c r="F9" s="997"/>
      <c r="G9" s="997"/>
      <c r="H9" s="997" t="s">
        <v>663</v>
      </c>
      <c r="I9" s="995" t="s">
        <v>664</v>
      </c>
      <c r="J9" s="995"/>
      <c r="K9" s="995"/>
      <c r="L9" s="995"/>
      <c r="M9" s="995"/>
      <c r="N9" s="995"/>
      <c r="O9" s="995"/>
      <c r="P9" s="995"/>
      <c r="Q9" s="996"/>
    </row>
    <row r="10" spans="1:17" ht="15" customHeight="1">
      <c r="A10" s="981"/>
      <c r="B10" s="984"/>
      <c r="C10" s="987"/>
      <c r="D10" s="987"/>
      <c r="E10" s="987"/>
      <c r="F10" s="997"/>
      <c r="G10" s="997"/>
      <c r="H10" s="997"/>
      <c r="I10" s="995" t="s">
        <v>665</v>
      </c>
      <c r="J10" s="995"/>
      <c r="K10" s="995"/>
      <c r="L10" s="995"/>
      <c r="M10" s="995" t="s">
        <v>662</v>
      </c>
      <c r="N10" s="995"/>
      <c r="O10" s="995"/>
      <c r="P10" s="995"/>
      <c r="Q10" s="996"/>
    </row>
    <row r="11" spans="1:17" ht="24" customHeight="1">
      <c r="A11" s="981"/>
      <c r="B11" s="984"/>
      <c r="C11" s="987"/>
      <c r="D11" s="987"/>
      <c r="E11" s="987"/>
      <c r="F11" s="997"/>
      <c r="G11" s="997"/>
      <c r="H11" s="997"/>
      <c r="I11" s="997" t="s">
        <v>666</v>
      </c>
      <c r="J11" s="995" t="s">
        <v>667</v>
      </c>
      <c r="K11" s="995"/>
      <c r="L11" s="995"/>
      <c r="M11" s="997" t="s">
        <v>668</v>
      </c>
      <c r="N11" s="997" t="s">
        <v>667</v>
      </c>
      <c r="O11" s="997"/>
      <c r="P11" s="997"/>
      <c r="Q11" s="1006"/>
    </row>
    <row r="12" spans="1:17" ht="24" customHeight="1">
      <c r="A12" s="982"/>
      <c r="B12" s="985"/>
      <c r="C12" s="988"/>
      <c r="D12" s="988"/>
      <c r="E12" s="988"/>
      <c r="F12" s="997"/>
      <c r="G12" s="997"/>
      <c r="H12" s="997"/>
      <c r="I12" s="997"/>
      <c r="J12" s="36" t="s">
        <v>11</v>
      </c>
      <c r="K12" s="36" t="s">
        <v>669</v>
      </c>
      <c r="L12" s="36" t="s">
        <v>670</v>
      </c>
      <c r="M12" s="997"/>
      <c r="N12" s="36" t="s">
        <v>671</v>
      </c>
      <c r="O12" s="36" t="s">
        <v>11</v>
      </c>
      <c r="P12" s="36" t="s">
        <v>669</v>
      </c>
      <c r="Q12" s="546" t="s">
        <v>672</v>
      </c>
    </row>
    <row r="13" spans="1:17" ht="9.75" customHeight="1" thickBot="1">
      <c r="A13" s="547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12">
        <v>16</v>
      </c>
      <c r="Q13" s="548">
        <v>17</v>
      </c>
    </row>
    <row r="14" spans="1:17" s="51" customFormat="1" ht="12.75" customHeight="1" hidden="1" thickBot="1">
      <c r="A14" s="718">
        <v>1</v>
      </c>
      <c r="B14" s="544" t="s">
        <v>673</v>
      </c>
      <c r="C14" s="1000" t="s">
        <v>629</v>
      </c>
      <c r="D14" s="1001"/>
      <c r="E14" s="545">
        <f aca="true" t="shared" si="0" ref="E14:Q14">E19+E28+E37+E46+E55+E64+E73+E82+E91+E100+E109</f>
        <v>46516000</v>
      </c>
      <c r="F14" s="545">
        <f t="shared" si="0"/>
        <v>7091000</v>
      </c>
      <c r="G14" s="545">
        <f t="shared" si="0"/>
        <v>39425000</v>
      </c>
      <c r="H14" s="545">
        <f t="shared" si="0"/>
        <v>338500</v>
      </c>
      <c r="I14" s="545">
        <f t="shared" si="0"/>
        <v>338500</v>
      </c>
      <c r="J14" s="545">
        <f t="shared" si="0"/>
        <v>0</v>
      </c>
      <c r="K14" s="545">
        <f t="shared" si="0"/>
        <v>0</v>
      </c>
      <c r="L14" s="545">
        <f t="shared" si="0"/>
        <v>338500</v>
      </c>
      <c r="M14" s="545">
        <f t="shared" si="0"/>
        <v>0</v>
      </c>
      <c r="N14" s="545">
        <f t="shared" si="0"/>
        <v>0</v>
      </c>
      <c r="O14" s="545">
        <f t="shared" si="0"/>
        <v>0</v>
      </c>
      <c r="P14" s="545">
        <f t="shared" si="0"/>
        <v>0</v>
      </c>
      <c r="Q14" s="549">
        <f t="shared" si="0"/>
        <v>0</v>
      </c>
    </row>
    <row r="15" spans="1:17" ht="11.25" customHeight="1" hidden="1">
      <c r="A15" s="967" t="s">
        <v>674</v>
      </c>
      <c r="B15" s="509" t="s">
        <v>675</v>
      </c>
      <c r="C15" s="609" t="s">
        <v>468</v>
      </c>
      <c r="D15" s="609"/>
      <c r="E15" s="609"/>
      <c r="F15" s="609"/>
      <c r="G15" s="609"/>
      <c r="H15" s="609"/>
      <c r="I15" s="609"/>
      <c r="J15" s="609"/>
      <c r="K15" s="609"/>
      <c r="L15" s="609"/>
      <c r="M15" s="502"/>
      <c r="N15" s="502"/>
      <c r="O15" s="502"/>
      <c r="P15" s="502"/>
      <c r="Q15" s="550"/>
    </row>
    <row r="16" spans="1:17" ht="11.25" customHeight="1" hidden="1">
      <c r="A16" s="968"/>
      <c r="B16" s="46" t="s">
        <v>676</v>
      </c>
      <c r="C16" s="501" t="s">
        <v>465</v>
      </c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50"/>
    </row>
    <row r="17" spans="1:17" ht="11.25" customHeight="1" hidden="1">
      <c r="A17" s="968"/>
      <c r="B17" s="46" t="s">
        <v>677</v>
      </c>
      <c r="C17" s="501" t="s">
        <v>466</v>
      </c>
      <c r="D17" s="502"/>
      <c r="E17" s="502"/>
      <c r="F17" s="502"/>
      <c r="G17" s="502"/>
      <c r="H17" s="502"/>
      <c r="I17" s="502"/>
      <c r="J17" s="502"/>
      <c r="K17" s="502"/>
      <c r="L17" s="502"/>
      <c r="M17" s="502"/>
      <c r="N17" s="502"/>
      <c r="O17" s="502"/>
      <c r="P17" s="502"/>
      <c r="Q17" s="550"/>
    </row>
    <row r="18" spans="1:17" ht="11.25" customHeight="1" hidden="1">
      <c r="A18" s="968"/>
      <c r="B18" s="46" t="s">
        <v>678</v>
      </c>
      <c r="C18" s="971" t="s">
        <v>467</v>
      </c>
      <c r="D18" s="972"/>
      <c r="E18" s="972"/>
      <c r="F18" s="972"/>
      <c r="G18" s="972"/>
      <c r="H18" s="972"/>
      <c r="I18" s="972"/>
      <c r="J18" s="972"/>
      <c r="K18" s="972"/>
      <c r="L18" s="972"/>
      <c r="M18" s="972"/>
      <c r="N18" s="972"/>
      <c r="O18" s="972"/>
      <c r="P18" s="972"/>
      <c r="Q18" s="973"/>
    </row>
    <row r="19" spans="1:17" ht="11.25" customHeight="1" hidden="1">
      <c r="A19" s="968"/>
      <c r="B19" s="47" t="s">
        <v>679</v>
      </c>
      <c r="C19" s="47"/>
      <c r="D19" s="694">
        <v>60014</v>
      </c>
      <c r="E19" s="515">
        <f>F19+G19</f>
        <v>7400000</v>
      </c>
      <c r="F19" s="515">
        <v>1110000</v>
      </c>
      <c r="G19" s="515">
        <v>6290000</v>
      </c>
      <c r="H19" s="515">
        <f aca="true" t="shared" si="1" ref="H19:Q19">H20</f>
        <v>195000</v>
      </c>
      <c r="I19" s="515">
        <f t="shared" si="1"/>
        <v>195000</v>
      </c>
      <c r="J19" s="515">
        <f t="shared" si="1"/>
        <v>0</v>
      </c>
      <c r="K19" s="515">
        <f t="shared" si="1"/>
        <v>0</v>
      </c>
      <c r="L19" s="515">
        <f t="shared" si="1"/>
        <v>195000</v>
      </c>
      <c r="M19" s="515">
        <f t="shared" si="1"/>
        <v>0</v>
      </c>
      <c r="N19" s="515">
        <f t="shared" si="1"/>
        <v>0</v>
      </c>
      <c r="O19" s="515">
        <f t="shared" si="1"/>
        <v>0</v>
      </c>
      <c r="P19" s="515">
        <f t="shared" si="1"/>
        <v>0</v>
      </c>
      <c r="Q19" s="551">
        <f t="shared" si="1"/>
        <v>0</v>
      </c>
    </row>
    <row r="20" spans="1:17" ht="11.25" customHeight="1" hidden="1">
      <c r="A20" s="968"/>
      <c r="B20" s="509" t="s">
        <v>25</v>
      </c>
      <c r="C20" s="989">
        <v>23</v>
      </c>
      <c r="D20" s="1023"/>
      <c r="E20" s="505">
        <f>SUM(F20:G20)</f>
        <v>1300000</v>
      </c>
      <c r="F20" s="505">
        <v>195000</v>
      </c>
      <c r="G20" s="505">
        <v>1105000</v>
      </c>
      <c r="H20" s="506">
        <f>I20+M20</f>
        <v>195000</v>
      </c>
      <c r="I20" s="506">
        <f>SUM(J20:L20)</f>
        <v>195000</v>
      </c>
      <c r="J20" s="506"/>
      <c r="K20" s="506"/>
      <c r="L20" s="506">
        <v>195000</v>
      </c>
      <c r="M20" s="506">
        <f>SUM(N20:Q20)</f>
        <v>0</v>
      </c>
      <c r="N20" s="506"/>
      <c r="O20" s="506"/>
      <c r="P20" s="506"/>
      <c r="Q20" s="552"/>
    </row>
    <row r="21" spans="1:17" ht="11.25" customHeight="1" hidden="1">
      <c r="A21" s="968"/>
      <c r="B21" s="46" t="s">
        <v>639</v>
      </c>
      <c r="C21" s="1024"/>
      <c r="D21" s="1025"/>
      <c r="E21" s="503">
        <f>SUM(F21:G21)</f>
        <v>1000000</v>
      </c>
      <c r="F21" s="503">
        <v>150000</v>
      </c>
      <c r="G21" s="503">
        <v>850000</v>
      </c>
      <c r="H21" s="504">
        <f>I21+M21</f>
        <v>0</v>
      </c>
      <c r="I21" s="504">
        <f>SUM(J21:L21)</f>
        <v>0</v>
      </c>
      <c r="J21" s="504"/>
      <c r="K21" s="504"/>
      <c r="L21" s="504"/>
      <c r="M21" s="504"/>
      <c r="N21" s="504"/>
      <c r="O21" s="504"/>
      <c r="P21" s="504"/>
      <c r="Q21" s="553"/>
    </row>
    <row r="22" spans="1:17" ht="11.25" customHeight="1" hidden="1">
      <c r="A22" s="968"/>
      <c r="B22" s="46" t="s">
        <v>641</v>
      </c>
      <c r="C22" s="1024"/>
      <c r="D22" s="1025"/>
      <c r="E22" s="503">
        <f>SUM(F22:G22)</f>
        <v>1700000</v>
      </c>
      <c r="F22" s="503">
        <v>255000</v>
      </c>
      <c r="G22" s="503">
        <v>1445000</v>
      </c>
      <c r="H22" s="504">
        <f>I22+M22</f>
        <v>0</v>
      </c>
      <c r="I22" s="504">
        <f>SUM(J22:L22)</f>
        <v>0</v>
      </c>
      <c r="J22" s="504"/>
      <c r="K22" s="504"/>
      <c r="L22" s="504"/>
      <c r="M22" s="504"/>
      <c r="N22" s="504"/>
      <c r="O22" s="504"/>
      <c r="P22" s="504"/>
      <c r="Q22" s="553"/>
    </row>
    <row r="23" spans="1:17" ht="11.25" customHeight="1" hidden="1" thickBot="1">
      <c r="A23" s="969"/>
      <c r="B23" s="507" t="s">
        <v>26</v>
      </c>
      <c r="C23" s="1026"/>
      <c r="D23" s="1027"/>
      <c r="E23" s="507"/>
      <c r="F23" s="508"/>
      <c r="G23" s="508"/>
      <c r="H23" s="510">
        <f>I23+M23</f>
        <v>0</v>
      </c>
      <c r="I23" s="510">
        <f>SUM(J23:L23)</f>
        <v>0</v>
      </c>
      <c r="J23" s="510"/>
      <c r="K23" s="510"/>
      <c r="L23" s="510"/>
      <c r="M23" s="510">
        <f>SUM(N23:Q23)</f>
        <v>0</v>
      </c>
      <c r="N23" s="510"/>
      <c r="O23" s="510"/>
      <c r="P23" s="510"/>
      <c r="Q23" s="554"/>
    </row>
    <row r="24" spans="1:17" ht="11.25" customHeight="1" hidden="1">
      <c r="A24" s="967" t="s">
        <v>680</v>
      </c>
      <c r="B24" s="509" t="s">
        <v>675</v>
      </c>
      <c r="C24" s="609" t="s">
        <v>470</v>
      </c>
      <c r="D24" s="523"/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/>
      <c r="P24" s="523"/>
      <c r="Q24" s="526"/>
    </row>
    <row r="25" spans="1:17" ht="11.25" customHeight="1" hidden="1">
      <c r="A25" s="968"/>
      <c r="B25" s="46" t="s">
        <v>676</v>
      </c>
      <c r="C25" s="501" t="s">
        <v>465</v>
      </c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8"/>
    </row>
    <row r="26" spans="1:17" ht="11.25" customHeight="1" hidden="1">
      <c r="A26" s="968"/>
      <c r="B26" s="46" t="s">
        <v>677</v>
      </c>
      <c r="C26" s="501" t="s">
        <v>466</v>
      </c>
      <c r="D26" s="525"/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525"/>
      <c r="P26" s="525"/>
      <c r="Q26" s="528"/>
    </row>
    <row r="27" spans="1:17" ht="11.25" customHeight="1" hidden="1">
      <c r="A27" s="968"/>
      <c r="B27" s="46" t="s">
        <v>678</v>
      </c>
      <c r="C27" s="974" t="s">
        <v>469</v>
      </c>
      <c r="D27" s="975"/>
      <c r="E27" s="975"/>
      <c r="F27" s="975"/>
      <c r="G27" s="975"/>
      <c r="H27" s="975"/>
      <c r="I27" s="975"/>
      <c r="J27" s="975"/>
      <c r="K27" s="975"/>
      <c r="L27" s="975"/>
      <c r="M27" s="975"/>
      <c r="N27" s="975"/>
      <c r="O27" s="975"/>
      <c r="P27" s="975"/>
      <c r="Q27" s="976"/>
    </row>
    <row r="28" spans="1:17" ht="11.25" customHeight="1" hidden="1">
      <c r="A28" s="968"/>
      <c r="B28" s="47" t="s">
        <v>679</v>
      </c>
      <c r="C28" s="47"/>
      <c r="D28" s="694">
        <v>60014</v>
      </c>
      <c r="E28" s="514">
        <f>F28+G28</f>
        <v>3100000</v>
      </c>
      <c r="F28" s="514">
        <v>465000</v>
      </c>
      <c r="G28" s="514">
        <v>2635000</v>
      </c>
      <c r="H28" s="514">
        <f aca="true" t="shared" si="2" ref="H28:Q28">H29</f>
        <v>0</v>
      </c>
      <c r="I28" s="514">
        <f t="shared" si="2"/>
        <v>0</v>
      </c>
      <c r="J28" s="514">
        <f t="shared" si="2"/>
        <v>0</v>
      </c>
      <c r="K28" s="514">
        <f t="shared" si="2"/>
        <v>0</v>
      </c>
      <c r="L28" s="514">
        <f t="shared" si="2"/>
        <v>0</v>
      </c>
      <c r="M28" s="514">
        <f t="shared" si="2"/>
        <v>0</v>
      </c>
      <c r="N28" s="514">
        <f t="shared" si="2"/>
        <v>0</v>
      </c>
      <c r="O28" s="514">
        <f t="shared" si="2"/>
        <v>0</v>
      </c>
      <c r="P28" s="514">
        <f t="shared" si="2"/>
        <v>0</v>
      </c>
      <c r="Q28" s="555">
        <f t="shared" si="2"/>
        <v>0</v>
      </c>
    </row>
    <row r="29" spans="1:17" ht="11.25" customHeight="1" hidden="1">
      <c r="A29" s="968"/>
      <c r="B29" s="509" t="s">
        <v>25</v>
      </c>
      <c r="C29" s="989">
        <v>23</v>
      </c>
      <c r="D29" s="990"/>
      <c r="E29" s="512">
        <f>F29+G29</f>
        <v>0</v>
      </c>
      <c r="F29" s="512">
        <v>0</v>
      </c>
      <c r="G29" s="512">
        <v>0</v>
      </c>
      <c r="H29" s="512">
        <v>0</v>
      </c>
      <c r="I29" s="512">
        <v>0</v>
      </c>
      <c r="J29" s="512"/>
      <c r="K29" s="512"/>
      <c r="L29" s="512"/>
      <c r="M29" s="512">
        <v>0</v>
      </c>
      <c r="N29" s="512"/>
      <c r="O29" s="512"/>
      <c r="P29" s="512"/>
      <c r="Q29" s="556"/>
    </row>
    <row r="30" spans="1:17" ht="11.25" customHeight="1" hidden="1">
      <c r="A30" s="968"/>
      <c r="B30" s="46" t="s">
        <v>639</v>
      </c>
      <c r="C30" s="991"/>
      <c r="D30" s="992"/>
      <c r="E30" s="512">
        <f>F30+G30</f>
        <v>0</v>
      </c>
      <c r="F30" s="513">
        <v>0</v>
      </c>
      <c r="G30" s="513">
        <v>0</v>
      </c>
      <c r="H30" s="513"/>
      <c r="I30" s="513"/>
      <c r="J30" s="513"/>
      <c r="K30" s="513"/>
      <c r="L30" s="513"/>
      <c r="M30" s="513"/>
      <c r="N30" s="513"/>
      <c r="O30" s="513"/>
      <c r="P30" s="513"/>
      <c r="Q30" s="557"/>
    </row>
    <row r="31" spans="1:17" ht="11.25" customHeight="1" hidden="1">
      <c r="A31" s="968"/>
      <c r="B31" s="46" t="s">
        <v>641</v>
      </c>
      <c r="C31" s="991"/>
      <c r="D31" s="992"/>
      <c r="E31" s="512">
        <f>F31+G31</f>
        <v>80000</v>
      </c>
      <c r="F31" s="513">
        <v>12000</v>
      </c>
      <c r="G31" s="513">
        <v>68000</v>
      </c>
      <c r="H31" s="513"/>
      <c r="I31" s="513"/>
      <c r="J31" s="513"/>
      <c r="K31" s="513"/>
      <c r="L31" s="513"/>
      <c r="M31" s="513"/>
      <c r="N31" s="513"/>
      <c r="O31" s="513"/>
      <c r="P31" s="513"/>
      <c r="Q31" s="557"/>
    </row>
    <row r="32" spans="1:17" ht="11.25" customHeight="1" hidden="1" thickBot="1">
      <c r="A32" s="969"/>
      <c r="B32" s="507" t="s">
        <v>26</v>
      </c>
      <c r="C32" s="993"/>
      <c r="D32" s="994"/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58"/>
    </row>
    <row r="33" spans="1:17" ht="11.25" customHeight="1" hidden="1">
      <c r="A33" s="977" t="s">
        <v>681</v>
      </c>
      <c r="B33" s="509" t="s">
        <v>675</v>
      </c>
      <c r="C33" s="609" t="s">
        <v>472</v>
      </c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523"/>
      <c r="Q33" s="526"/>
    </row>
    <row r="34" spans="1:17" ht="11.25" customHeight="1" hidden="1">
      <c r="A34" s="978"/>
      <c r="B34" s="46" t="s">
        <v>676</v>
      </c>
      <c r="C34" s="501" t="s">
        <v>465</v>
      </c>
      <c r="D34" s="525"/>
      <c r="E34" s="525"/>
      <c r="F34" s="525"/>
      <c r="G34" s="525"/>
      <c r="H34" s="525"/>
      <c r="I34" s="525"/>
      <c r="J34" s="525"/>
      <c r="K34" s="525"/>
      <c r="L34" s="525"/>
      <c r="M34" s="525"/>
      <c r="N34" s="525"/>
      <c r="O34" s="525"/>
      <c r="P34" s="525"/>
      <c r="Q34" s="528"/>
    </row>
    <row r="35" spans="1:17" ht="11.25" customHeight="1" hidden="1">
      <c r="A35" s="978"/>
      <c r="B35" s="46" t="s">
        <v>677</v>
      </c>
      <c r="C35" s="501" t="s">
        <v>466</v>
      </c>
      <c r="D35" s="525"/>
      <c r="E35" s="525"/>
      <c r="F35" s="525"/>
      <c r="G35" s="525"/>
      <c r="H35" s="525"/>
      <c r="I35" s="525"/>
      <c r="J35" s="525"/>
      <c r="K35" s="525"/>
      <c r="L35" s="525"/>
      <c r="M35" s="525"/>
      <c r="N35" s="525"/>
      <c r="O35" s="525"/>
      <c r="P35" s="525"/>
      <c r="Q35" s="528"/>
    </row>
    <row r="36" spans="1:17" ht="11.25" customHeight="1" hidden="1">
      <c r="A36" s="978"/>
      <c r="B36" s="532" t="s">
        <v>678</v>
      </c>
      <c r="C36" s="1014" t="s">
        <v>471</v>
      </c>
      <c r="D36" s="1015"/>
      <c r="E36" s="1015"/>
      <c r="F36" s="1015"/>
      <c r="G36" s="1015"/>
      <c r="H36" s="1015"/>
      <c r="I36" s="1015"/>
      <c r="J36" s="1015"/>
      <c r="K36" s="1015"/>
      <c r="L36" s="1015"/>
      <c r="M36" s="1015"/>
      <c r="N36" s="1015"/>
      <c r="O36" s="1015"/>
      <c r="P36" s="1015"/>
      <c r="Q36" s="1016"/>
    </row>
    <row r="37" spans="1:17" ht="11.25" customHeight="1" hidden="1">
      <c r="A37" s="978"/>
      <c r="B37" s="47" t="s">
        <v>679</v>
      </c>
      <c r="C37" s="521"/>
      <c r="D37" s="695">
        <v>60014</v>
      </c>
      <c r="E37" s="514">
        <f>F37+G37</f>
        <v>3080000</v>
      </c>
      <c r="F37" s="514">
        <v>462000</v>
      </c>
      <c r="G37" s="514">
        <v>2618000</v>
      </c>
      <c r="H37" s="514">
        <f aca="true" t="shared" si="3" ref="H37:Q37">H38</f>
        <v>0</v>
      </c>
      <c r="I37" s="514">
        <f t="shared" si="3"/>
        <v>0</v>
      </c>
      <c r="J37" s="514">
        <f t="shared" si="3"/>
        <v>0</v>
      </c>
      <c r="K37" s="514">
        <f t="shared" si="3"/>
        <v>0</v>
      </c>
      <c r="L37" s="514">
        <f t="shared" si="3"/>
        <v>0</v>
      </c>
      <c r="M37" s="514">
        <f t="shared" si="3"/>
        <v>0</v>
      </c>
      <c r="N37" s="514">
        <f t="shared" si="3"/>
        <v>0</v>
      </c>
      <c r="O37" s="514">
        <f t="shared" si="3"/>
        <v>0</v>
      </c>
      <c r="P37" s="514">
        <f t="shared" si="3"/>
        <v>0</v>
      </c>
      <c r="Q37" s="555">
        <f t="shared" si="3"/>
        <v>0</v>
      </c>
    </row>
    <row r="38" spans="1:17" ht="11.25" customHeight="1" hidden="1">
      <c r="A38" s="978"/>
      <c r="B38" s="509" t="s">
        <v>25</v>
      </c>
      <c r="C38" s="1008">
        <v>23</v>
      </c>
      <c r="D38" s="990"/>
      <c r="E38" s="618">
        <f>F38+G38</f>
        <v>0</v>
      </c>
      <c r="F38" s="618">
        <v>0</v>
      </c>
      <c r="G38" s="618">
        <v>0</v>
      </c>
      <c r="H38" s="618">
        <v>0</v>
      </c>
      <c r="I38" s="618">
        <v>0</v>
      </c>
      <c r="J38" s="618"/>
      <c r="K38" s="618"/>
      <c r="L38" s="618"/>
      <c r="M38" s="618">
        <v>0</v>
      </c>
      <c r="N38" s="618"/>
      <c r="O38" s="618"/>
      <c r="P38" s="618"/>
      <c r="Q38" s="619"/>
    </row>
    <row r="39" spans="1:17" ht="11.25" customHeight="1" hidden="1">
      <c r="A39" s="978"/>
      <c r="B39" s="46" t="s">
        <v>639</v>
      </c>
      <c r="C39" s="991"/>
      <c r="D39" s="992"/>
      <c r="E39" s="620">
        <f>F39+G39</f>
        <v>80000</v>
      </c>
      <c r="F39" s="620">
        <v>12000</v>
      </c>
      <c r="G39" s="620">
        <v>68000</v>
      </c>
      <c r="H39" s="620"/>
      <c r="I39" s="620"/>
      <c r="J39" s="620"/>
      <c r="K39" s="620"/>
      <c r="L39" s="620"/>
      <c r="M39" s="620"/>
      <c r="N39" s="620"/>
      <c r="O39" s="620"/>
      <c r="P39" s="620"/>
      <c r="Q39" s="621"/>
    </row>
    <row r="40" spans="1:17" ht="11.25" customHeight="1" hidden="1">
      <c r="A40" s="978"/>
      <c r="B40" s="46" t="s">
        <v>641</v>
      </c>
      <c r="C40" s="991"/>
      <c r="D40" s="992"/>
      <c r="E40" s="620">
        <f>F40+G40</f>
        <v>1000000</v>
      </c>
      <c r="F40" s="620">
        <v>150000</v>
      </c>
      <c r="G40" s="620">
        <v>850000</v>
      </c>
      <c r="H40" s="620"/>
      <c r="I40" s="620"/>
      <c r="J40" s="620"/>
      <c r="K40" s="620"/>
      <c r="L40" s="620"/>
      <c r="M40" s="620"/>
      <c r="N40" s="620"/>
      <c r="O40" s="620"/>
      <c r="P40" s="620"/>
      <c r="Q40" s="621"/>
    </row>
    <row r="41" spans="1:17" ht="11.25" customHeight="1" hidden="1" thickBot="1">
      <c r="A41" s="979"/>
      <c r="B41" s="507" t="s">
        <v>26</v>
      </c>
      <c r="C41" s="993"/>
      <c r="D41" s="994"/>
      <c r="E41" s="622"/>
      <c r="F41" s="622"/>
      <c r="G41" s="622"/>
      <c r="H41" s="622"/>
      <c r="I41" s="622"/>
      <c r="J41" s="622"/>
      <c r="K41" s="622"/>
      <c r="L41" s="622"/>
      <c r="M41" s="622"/>
      <c r="N41" s="622"/>
      <c r="O41" s="622"/>
      <c r="P41" s="622"/>
      <c r="Q41" s="623"/>
    </row>
    <row r="42" spans="1:17" ht="11.25" customHeight="1" hidden="1">
      <c r="A42" s="977" t="s">
        <v>446</v>
      </c>
      <c r="B42" s="509" t="s">
        <v>675</v>
      </c>
      <c r="C42" s="609" t="s">
        <v>479</v>
      </c>
      <c r="D42" s="523"/>
      <c r="E42" s="523"/>
      <c r="F42" s="523"/>
      <c r="G42" s="523"/>
      <c r="H42" s="523"/>
      <c r="I42" s="523"/>
      <c r="J42" s="523"/>
      <c r="K42" s="523"/>
      <c r="L42" s="523"/>
      <c r="M42" s="523"/>
      <c r="N42" s="523"/>
      <c r="O42" s="523"/>
      <c r="P42" s="523"/>
      <c r="Q42" s="526"/>
    </row>
    <row r="43" spans="1:17" ht="11.25" customHeight="1" hidden="1">
      <c r="A43" s="978"/>
      <c r="B43" s="46" t="s">
        <v>676</v>
      </c>
      <c r="C43" s="501" t="s">
        <v>465</v>
      </c>
      <c r="D43" s="525"/>
      <c r="E43" s="525"/>
      <c r="F43" s="525"/>
      <c r="G43" s="525"/>
      <c r="H43" s="525"/>
      <c r="I43" s="525"/>
      <c r="J43" s="525"/>
      <c r="K43" s="525"/>
      <c r="L43" s="525"/>
      <c r="M43" s="525"/>
      <c r="N43" s="525"/>
      <c r="O43" s="525"/>
      <c r="P43" s="525"/>
      <c r="Q43" s="528"/>
    </row>
    <row r="44" spans="1:17" ht="11.25" customHeight="1" hidden="1">
      <c r="A44" s="978"/>
      <c r="B44" s="46" t="s">
        <v>677</v>
      </c>
      <c r="C44" s="501" t="s">
        <v>466</v>
      </c>
      <c r="D44" s="525"/>
      <c r="E44" s="525"/>
      <c r="F44" s="525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8"/>
    </row>
    <row r="45" spans="1:17" ht="11.25" customHeight="1" hidden="1">
      <c r="A45" s="978"/>
      <c r="B45" s="46" t="s">
        <v>678</v>
      </c>
      <c r="C45" s="1017" t="s">
        <v>450</v>
      </c>
      <c r="D45" s="1018"/>
      <c r="E45" s="1018"/>
      <c r="F45" s="1018"/>
      <c r="G45" s="1018"/>
      <c r="H45" s="1018"/>
      <c r="I45" s="1018"/>
      <c r="J45" s="1018"/>
      <c r="K45" s="1018"/>
      <c r="L45" s="1018"/>
      <c r="M45" s="1018"/>
      <c r="N45" s="1018"/>
      <c r="O45" s="1018"/>
      <c r="P45" s="1018"/>
      <c r="Q45" s="1019"/>
    </row>
    <row r="46" spans="1:17" ht="11.25" customHeight="1" hidden="1">
      <c r="A46" s="978"/>
      <c r="B46" s="47" t="s">
        <v>679</v>
      </c>
      <c r="C46" s="521"/>
      <c r="D46" s="696">
        <v>60014</v>
      </c>
      <c r="E46" s="514">
        <f>F46+G46</f>
        <v>3470000</v>
      </c>
      <c r="F46" s="514">
        <v>580000</v>
      </c>
      <c r="G46" s="514">
        <v>2890000</v>
      </c>
      <c r="H46" s="514">
        <f aca="true" t="shared" si="4" ref="H46:Q46">H47</f>
        <v>70000</v>
      </c>
      <c r="I46" s="514">
        <f t="shared" si="4"/>
        <v>70000</v>
      </c>
      <c r="J46" s="514">
        <f t="shared" si="4"/>
        <v>0</v>
      </c>
      <c r="K46" s="514">
        <f t="shared" si="4"/>
        <v>0</v>
      </c>
      <c r="L46" s="514">
        <f t="shared" si="4"/>
        <v>70000</v>
      </c>
      <c r="M46" s="514">
        <f t="shared" si="4"/>
        <v>0</v>
      </c>
      <c r="N46" s="514">
        <f t="shared" si="4"/>
        <v>0</v>
      </c>
      <c r="O46" s="514">
        <f t="shared" si="4"/>
        <v>0</v>
      </c>
      <c r="P46" s="514">
        <f t="shared" si="4"/>
        <v>0</v>
      </c>
      <c r="Q46" s="555">
        <f t="shared" si="4"/>
        <v>0</v>
      </c>
    </row>
    <row r="47" spans="1:17" ht="11.25" customHeight="1" hidden="1">
      <c r="A47" s="978"/>
      <c r="B47" s="509" t="s">
        <v>25</v>
      </c>
      <c r="C47" s="1008">
        <v>23</v>
      </c>
      <c r="D47" s="1009"/>
      <c r="E47" s="614">
        <f>F47+G47</f>
        <v>70000</v>
      </c>
      <c r="F47" s="614">
        <v>70000</v>
      </c>
      <c r="G47" s="614">
        <v>0</v>
      </c>
      <c r="H47" s="614">
        <f>I47+M47</f>
        <v>70000</v>
      </c>
      <c r="I47" s="614">
        <f>SUM(J47:L47)</f>
        <v>70000</v>
      </c>
      <c r="J47" s="614"/>
      <c r="K47" s="614"/>
      <c r="L47" s="614">
        <v>70000</v>
      </c>
      <c r="M47" s="614">
        <f>SUM(N47:Q47)</f>
        <v>0</v>
      </c>
      <c r="N47" s="614">
        <v>0</v>
      </c>
      <c r="O47" s="614">
        <v>0</v>
      </c>
      <c r="P47" s="614">
        <v>0</v>
      </c>
      <c r="Q47" s="615">
        <v>0</v>
      </c>
    </row>
    <row r="48" spans="1:17" ht="11.25" customHeight="1" hidden="1">
      <c r="A48" s="978"/>
      <c r="B48" s="46" t="s">
        <v>639</v>
      </c>
      <c r="C48" s="1010"/>
      <c r="D48" s="1011"/>
      <c r="E48" s="620">
        <f>F48+G48</f>
        <v>0</v>
      </c>
      <c r="F48" s="620">
        <v>0</v>
      </c>
      <c r="G48" s="620">
        <v>0</v>
      </c>
      <c r="H48" s="620">
        <f>I48+M48</f>
        <v>0</v>
      </c>
      <c r="I48" s="620">
        <f>SUM(J48:L48)</f>
        <v>0</v>
      </c>
      <c r="J48" s="620"/>
      <c r="K48" s="620"/>
      <c r="L48" s="620"/>
      <c r="M48" s="620">
        <f>SUM(N48:Q48)</f>
        <v>0</v>
      </c>
      <c r="N48" s="620"/>
      <c r="O48" s="620"/>
      <c r="P48" s="620"/>
      <c r="Q48" s="621"/>
    </row>
    <row r="49" spans="1:17" ht="11.25" customHeight="1" hidden="1">
      <c r="A49" s="978"/>
      <c r="B49" s="46" t="s">
        <v>641</v>
      </c>
      <c r="C49" s="1010"/>
      <c r="D49" s="1011"/>
      <c r="E49" s="620">
        <f>F49+G49</f>
        <v>1000000</v>
      </c>
      <c r="F49" s="620">
        <v>150000</v>
      </c>
      <c r="G49" s="620">
        <v>850000</v>
      </c>
      <c r="H49" s="620">
        <f>I49+M49</f>
        <v>0</v>
      </c>
      <c r="I49" s="620">
        <f>SUM(J49:L49)</f>
        <v>0</v>
      </c>
      <c r="J49" s="620"/>
      <c r="K49" s="620"/>
      <c r="L49" s="620"/>
      <c r="M49" s="620">
        <f>SUM(N49:Q49)</f>
        <v>0</v>
      </c>
      <c r="N49" s="620"/>
      <c r="O49" s="620"/>
      <c r="P49" s="620"/>
      <c r="Q49" s="621"/>
    </row>
    <row r="50" spans="1:17" ht="11.25" customHeight="1" hidden="1" thickBot="1">
      <c r="A50" s="979"/>
      <c r="B50" s="507" t="s">
        <v>26</v>
      </c>
      <c r="C50" s="1012"/>
      <c r="D50" s="1013"/>
      <c r="E50" s="622"/>
      <c r="F50" s="622"/>
      <c r="G50" s="622"/>
      <c r="H50" s="622"/>
      <c r="I50" s="622"/>
      <c r="J50" s="622"/>
      <c r="K50" s="622"/>
      <c r="L50" s="622"/>
      <c r="M50" s="622"/>
      <c r="N50" s="622"/>
      <c r="O50" s="622"/>
      <c r="P50" s="622"/>
      <c r="Q50" s="623"/>
    </row>
    <row r="51" spans="1:17" ht="11.25" customHeight="1" hidden="1">
      <c r="A51" s="977" t="s">
        <v>447</v>
      </c>
      <c r="B51" s="509" t="s">
        <v>675</v>
      </c>
      <c r="C51" s="609" t="s">
        <v>344</v>
      </c>
      <c r="D51" s="523"/>
      <c r="E51" s="523"/>
      <c r="F51" s="523"/>
      <c r="G51" s="523"/>
      <c r="H51" s="523"/>
      <c r="I51" s="523"/>
      <c r="J51" s="523"/>
      <c r="K51" s="523"/>
      <c r="L51" s="523"/>
      <c r="M51" s="523"/>
      <c r="N51" s="523"/>
      <c r="O51" s="523"/>
      <c r="P51" s="523"/>
      <c r="Q51" s="526"/>
    </row>
    <row r="52" spans="1:17" ht="11.25" customHeight="1" hidden="1">
      <c r="A52" s="978"/>
      <c r="B52" s="46" t="s">
        <v>676</v>
      </c>
      <c r="C52" s="501" t="s">
        <v>465</v>
      </c>
      <c r="D52" s="525"/>
      <c r="E52" s="525"/>
      <c r="F52" s="525"/>
      <c r="G52" s="525"/>
      <c r="H52" s="525"/>
      <c r="I52" s="525"/>
      <c r="J52" s="525"/>
      <c r="K52" s="525"/>
      <c r="L52" s="525"/>
      <c r="M52" s="525"/>
      <c r="N52" s="525"/>
      <c r="O52" s="525"/>
      <c r="P52" s="525"/>
      <c r="Q52" s="528"/>
    </row>
    <row r="53" spans="1:17" ht="11.25" customHeight="1" hidden="1">
      <c r="A53" s="978"/>
      <c r="B53" s="46" t="s">
        <v>677</v>
      </c>
      <c r="C53" s="501" t="s">
        <v>466</v>
      </c>
      <c r="D53" s="525"/>
      <c r="E53" s="525"/>
      <c r="F53" s="525"/>
      <c r="G53" s="525"/>
      <c r="H53" s="525"/>
      <c r="I53" s="525"/>
      <c r="J53" s="525"/>
      <c r="K53" s="525"/>
      <c r="L53" s="525"/>
      <c r="M53" s="525"/>
      <c r="N53" s="525"/>
      <c r="O53" s="525"/>
      <c r="P53" s="525"/>
      <c r="Q53" s="528"/>
    </row>
    <row r="54" spans="1:17" ht="11.25" customHeight="1" hidden="1">
      <c r="A54" s="978"/>
      <c r="B54" s="46" t="s">
        <v>678</v>
      </c>
      <c r="C54" s="1014" t="s">
        <v>474</v>
      </c>
      <c r="D54" s="1015"/>
      <c r="E54" s="1015"/>
      <c r="F54" s="1015"/>
      <c r="G54" s="1015"/>
      <c r="H54" s="1015"/>
      <c r="I54" s="1015"/>
      <c r="J54" s="1015"/>
      <c r="K54" s="1015"/>
      <c r="L54" s="1015"/>
      <c r="M54" s="1015"/>
      <c r="N54" s="1015"/>
      <c r="O54" s="1015"/>
      <c r="P54" s="1015"/>
      <c r="Q54" s="1016"/>
    </row>
    <row r="55" spans="1:17" ht="11.25" customHeight="1" hidden="1">
      <c r="A55" s="978"/>
      <c r="B55" s="47" t="s">
        <v>679</v>
      </c>
      <c r="C55" s="521"/>
      <c r="D55" s="695">
        <v>60014</v>
      </c>
      <c r="E55" s="514">
        <f>F55+G55</f>
        <v>3700000</v>
      </c>
      <c r="F55" s="514">
        <v>609000</v>
      </c>
      <c r="G55" s="514">
        <v>3091000</v>
      </c>
      <c r="H55" s="514">
        <f aca="true" t="shared" si="5" ref="H55:Q55">H56</f>
        <v>0</v>
      </c>
      <c r="I55" s="514">
        <f t="shared" si="5"/>
        <v>0</v>
      </c>
      <c r="J55" s="514">
        <f t="shared" si="5"/>
        <v>0</v>
      </c>
      <c r="K55" s="514">
        <f t="shared" si="5"/>
        <v>0</v>
      </c>
      <c r="L55" s="514">
        <f t="shared" si="5"/>
        <v>0</v>
      </c>
      <c r="M55" s="514">
        <f t="shared" si="5"/>
        <v>0</v>
      </c>
      <c r="N55" s="514">
        <f t="shared" si="5"/>
        <v>0</v>
      </c>
      <c r="O55" s="514">
        <f t="shared" si="5"/>
        <v>0</v>
      </c>
      <c r="P55" s="514">
        <f t="shared" si="5"/>
        <v>0</v>
      </c>
      <c r="Q55" s="555">
        <f t="shared" si="5"/>
        <v>0</v>
      </c>
    </row>
    <row r="56" spans="1:17" ht="11.25" customHeight="1" hidden="1">
      <c r="A56" s="978"/>
      <c r="B56" s="509" t="s">
        <v>25</v>
      </c>
      <c r="C56" s="1008">
        <v>23</v>
      </c>
      <c r="D56" s="990"/>
      <c r="E56" s="624">
        <f>F56+G56</f>
        <v>0</v>
      </c>
      <c r="F56" s="618">
        <v>0</v>
      </c>
      <c r="G56" s="618">
        <v>0</v>
      </c>
      <c r="H56" s="618">
        <f>I56+M56</f>
        <v>0</v>
      </c>
      <c r="I56" s="618">
        <v>0</v>
      </c>
      <c r="J56" s="618"/>
      <c r="K56" s="618"/>
      <c r="L56" s="618"/>
      <c r="M56" s="618">
        <v>0</v>
      </c>
      <c r="N56" s="618"/>
      <c r="O56" s="618"/>
      <c r="P56" s="618"/>
      <c r="Q56" s="619"/>
    </row>
    <row r="57" spans="1:17" ht="11.25" customHeight="1" hidden="1">
      <c r="A57" s="978"/>
      <c r="B57" s="46" t="s">
        <v>639</v>
      </c>
      <c r="C57" s="991"/>
      <c r="D57" s="992"/>
      <c r="E57" s="625">
        <f>F57+G57</f>
        <v>0</v>
      </c>
      <c r="F57" s="620">
        <v>0</v>
      </c>
      <c r="G57" s="620">
        <v>0</v>
      </c>
      <c r="H57" s="620"/>
      <c r="I57" s="620"/>
      <c r="J57" s="620"/>
      <c r="K57" s="620"/>
      <c r="L57" s="620"/>
      <c r="M57" s="620"/>
      <c r="N57" s="620"/>
      <c r="O57" s="620"/>
      <c r="P57" s="620"/>
      <c r="Q57" s="621"/>
    </row>
    <row r="58" spans="1:17" ht="11.25" customHeight="1" hidden="1">
      <c r="A58" s="978"/>
      <c r="B58" s="46" t="s">
        <v>641</v>
      </c>
      <c r="C58" s="991"/>
      <c r="D58" s="992"/>
      <c r="E58" s="625">
        <f>F58+G58</f>
        <v>64000</v>
      </c>
      <c r="F58" s="620">
        <v>64000</v>
      </c>
      <c r="G58" s="620">
        <v>0</v>
      </c>
      <c r="H58" s="620"/>
      <c r="I58" s="620"/>
      <c r="J58" s="620"/>
      <c r="K58" s="620"/>
      <c r="L58" s="620"/>
      <c r="M58" s="620"/>
      <c r="N58" s="620"/>
      <c r="O58" s="620"/>
      <c r="P58" s="620"/>
      <c r="Q58" s="621"/>
    </row>
    <row r="59" spans="1:17" ht="11.25" customHeight="1" hidden="1" thickBot="1">
      <c r="A59" s="979"/>
      <c r="B59" s="507" t="s">
        <v>26</v>
      </c>
      <c r="C59" s="993"/>
      <c r="D59" s="994"/>
      <c r="E59" s="626"/>
      <c r="F59" s="622"/>
      <c r="G59" s="622"/>
      <c r="H59" s="622"/>
      <c r="I59" s="622"/>
      <c r="J59" s="622"/>
      <c r="K59" s="622"/>
      <c r="L59" s="622"/>
      <c r="M59" s="622"/>
      <c r="N59" s="622"/>
      <c r="O59" s="622"/>
      <c r="P59" s="622"/>
      <c r="Q59" s="623"/>
    </row>
    <row r="60" spans="1:17" ht="11.25" customHeight="1" hidden="1">
      <c r="A60" s="977" t="s">
        <v>448</v>
      </c>
      <c r="B60" s="509" t="s">
        <v>675</v>
      </c>
      <c r="C60" s="609" t="s">
        <v>475</v>
      </c>
      <c r="D60" s="523"/>
      <c r="E60" s="523"/>
      <c r="F60" s="523"/>
      <c r="G60" s="523"/>
      <c r="H60" s="523"/>
      <c r="I60" s="523"/>
      <c r="J60" s="523"/>
      <c r="K60" s="523"/>
      <c r="L60" s="523"/>
      <c r="M60" s="523"/>
      <c r="N60" s="523"/>
      <c r="O60" s="523"/>
      <c r="P60" s="523"/>
      <c r="Q60" s="526"/>
    </row>
    <row r="61" spans="1:17" ht="11.25" customHeight="1" hidden="1">
      <c r="A61" s="978"/>
      <c r="B61" s="46" t="s">
        <v>676</v>
      </c>
      <c r="C61" s="501" t="s">
        <v>476</v>
      </c>
      <c r="D61" s="525"/>
      <c r="E61" s="525"/>
      <c r="F61" s="525"/>
      <c r="G61" s="525"/>
      <c r="H61" s="525"/>
      <c r="I61" s="525"/>
      <c r="J61" s="525"/>
      <c r="K61" s="525"/>
      <c r="L61" s="525"/>
      <c r="M61" s="525"/>
      <c r="N61" s="525"/>
      <c r="O61" s="525"/>
      <c r="P61" s="525"/>
      <c r="Q61" s="528"/>
    </row>
    <row r="62" spans="1:17" ht="11.25" customHeight="1" hidden="1">
      <c r="A62" s="978"/>
      <c r="B62" s="46" t="s">
        <v>677</v>
      </c>
      <c r="C62" s="501" t="s">
        <v>477</v>
      </c>
      <c r="D62" s="525"/>
      <c r="E62" s="525"/>
      <c r="F62" s="525"/>
      <c r="G62" s="525"/>
      <c r="H62" s="525"/>
      <c r="I62" s="525"/>
      <c r="J62" s="525"/>
      <c r="K62" s="525"/>
      <c r="L62" s="525"/>
      <c r="M62" s="525"/>
      <c r="N62" s="525"/>
      <c r="O62" s="525"/>
      <c r="P62" s="525"/>
      <c r="Q62" s="528"/>
    </row>
    <row r="63" spans="1:17" ht="11.25" customHeight="1" hidden="1">
      <c r="A63" s="978"/>
      <c r="B63" s="46" t="s">
        <v>678</v>
      </c>
      <c r="C63" s="529" t="s">
        <v>451</v>
      </c>
      <c r="D63" s="530"/>
      <c r="E63" s="530"/>
      <c r="F63" s="530"/>
      <c r="G63" s="530"/>
      <c r="H63" s="530"/>
      <c r="I63" s="530"/>
      <c r="J63" s="530"/>
      <c r="K63" s="530"/>
      <c r="L63" s="530"/>
      <c r="M63" s="530"/>
      <c r="N63" s="530"/>
      <c r="O63" s="530"/>
      <c r="P63" s="530"/>
      <c r="Q63" s="531"/>
    </row>
    <row r="64" spans="1:17" ht="11.25" customHeight="1" hidden="1">
      <c r="A64" s="978"/>
      <c r="B64" s="47" t="s">
        <v>679</v>
      </c>
      <c r="C64" s="522"/>
      <c r="D64" s="697">
        <v>60014</v>
      </c>
      <c r="E64" s="616">
        <f>F64+G64</f>
        <v>1200000</v>
      </c>
      <c r="F64" s="616">
        <v>180000</v>
      </c>
      <c r="G64" s="616">
        <v>1020000</v>
      </c>
      <c r="H64" s="616">
        <f aca="true" t="shared" si="6" ref="H64:Q64">H65</f>
        <v>0</v>
      </c>
      <c r="I64" s="616">
        <f t="shared" si="6"/>
        <v>0</v>
      </c>
      <c r="J64" s="616">
        <f t="shared" si="6"/>
        <v>0</v>
      </c>
      <c r="K64" s="616">
        <f t="shared" si="6"/>
        <v>0</v>
      </c>
      <c r="L64" s="616">
        <f t="shared" si="6"/>
        <v>0</v>
      </c>
      <c r="M64" s="616">
        <f t="shared" si="6"/>
        <v>0</v>
      </c>
      <c r="N64" s="616">
        <f t="shared" si="6"/>
        <v>0</v>
      </c>
      <c r="O64" s="616">
        <f t="shared" si="6"/>
        <v>0</v>
      </c>
      <c r="P64" s="616">
        <f t="shared" si="6"/>
        <v>0</v>
      </c>
      <c r="Q64" s="617">
        <f t="shared" si="6"/>
        <v>0</v>
      </c>
    </row>
    <row r="65" spans="1:17" ht="11.25" customHeight="1" hidden="1">
      <c r="A65" s="978"/>
      <c r="B65" s="509" t="s">
        <v>25</v>
      </c>
      <c r="C65" s="1008">
        <v>58</v>
      </c>
      <c r="D65" s="1009"/>
      <c r="E65" s="624">
        <f>F65+G65</f>
        <v>0</v>
      </c>
      <c r="F65" s="618">
        <v>0</v>
      </c>
      <c r="G65" s="618">
        <v>0</v>
      </c>
      <c r="H65" s="618">
        <f>I65+M65</f>
        <v>0</v>
      </c>
      <c r="I65" s="618">
        <v>0</v>
      </c>
      <c r="J65" s="618"/>
      <c r="K65" s="618"/>
      <c r="L65" s="618"/>
      <c r="M65" s="618">
        <v>0</v>
      </c>
      <c r="N65" s="618"/>
      <c r="O65" s="618"/>
      <c r="P65" s="618"/>
      <c r="Q65" s="619"/>
    </row>
    <row r="66" spans="1:17" ht="11.25" customHeight="1" hidden="1">
      <c r="A66" s="978"/>
      <c r="B66" s="46" t="s">
        <v>639</v>
      </c>
      <c r="C66" s="1010"/>
      <c r="D66" s="1011"/>
      <c r="E66" s="625">
        <f>F66+G66</f>
        <v>0</v>
      </c>
      <c r="F66" s="620">
        <v>0</v>
      </c>
      <c r="G66" s="620">
        <v>0</v>
      </c>
      <c r="H66" s="620"/>
      <c r="I66" s="620"/>
      <c r="J66" s="620"/>
      <c r="K66" s="620"/>
      <c r="L66" s="620"/>
      <c r="M66" s="620"/>
      <c r="N66" s="620"/>
      <c r="O66" s="620"/>
      <c r="P66" s="620"/>
      <c r="Q66" s="621"/>
    </row>
    <row r="67" spans="1:17" ht="11.25" customHeight="1" hidden="1">
      <c r="A67" s="978"/>
      <c r="B67" s="46" t="s">
        <v>641</v>
      </c>
      <c r="C67" s="1010"/>
      <c r="D67" s="1011"/>
      <c r="E67" s="625">
        <f>F67+G67</f>
        <v>300000</v>
      </c>
      <c r="F67" s="620">
        <v>45000</v>
      </c>
      <c r="G67" s="620">
        <v>255000</v>
      </c>
      <c r="H67" s="620"/>
      <c r="I67" s="620"/>
      <c r="J67" s="620"/>
      <c r="K67" s="620"/>
      <c r="L67" s="620"/>
      <c r="M67" s="620"/>
      <c r="N67" s="620"/>
      <c r="O67" s="620"/>
      <c r="P67" s="620"/>
      <c r="Q67" s="621"/>
    </row>
    <row r="68" spans="1:17" ht="11.25" customHeight="1" hidden="1" thickBot="1">
      <c r="A68" s="979"/>
      <c r="B68" s="507" t="s">
        <v>26</v>
      </c>
      <c r="C68" s="1012"/>
      <c r="D68" s="1013"/>
      <c r="E68" s="626"/>
      <c r="F68" s="622"/>
      <c r="G68" s="622"/>
      <c r="H68" s="622"/>
      <c r="I68" s="622"/>
      <c r="J68" s="622"/>
      <c r="K68" s="622"/>
      <c r="L68" s="622"/>
      <c r="M68" s="622"/>
      <c r="N68" s="622"/>
      <c r="O68" s="622"/>
      <c r="P68" s="622"/>
      <c r="Q68" s="623"/>
    </row>
    <row r="69" spans="1:17" ht="11.25" customHeight="1" hidden="1">
      <c r="A69" s="978" t="s">
        <v>449</v>
      </c>
      <c r="B69" s="509" t="s">
        <v>675</v>
      </c>
      <c r="C69" s="609" t="s">
        <v>464</v>
      </c>
      <c r="D69" s="523"/>
      <c r="E69" s="523"/>
      <c r="F69" s="523"/>
      <c r="G69" s="523"/>
      <c r="H69" s="523"/>
      <c r="I69" s="523"/>
      <c r="J69" s="523"/>
      <c r="K69" s="523"/>
      <c r="L69" s="523"/>
      <c r="M69" s="523"/>
      <c r="N69" s="523"/>
      <c r="O69" s="523"/>
      <c r="P69" s="523"/>
      <c r="Q69" s="526"/>
    </row>
    <row r="70" spans="1:17" ht="11.25" customHeight="1" hidden="1">
      <c r="A70" s="978"/>
      <c r="B70" s="46" t="s">
        <v>676</v>
      </c>
      <c r="C70" s="501" t="s">
        <v>465</v>
      </c>
      <c r="D70" s="525"/>
      <c r="E70" s="525"/>
      <c r="F70" s="525"/>
      <c r="G70" s="525"/>
      <c r="H70" s="525"/>
      <c r="I70" s="525"/>
      <c r="J70" s="525"/>
      <c r="K70" s="525"/>
      <c r="L70" s="525"/>
      <c r="M70" s="525"/>
      <c r="N70" s="525"/>
      <c r="O70" s="525"/>
      <c r="P70" s="525"/>
      <c r="Q70" s="528"/>
    </row>
    <row r="71" spans="1:17" ht="11.25" customHeight="1" hidden="1">
      <c r="A71" s="978"/>
      <c r="B71" s="46" t="s">
        <v>677</v>
      </c>
      <c r="C71" s="501" t="s">
        <v>466</v>
      </c>
      <c r="D71" s="525"/>
      <c r="E71" s="525"/>
      <c r="F71" s="525"/>
      <c r="G71" s="525"/>
      <c r="H71" s="525"/>
      <c r="I71" s="525"/>
      <c r="J71" s="525"/>
      <c r="K71" s="525"/>
      <c r="L71" s="525"/>
      <c r="M71" s="525"/>
      <c r="N71" s="525"/>
      <c r="O71" s="525"/>
      <c r="P71" s="525"/>
      <c r="Q71" s="528"/>
    </row>
    <row r="72" spans="1:17" ht="11.25" customHeight="1" hidden="1">
      <c r="A72" s="978"/>
      <c r="B72" s="46" t="s">
        <v>678</v>
      </c>
      <c r="C72" s="1020" t="s">
        <v>478</v>
      </c>
      <c r="D72" s="1021"/>
      <c r="E72" s="1021"/>
      <c r="F72" s="1021"/>
      <c r="G72" s="1021"/>
      <c r="H72" s="1021"/>
      <c r="I72" s="1021"/>
      <c r="J72" s="1021"/>
      <c r="K72" s="1021"/>
      <c r="L72" s="1021"/>
      <c r="M72" s="1021"/>
      <c r="N72" s="1021"/>
      <c r="O72" s="1021"/>
      <c r="P72" s="1021"/>
      <c r="Q72" s="1022"/>
    </row>
    <row r="73" spans="1:17" ht="11.25" customHeight="1" hidden="1">
      <c r="A73" s="978"/>
      <c r="B73" s="47" t="s">
        <v>679</v>
      </c>
      <c r="C73" s="522"/>
      <c r="D73" s="698">
        <v>60014</v>
      </c>
      <c r="E73" s="616">
        <f>F73+G73</f>
        <v>14000000</v>
      </c>
      <c r="F73" s="616">
        <v>2100000</v>
      </c>
      <c r="G73" s="616">
        <v>11900000</v>
      </c>
      <c r="H73" s="616">
        <f aca="true" t="shared" si="7" ref="H73:Q73">H74</f>
        <v>45000</v>
      </c>
      <c r="I73" s="616">
        <f t="shared" si="7"/>
        <v>45000</v>
      </c>
      <c r="J73" s="616">
        <f t="shared" si="7"/>
        <v>0</v>
      </c>
      <c r="K73" s="616">
        <f t="shared" si="7"/>
        <v>0</v>
      </c>
      <c r="L73" s="616">
        <f t="shared" si="7"/>
        <v>45000</v>
      </c>
      <c r="M73" s="616">
        <f t="shared" si="7"/>
        <v>0</v>
      </c>
      <c r="N73" s="616">
        <f t="shared" si="7"/>
        <v>0</v>
      </c>
      <c r="O73" s="616">
        <f t="shared" si="7"/>
        <v>0</v>
      </c>
      <c r="P73" s="616">
        <f t="shared" si="7"/>
        <v>0</v>
      </c>
      <c r="Q73" s="617">
        <f t="shared" si="7"/>
        <v>0</v>
      </c>
    </row>
    <row r="74" spans="1:17" ht="11.25" customHeight="1" hidden="1">
      <c r="A74" s="978"/>
      <c r="B74" s="509" t="s">
        <v>25</v>
      </c>
      <c r="C74" s="1008">
        <v>23</v>
      </c>
      <c r="D74" s="1009"/>
      <c r="E74" s="618">
        <f>F74+G74</f>
        <v>300000</v>
      </c>
      <c r="F74" s="618">
        <v>45000</v>
      </c>
      <c r="G74" s="618">
        <v>255000</v>
      </c>
      <c r="H74" s="618">
        <f>I74+M74</f>
        <v>45000</v>
      </c>
      <c r="I74" s="618">
        <f>SUM(J74:L74)</f>
        <v>45000</v>
      </c>
      <c r="J74" s="618"/>
      <c r="K74" s="618"/>
      <c r="L74" s="618">
        <v>45000</v>
      </c>
      <c r="M74" s="618">
        <f>SUM(N74:Q74)</f>
        <v>0</v>
      </c>
      <c r="N74" s="618"/>
      <c r="O74" s="618"/>
      <c r="P74" s="618"/>
      <c r="Q74" s="619"/>
    </row>
    <row r="75" spans="1:17" ht="11.25" customHeight="1" hidden="1">
      <c r="A75" s="978"/>
      <c r="B75" s="46" t="s">
        <v>639</v>
      </c>
      <c r="C75" s="1010"/>
      <c r="D75" s="1011"/>
      <c r="E75" s="620">
        <f>F75+G75</f>
        <v>1000000</v>
      </c>
      <c r="F75" s="620">
        <v>150000</v>
      </c>
      <c r="G75" s="620">
        <v>850000</v>
      </c>
      <c r="H75" s="620"/>
      <c r="I75" s="620"/>
      <c r="J75" s="620"/>
      <c r="K75" s="620"/>
      <c r="L75" s="620"/>
      <c r="M75" s="620"/>
      <c r="N75" s="620"/>
      <c r="O75" s="620"/>
      <c r="P75" s="620"/>
      <c r="Q75" s="621"/>
    </row>
    <row r="76" spans="1:17" ht="11.25" customHeight="1" hidden="1">
      <c r="A76" s="978"/>
      <c r="B76" s="46" t="s">
        <v>641</v>
      </c>
      <c r="C76" s="1010"/>
      <c r="D76" s="1011"/>
      <c r="E76" s="620">
        <f>F76+G76</f>
        <v>6350000</v>
      </c>
      <c r="F76" s="620">
        <v>952500</v>
      </c>
      <c r="G76" s="620">
        <v>5397500</v>
      </c>
      <c r="H76" s="620"/>
      <c r="I76" s="620"/>
      <c r="J76" s="620"/>
      <c r="K76" s="620"/>
      <c r="L76" s="620"/>
      <c r="M76" s="620"/>
      <c r="N76" s="620"/>
      <c r="O76" s="620"/>
      <c r="P76" s="620"/>
      <c r="Q76" s="621"/>
    </row>
    <row r="77" spans="1:17" ht="11.25" customHeight="1" hidden="1" thickBot="1">
      <c r="A77" s="979"/>
      <c r="B77" s="507" t="s">
        <v>26</v>
      </c>
      <c r="C77" s="1012"/>
      <c r="D77" s="1013"/>
      <c r="E77" s="622"/>
      <c r="F77" s="622"/>
      <c r="G77" s="622"/>
      <c r="H77" s="622"/>
      <c r="I77" s="622"/>
      <c r="J77" s="622"/>
      <c r="K77" s="622"/>
      <c r="L77" s="622"/>
      <c r="M77" s="622"/>
      <c r="N77" s="622"/>
      <c r="O77" s="622"/>
      <c r="P77" s="622"/>
      <c r="Q77" s="623"/>
    </row>
    <row r="78" spans="1:17" ht="11.25" customHeight="1" hidden="1">
      <c r="A78" s="977" t="s">
        <v>345</v>
      </c>
      <c r="B78" s="509" t="s">
        <v>675</v>
      </c>
      <c r="C78" s="609" t="s">
        <v>473</v>
      </c>
      <c r="D78" s="516"/>
      <c r="E78" s="516"/>
      <c r="F78" s="516"/>
      <c r="G78" s="516"/>
      <c r="H78" s="516"/>
      <c r="I78" s="516"/>
      <c r="J78" s="516"/>
      <c r="K78" s="516"/>
      <c r="L78" s="516"/>
      <c r="M78" s="516"/>
      <c r="N78" s="516"/>
      <c r="O78" s="516"/>
      <c r="P78" s="516"/>
      <c r="Q78" s="535"/>
    </row>
    <row r="79" spans="1:17" ht="11.25" customHeight="1" hidden="1">
      <c r="A79" s="978"/>
      <c r="B79" s="46" t="s">
        <v>676</v>
      </c>
      <c r="C79" s="501" t="s">
        <v>465</v>
      </c>
      <c r="D79" s="516"/>
      <c r="E79" s="516"/>
      <c r="F79" s="516"/>
      <c r="G79" s="516"/>
      <c r="H79" s="516"/>
      <c r="I79" s="516"/>
      <c r="J79" s="516"/>
      <c r="K79" s="516"/>
      <c r="L79" s="516"/>
      <c r="M79" s="516"/>
      <c r="N79" s="516"/>
      <c r="O79" s="516"/>
      <c r="P79" s="516"/>
      <c r="Q79" s="535"/>
    </row>
    <row r="80" spans="1:17" ht="11.25" customHeight="1" hidden="1">
      <c r="A80" s="978"/>
      <c r="B80" s="46" t="s">
        <v>677</v>
      </c>
      <c r="C80" s="501" t="s">
        <v>466</v>
      </c>
      <c r="D80" s="516"/>
      <c r="E80" s="516"/>
      <c r="F80" s="516"/>
      <c r="G80" s="516"/>
      <c r="H80" s="516"/>
      <c r="I80" s="516"/>
      <c r="J80" s="516"/>
      <c r="K80" s="516"/>
      <c r="L80" s="516"/>
      <c r="M80" s="516"/>
      <c r="N80" s="516"/>
      <c r="O80" s="516"/>
      <c r="P80" s="516"/>
      <c r="Q80" s="535"/>
    </row>
    <row r="81" spans="1:17" ht="11.25" customHeight="1" hidden="1">
      <c r="A81" s="978"/>
      <c r="B81" s="46" t="s">
        <v>678</v>
      </c>
      <c r="C81" s="1028" t="s">
        <v>452</v>
      </c>
      <c r="D81" s="1029"/>
      <c r="E81" s="1029"/>
      <c r="F81" s="1029"/>
      <c r="G81" s="1029"/>
      <c r="H81" s="1029"/>
      <c r="I81" s="1029"/>
      <c r="J81" s="1029"/>
      <c r="K81" s="1029"/>
      <c r="L81" s="1029"/>
      <c r="M81" s="1029"/>
      <c r="N81" s="1029"/>
      <c r="O81" s="1029"/>
      <c r="P81" s="1029"/>
      <c r="Q81" s="1030"/>
    </row>
    <row r="82" spans="1:17" ht="11.25" customHeight="1" hidden="1">
      <c r="A82" s="978"/>
      <c r="B82" s="47" t="s">
        <v>679</v>
      </c>
      <c r="C82" s="522"/>
      <c r="D82" s="698">
        <v>60014</v>
      </c>
      <c r="E82" s="616">
        <f>F82+G82</f>
        <v>1100000</v>
      </c>
      <c r="F82" s="616">
        <v>165000</v>
      </c>
      <c r="G82" s="616">
        <v>935000</v>
      </c>
      <c r="H82" s="616">
        <f aca="true" t="shared" si="8" ref="H82:Q82">H83</f>
        <v>15000</v>
      </c>
      <c r="I82" s="616">
        <f t="shared" si="8"/>
        <v>15000</v>
      </c>
      <c r="J82" s="616">
        <f t="shared" si="8"/>
        <v>0</v>
      </c>
      <c r="K82" s="616">
        <f t="shared" si="8"/>
        <v>0</v>
      </c>
      <c r="L82" s="616">
        <f t="shared" si="8"/>
        <v>15000</v>
      </c>
      <c r="M82" s="616">
        <f t="shared" si="8"/>
        <v>0</v>
      </c>
      <c r="N82" s="616">
        <f t="shared" si="8"/>
        <v>0</v>
      </c>
      <c r="O82" s="616">
        <f t="shared" si="8"/>
        <v>0</v>
      </c>
      <c r="P82" s="616">
        <f t="shared" si="8"/>
        <v>0</v>
      </c>
      <c r="Q82" s="617">
        <f t="shared" si="8"/>
        <v>0</v>
      </c>
    </row>
    <row r="83" spans="1:17" ht="11.25" customHeight="1" hidden="1">
      <c r="A83" s="978"/>
      <c r="B83" s="509" t="s">
        <v>25</v>
      </c>
      <c r="C83" s="1008">
        <v>23</v>
      </c>
      <c r="D83" s="1009"/>
      <c r="E83" s="618">
        <f>F83+G83</f>
        <v>100000</v>
      </c>
      <c r="F83" s="618">
        <v>15000</v>
      </c>
      <c r="G83" s="618">
        <v>85000</v>
      </c>
      <c r="H83" s="618">
        <f>I83+M83</f>
        <v>15000</v>
      </c>
      <c r="I83" s="618">
        <f>SUM(J83:L83)</f>
        <v>15000</v>
      </c>
      <c r="J83" s="618"/>
      <c r="K83" s="618"/>
      <c r="L83" s="618">
        <v>15000</v>
      </c>
      <c r="M83" s="618">
        <f>SUM(N83:Q83)</f>
        <v>0</v>
      </c>
      <c r="N83" s="618"/>
      <c r="O83" s="618"/>
      <c r="P83" s="618"/>
      <c r="Q83" s="619"/>
    </row>
    <row r="84" spans="1:17" ht="11.25" customHeight="1" hidden="1">
      <c r="A84" s="978"/>
      <c r="B84" s="46" t="s">
        <v>639</v>
      </c>
      <c r="C84" s="1010"/>
      <c r="D84" s="1011"/>
      <c r="E84" s="620">
        <f>F84+G84</f>
        <v>1000000</v>
      </c>
      <c r="F84" s="620">
        <v>150000</v>
      </c>
      <c r="G84" s="620">
        <v>850000</v>
      </c>
      <c r="H84" s="620"/>
      <c r="I84" s="620"/>
      <c r="J84" s="620"/>
      <c r="K84" s="620"/>
      <c r="L84" s="620"/>
      <c r="M84" s="620"/>
      <c r="N84" s="620"/>
      <c r="O84" s="620"/>
      <c r="P84" s="620"/>
      <c r="Q84" s="621"/>
    </row>
    <row r="85" spans="1:17" ht="11.25" customHeight="1" hidden="1">
      <c r="A85" s="978"/>
      <c r="B85" s="46" t="s">
        <v>641</v>
      </c>
      <c r="C85" s="1010"/>
      <c r="D85" s="1011"/>
      <c r="E85" s="620">
        <f>F85+G85</f>
        <v>0</v>
      </c>
      <c r="F85" s="620">
        <v>0</v>
      </c>
      <c r="G85" s="620">
        <v>0</v>
      </c>
      <c r="H85" s="620"/>
      <c r="I85" s="620"/>
      <c r="J85" s="620"/>
      <c r="K85" s="620"/>
      <c r="L85" s="620"/>
      <c r="M85" s="620"/>
      <c r="N85" s="620"/>
      <c r="O85" s="620"/>
      <c r="P85" s="620"/>
      <c r="Q85" s="621"/>
    </row>
    <row r="86" spans="1:17" ht="11.25" customHeight="1" hidden="1" thickBot="1">
      <c r="A86" s="979"/>
      <c r="B86" s="507" t="s">
        <v>26</v>
      </c>
      <c r="C86" s="1012"/>
      <c r="D86" s="1013"/>
      <c r="E86" s="622"/>
      <c r="F86" s="622"/>
      <c r="G86" s="622"/>
      <c r="H86" s="622"/>
      <c r="I86" s="622"/>
      <c r="J86" s="622"/>
      <c r="K86" s="622"/>
      <c r="L86" s="622"/>
      <c r="M86" s="622"/>
      <c r="N86" s="622"/>
      <c r="O86" s="622"/>
      <c r="P86" s="622"/>
      <c r="Q86" s="623"/>
    </row>
    <row r="87" spans="1:17" ht="11.25" customHeight="1" hidden="1">
      <c r="A87" s="977" t="s">
        <v>346</v>
      </c>
      <c r="B87" s="509" t="s">
        <v>675</v>
      </c>
      <c r="C87" s="609" t="s">
        <v>480</v>
      </c>
      <c r="D87" s="533"/>
      <c r="E87" s="533"/>
      <c r="F87" s="533"/>
      <c r="G87" s="533"/>
      <c r="H87" s="533"/>
      <c r="I87" s="533"/>
      <c r="J87" s="533"/>
      <c r="K87" s="533"/>
      <c r="L87" s="533"/>
      <c r="M87" s="533"/>
      <c r="N87" s="533"/>
      <c r="O87" s="533"/>
      <c r="P87" s="533"/>
      <c r="Q87" s="534"/>
    </row>
    <row r="88" spans="1:17" ht="11.25" customHeight="1" hidden="1">
      <c r="A88" s="978"/>
      <c r="B88" s="46" t="s">
        <v>676</v>
      </c>
      <c r="C88" s="501" t="s">
        <v>476</v>
      </c>
      <c r="D88" s="516"/>
      <c r="E88" s="516"/>
      <c r="F88" s="516"/>
      <c r="G88" s="516"/>
      <c r="H88" s="516"/>
      <c r="I88" s="516"/>
      <c r="J88" s="516"/>
      <c r="K88" s="516"/>
      <c r="L88" s="516"/>
      <c r="M88" s="516"/>
      <c r="N88" s="516"/>
      <c r="O88" s="516"/>
      <c r="P88" s="516"/>
      <c r="Q88" s="535"/>
    </row>
    <row r="89" spans="1:17" ht="11.25" customHeight="1" hidden="1">
      <c r="A89" s="978"/>
      <c r="B89" s="46" t="s">
        <v>677</v>
      </c>
      <c r="C89" s="501" t="s">
        <v>477</v>
      </c>
      <c r="D89" s="516"/>
      <c r="E89" s="516"/>
      <c r="F89" s="516"/>
      <c r="G89" s="516"/>
      <c r="H89" s="516"/>
      <c r="I89" s="516"/>
      <c r="J89" s="516"/>
      <c r="K89" s="516"/>
      <c r="L89" s="516"/>
      <c r="M89" s="516"/>
      <c r="N89" s="516"/>
      <c r="O89" s="516"/>
      <c r="P89" s="516"/>
      <c r="Q89" s="535"/>
    </row>
    <row r="90" spans="1:17" ht="11.25" customHeight="1" hidden="1">
      <c r="A90" s="978"/>
      <c r="B90" s="46" t="s">
        <v>678</v>
      </c>
      <c r="C90" s="1031" t="s">
        <v>455</v>
      </c>
      <c r="D90" s="1021"/>
      <c r="E90" s="1021"/>
      <c r="F90" s="1021"/>
      <c r="G90" s="1021"/>
      <c r="H90" s="1021"/>
      <c r="I90" s="1021"/>
      <c r="J90" s="1021"/>
      <c r="K90" s="1021"/>
      <c r="L90" s="1021"/>
      <c r="M90" s="1021"/>
      <c r="N90" s="1021"/>
      <c r="O90" s="1021"/>
      <c r="P90" s="1021"/>
      <c r="Q90" s="1022"/>
    </row>
    <row r="91" spans="1:17" ht="11.25" customHeight="1" hidden="1">
      <c r="A91" s="978"/>
      <c r="B91" s="47" t="s">
        <v>679</v>
      </c>
      <c r="C91" s="522"/>
      <c r="D91" s="698">
        <v>80130</v>
      </c>
      <c r="E91" s="616">
        <f>F91+G91</f>
        <v>7700000</v>
      </c>
      <c r="F91" s="616">
        <v>1155000</v>
      </c>
      <c r="G91" s="616">
        <v>6545000</v>
      </c>
      <c r="H91" s="616">
        <f aca="true" t="shared" si="9" ref="H91:Q91">H92</f>
        <v>13500</v>
      </c>
      <c r="I91" s="616">
        <f t="shared" si="9"/>
        <v>13500</v>
      </c>
      <c r="J91" s="616">
        <f t="shared" si="9"/>
        <v>0</v>
      </c>
      <c r="K91" s="616">
        <f t="shared" si="9"/>
        <v>0</v>
      </c>
      <c r="L91" s="616">
        <f t="shared" si="9"/>
        <v>13500</v>
      </c>
      <c r="M91" s="616">
        <f t="shared" si="9"/>
        <v>0</v>
      </c>
      <c r="N91" s="616">
        <f t="shared" si="9"/>
        <v>0</v>
      </c>
      <c r="O91" s="616">
        <f t="shared" si="9"/>
        <v>0</v>
      </c>
      <c r="P91" s="616">
        <f t="shared" si="9"/>
        <v>0</v>
      </c>
      <c r="Q91" s="617">
        <f t="shared" si="9"/>
        <v>0</v>
      </c>
    </row>
    <row r="92" spans="1:17" ht="11.25" customHeight="1" hidden="1">
      <c r="A92" s="978"/>
      <c r="B92" s="509" t="s">
        <v>25</v>
      </c>
      <c r="C92" s="1008">
        <v>58</v>
      </c>
      <c r="D92" s="1009"/>
      <c r="E92" s="618">
        <f>F92+G92</f>
        <v>90000</v>
      </c>
      <c r="F92" s="618">
        <v>13500</v>
      </c>
      <c r="G92" s="618">
        <v>76500</v>
      </c>
      <c r="H92" s="618">
        <f>I92+M92</f>
        <v>13500</v>
      </c>
      <c r="I92" s="618">
        <f>SUM(J92:L92)</f>
        <v>13500</v>
      </c>
      <c r="J92" s="618"/>
      <c r="K92" s="618"/>
      <c r="L92" s="618">
        <v>13500</v>
      </c>
      <c r="M92" s="618">
        <f>SUM(N92:Q92)</f>
        <v>0</v>
      </c>
      <c r="N92" s="618"/>
      <c r="O92" s="618"/>
      <c r="P92" s="618"/>
      <c r="Q92" s="619"/>
    </row>
    <row r="93" spans="1:17" ht="11.25" customHeight="1" hidden="1">
      <c r="A93" s="978"/>
      <c r="B93" s="46" t="s">
        <v>639</v>
      </c>
      <c r="C93" s="1010"/>
      <c r="D93" s="1011"/>
      <c r="E93" s="620">
        <f>F93+G93</f>
        <v>0</v>
      </c>
      <c r="F93" s="620">
        <v>0</v>
      </c>
      <c r="G93" s="620">
        <v>0</v>
      </c>
      <c r="H93" s="620"/>
      <c r="I93" s="620"/>
      <c r="J93" s="620"/>
      <c r="K93" s="620"/>
      <c r="L93" s="620"/>
      <c r="M93" s="620"/>
      <c r="N93" s="620"/>
      <c r="O93" s="620"/>
      <c r="P93" s="620"/>
      <c r="Q93" s="621"/>
    </row>
    <row r="94" spans="1:17" ht="11.25" customHeight="1" hidden="1">
      <c r="A94" s="978"/>
      <c r="B94" s="46" t="s">
        <v>641</v>
      </c>
      <c r="C94" s="1010"/>
      <c r="D94" s="1011"/>
      <c r="E94" s="620">
        <f>F94+G94</f>
        <v>0</v>
      </c>
      <c r="F94" s="620">
        <v>0</v>
      </c>
      <c r="G94" s="620">
        <v>0</v>
      </c>
      <c r="H94" s="620"/>
      <c r="I94" s="620"/>
      <c r="J94" s="620"/>
      <c r="K94" s="620"/>
      <c r="L94" s="620"/>
      <c r="M94" s="620"/>
      <c r="N94" s="620"/>
      <c r="O94" s="620"/>
      <c r="P94" s="620"/>
      <c r="Q94" s="621"/>
    </row>
    <row r="95" spans="1:17" ht="11.25" customHeight="1" hidden="1" thickBot="1">
      <c r="A95" s="979"/>
      <c r="B95" s="507" t="s">
        <v>26</v>
      </c>
      <c r="C95" s="1012"/>
      <c r="D95" s="1013"/>
      <c r="E95" s="622"/>
      <c r="F95" s="622"/>
      <c r="G95" s="622"/>
      <c r="H95" s="622"/>
      <c r="I95" s="622"/>
      <c r="J95" s="622"/>
      <c r="K95" s="622"/>
      <c r="L95" s="622"/>
      <c r="M95" s="622"/>
      <c r="N95" s="622"/>
      <c r="O95" s="622"/>
      <c r="P95" s="622"/>
      <c r="Q95" s="623"/>
    </row>
    <row r="96" spans="1:17" ht="11.25" customHeight="1" hidden="1">
      <c r="A96" s="977" t="s">
        <v>347</v>
      </c>
      <c r="B96" s="509" t="s">
        <v>675</v>
      </c>
      <c r="C96" s="609" t="s">
        <v>348</v>
      </c>
      <c r="D96" s="533"/>
      <c r="E96" s="533"/>
      <c r="F96" s="533"/>
      <c r="G96" s="533"/>
      <c r="H96" s="533"/>
      <c r="I96" s="533"/>
      <c r="J96" s="533"/>
      <c r="K96" s="533"/>
      <c r="L96" s="533"/>
      <c r="M96" s="533"/>
      <c r="N96" s="533"/>
      <c r="O96" s="533"/>
      <c r="P96" s="533"/>
      <c r="Q96" s="534"/>
    </row>
    <row r="97" spans="1:17" ht="11.25" customHeight="1" hidden="1">
      <c r="A97" s="978"/>
      <c r="B97" s="46" t="s">
        <v>676</v>
      </c>
      <c r="C97" s="501" t="s">
        <v>476</v>
      </c>
      <c r="D97" s="516"/>
      <c r="E97" s="516"/>
      <c r="F97" s="516"/>
      <c r="G97" s="516"/>
      <c r="H97" s="516"/>
      <c r="I97" s="516"/>
      <c r="J97" s="516"/>
      <c r="K97" s="516"/>
      <c r="L97" s="516"/>
      <c r="M97" s="516"/>
      <c r="N97" s="516"/>
      <c r="O97" s="516"/>
      <c r="P97" s="516"/>
      <c r="Q97" s="535"/>
    </row>
    <row r="98" spans="1:17" ht="11.25" customHeight="1" hidden="1">
      <c r="A98" s="978"/>
      <c r="B98" s="46" t="s">
        <v>677</v>
      </c>
      <c r="C98" s="501" t="s">
        <v>477</v>
      </c>
      <c r="D98" s="516"/>
      <c r="E98" s="516"/>
      <c r="F98" s="516"/>
      <c r="G98" s="516"/>
      <c r="H98" s="516"/>
      <c r="I98" s="516"/>
      <c r="J98" s="516"/>
      <c r="K98" s="516"/>
      <c r="L98" s="516"/>
      <c r="M98" s="516"/>
      <c r="N98" s="516"/>
      <c r="O98" s="516"/>
      <c r="P98" s="516"/>
      <c r="Q98" s="535"/>
    </row>
    <row r="99" spans="1:17" ht="11.25" customHeight="1" hidden="1">
      <c r="A99" s="978"/>
      <c r="B99" s="542" t="s">
        <v>678</v>
      </c>
      <c r="C99" s="1028" t="s">
        <v>456</v>
      </c>
      <c r="D99" s="1029"/>
      <c r="E99" s="1029"/>
      <c r="F99" s="1029"/>
      <c r="G99" s="1029"/>
      <c r="H99" s="1029"/>
      <c r="I99" s="1029"/>
      <c r="J99" s="1029"/>
      <c r="K99" s="1029"/>
      <c r="L99" s="1029"/>
      <c r="M99" s="1029"/>
      <c r="N99" s="1029"/>
      <c r="O99" s="1029"/>
      <c r="P99" s="1029"/>
      <c r="Q99" s="1030"/>
    </row>
    <row r="100" spans="1:17" ht="11.25" customHeight="1" hidden="1">
      <c r="A100" s="978"/>
      <c r="B100" s="543" t="s">
        <v>679</v>
      </c>
      <c r="C100" s="522"/>
      <c r="D100" s="698">
        <v>85202</v>
      </c>
      <c r="E100" s="616">
        <f>F100+G100</f>
        <v>200000</v>
      </c>
      <c r="F100" s="616">
        <v>30000</v>
      </c>
      <c r="G100" s="616">
        <v>170000</v>
      </c>
      <c r="H100" s="616"/>
      <c r="I100" s="616"/>
      <c r="J100" s="616"/>
      <c r="K100" s="616"/>
      <c r="L100" s="616"/>
      <c r="M100" s="616"/>
      <c r="N100" s="616"/>
      <c r="O100" s="616"/>
      <c r="P100" s="616"/>
      <c r="Q100" s="617"/>
    </row>
    <row r="101" spans="1:17" ht="11.25" customHeight="1" hidden="1">
      <c r="A101" s="978"/>
      <c r="B101" s="509" t="s">
        <v>25</v>
      </c>
      <c r="C101" s="1008">
        <v>58</v>
      </c>
      <c r="D101" s="1009"/>
      <c r="E101" s="618">
        <f>F101+G101</f>
        <v>0</v>
      </c>
      <c r="F101" s="618">
        <v>0</v>
      </c>
      <c r="G101" s="618">
        <v>0</v>
      </c>
      <c r="H101" s="618"/>
      <c r="I101" s="618"/>
      <c r="J101" s="618"/>
      <c r="K101" s="618"/>
      <c r="L101" s="618"/>
      <c r="M101" s="618"/>
      <c r="N101" s="618"/>
      <c r="O101" s="618"/>
      <c r="P101" s="618"/>
      <c r="Q101" s="619"/>
    </row>
    <row r="102" spans="1:17" ht="11.25" customHeight="1" hidden="1">
      <c r="A102" s="978"/>
      <c r="B102" s="46" t="s">
        <v>639</v>
      </c>
      <c r="C102" s="1010"/>
      <c r="D102" s="1011"/>
      <c r="E102" s="620">
        <f>F102+G102</f>
        <v>0</v>
      </c>
      <c r="F102" s="620">
        <v>0</v>
      </c>
      <c r="G102" s="620">
        <v>0</v>
      </c>
      <c r="H102" s="620"/>
      <c r="I102" s="620"/>
      <c r="J102" s="620"/>
      <c r="K102" s="620"/>
      <c r="L102" s="620"/>
      <c r="M102" s="620"/>
      <c r="N102" s="620"/>
      <c r="O102" s="620"/>
      <c r="P102" s="620"/>
      <c r="Q102" s="621"/>
    </row>
    <row r="103" spans="1:17" ht="11.25" customHeight="1" hidden="1">
      <c r="A103" s="978"/>
      <c r="B103" s="46" t="s">
        <v>641</v>
      </c>
      <c r="C103" s="1010"/>
      <c r="D103" s="1011"/>
      <c r="E103" s="620">
        <f>F103+G103</f>
        <v>0</v>
      </c>
      <c r="F103" s="620">
        <v>0</v>
      </c>
      <c r="G103" s="620">
        <v>0</v>
      </c>
      <c r="H103" s="620"/>
      <c r="I103" s="620"/>
      <c r="J103" s="620"/>
      <c r="K103" s="620"/>
      <c r="L103" s="620"/>
      <c r="M103" s="620"/>
      <c r="N103" s="620"/>
      <c r="O103" s="620"/>
      <c r="P103" s="620"/>
      <c r="Q103" s="621"/>
    </row>
    <row r="104" spans="1:17" ht="11.25" customHeight="1" hidden="1" thickBot="1">
      <c r="A104" s="979"/>
      <c r="B104" s="507" t="s">
        <v>26</v>
      </c>
      <c r="C104" s="1012"/>
      <c r="D104" s="1013"/>
      <c r="E104" s="622"/>
      <c r="F104" s="622"/>
      <c r="G104" s="622"/>
      <c r="H104" s="622"/>
      <c r="I104" s="622"/>
      <c r="J104" s="622"/>
      <c r="K104" s="622"/>
      <c r="L104" s="622"/>
      <c r="M104" s="622"/>
      <c r="N104" s="622"/>
      <c r="O104" s="622"/>
      <c r="P104" s="622"/>
      <c r="Q104" s="623"/>
    </row>
    <row r="105" spans="1:17" ht="11.25" customHeight="1" hidden="1">
      <c r="A105" s="977" t="s">
        <v>349</v>
      </c>
      <c r="B105" s="509" t="s">
        <v>675</v>
      </c>
      <c r="C105" s="609" t="s">
        <v>536</v>
      </c>
      <c r="D105" s="533"/>
      <c r="E105" s="533"/>
      <c r="F105" s="533"/>
      <c r="G105" s="533"/>
      <c r="H105" s="533"/>
      <c r="I105" s="533"/>
      <c r="J105" s="533"/>
      <c r="K105" s="533"/>
      <c r="L105" s="533"/>
      <c r="M105" s="533"/>
      <c r="N105" s="533"/>
      <c r="O105" s="533"/>
      <c r="P105" s="533"/>
      <c r="Q105" s="534"/>
    </row>
    <row r="106" spans="1:17" ht="11.25" customHeight="1" hidden="1">
      <c r="A106" s="978"/>
      <c r="B106" s="46" t="s">
        <v>676</v>
      </c>
      <c r="C106" s="501" t="s">
        <v>476</v>
      </c>
      <c r="D106" s="516"/>
      <c r="E106" s="516"/>
      <c r="F106" s="516"/>
      <c r="G106" s="516"/>
      <c r="H106" s="516"/>
      <c r="I106" s="516"/>
      <c r="J106" s="516"/>
      <c r="K106" s="516"/>
      <c r="L106" s="516"/>
      <c r="M106" s="516"/>
      <c r="N106" s="516"/>
      <c r="O106" s="516"/>
      <c r="P106" s="516"/>
      <c r="Q106" s="535"/>
    </row>
    <row r="107" spans="1:17" ht="11.25" customHeight="1" hidden="1">
      <c r="A107" s="978"/>
      <c r="B107" s="46" t="s">
        <v>677</v>
      </c>
      <c r="C107" s="501" t="s">
        <v>477</v>
      </c>
      <c r="D107" s="516"/>
      <c r="E107" s="516"/>
      <c r="F107" s="516"/>
      <c r="G107" s="516"/>
      <c r="H107" s="516"/>
      <c r="I107" s="516"/>
      <c r="J107" s="516"/>
      <c r="K107" s="516"/>
      <c r="L107" s="516"/>
      <c r="M107" s="516"/>
      <c r="N107" s="516"/>
      <c r="O107" s="516"/>
      <c r="P107" s="516"/>
      <c r="Q107" s="535"/>
    </row>
    <row r="108" spans="1:17" ht="11.25" customHeight="1" hidden="1">
      <c r="A108" s="978"/>
      <c r="B108" s="46" t="s">
        <v>678</v>
      </c>
      <c r="C108" s="536" t="s">
        <v>457</v>
      </c>
      <c r="D108" s="537"/>
      <c r="E108" s="537"/>
      <c r="F108" s="537"/>
      <c r="G108" s="537"/>
      <c r="H108" s="537"/>
      <c r="I108" s="537"/>
      <c r="J108" s="537"/>
      <c r="K108" s="537"/>
      <c r="L108" s="537"/>
      <c r="M108" s="537"/>
      <c r="N108" s="537"/>
      <c r="O108" s="537"/>
      <c r="P108" s="537"/>
      <c r="Q108" s="538"/>
    </row>
    <row r="109" spans="1:17" ht="11.25" customHeight="1" hidden="1">
      <c r="A109" s="978"/>
      <c r="B109" s="47" t="s">
        <v>679</v>
      </c>
      <c r="C109" s="522"/>
      <c r="D109" s="698">
        <v>75020</v>
      </c>
      <c r="E109" s="522">
        <f>F109+G109</f>
        <v>1566000</v>
      </c>
      <c r="F109" s="522">
        <v>235000</v>
      </c>
      <c r="G109" s="522">
        <v>1331000</v>
      </c>
      <c r="H109" s="522"/>
      <c r="I109" s="522"/>
      <c r="J109" s="522"/>
      <c r="K109" s="522"/>
      <c r="L109" s="522"/>
      <c r="M109" s="522"/>
      <c r="N109" s="522"/>
      <c r="O109" s="522"/>
      <c r="P109" s="522"/>
      <c r="Q109" s="541"/>
    </row>
    <row r="110" spans="1:17" ht="11.25" customHeight="1" hidden="1">
      <c r="A110" s="978"/>
      <c r="B110" s="509" t="s">
        <v>25</v>
      </c>
      <c r="C110" s="1008">
        <v>58</v>
      </c>
      <c r="D110" s="1009"/>
      <c r="E110" s="539">
        <f>F110+G110</f>
        <v>0</v>
      </c>
      <c r="F110" s="539">
        <v>0</v>
      </c>
      <c r="G110" s="539">
        <v>0</v>
      </c>
      <c r="H110" s="539"/>
      <c r="I110" s="539"/>
      <c r="J110" s="539"/>
      <c r="K110" s="539"/>
      <c r="L110" s="539"/>
      <c r="M110" s="539"/>
      <c r="N110" s="539"/>
      <c r="O110" s="539"/>
      <c r="P110" s="539"/>
      <c r="Q110" s="540"/>
    </row>
    <row r="111" spans="1:17" ht="11.25" customHeight="1" hidden="1">
      <c r="A111" s="978"/>
      <c r="B111" s="46" t="s">
        <v>639</v>
      </c>
      <c r="C111" s="1010"/>
      <c r="D111" s="1011"/>
      <c r="E111" s="517">
        <f>F111+G111</f>
        <v>700000</v>
      </c>
      <c r="F111" s="517">
        <v>105000</v>
      </c>
      <c r="G111" s="517">
        <v>595000</v>
      </c>
      <c r="H111" s="517"/>
      <c r="I111" s="517"/>
      <c r="J111" s="517"/>
      <c r="K111" s="517"/>
      <c r="L111" s="517"/>
      <c r="M111" s="517"/>
      <c r="N111" s="517"/>
      <c r="O111" s="517"/>
      <c r="P111" s="517"/>
      <c r="Q111" s="518"/>
    </row>
    <row r="112" spans="1:17" ht="11.25" customHeight="1" hidden="1">
      <c r="A112" s="978"/>
      <c r="B112" s="46" t="s">
        <v>641</v>
      </c>
      <c r="C112" s="1010"/>
      <c r="D112" s="1011"/>
      <c r="E112" s="517">
        <f>F112+G112</f>
        <v>866000</v>
      </c>
      <c r="F112" s="517">
        <v>130000</v>
      </c>
      <c r="G112" s="517">
        <v>736000</v>
      </c>
      <c r="H112" s="517"/>
      <c r="I112" s="517"/>
      <c r="J112" s="517"/>
      <c r="K112" s="517"/>
      <c r="L112" s="517"/>
      <c r="M112" s="517"/>
      <c r="N112" s="517"/>
      <c r="O112" s="517"/>
      <c r="P112" s="517"/>
      <c r="Q112" s="518"/>
    </row>
    <row r="113" spans="1:17" ht="11.25" customHeight="1" hidden="1" thickBot="1">
      <c r="A113" s="979"/>
      <c r="B113" s="507" t="s">
        <v>26</v>
      </c>
      <c r="C113" s="1012"/>
      <c r="D113" s="1013"/>
      <c r="E113" s="519"/>
      <c r="F113" s="519"/>
      <c r="G113" s="519"/>
      <c r="H113" s="519"/>
      <c r="I113" s="519"/>
      <c r="J113" s="519"/>
      <c r="K113" s="519"/>
      <c r="L113" s="519"/>
      <c r="M113" s="519"/>
      <c r="N113" s="519"/>
      <c r="O113" s="519"/>
      <c r="P113" s="519"/>
      <c r="Q113" s="520"/>
    </row>
    <row r="114" spans="1:18" s="51" customFormat="1" ht="12.75" customHeight="1" thickBot="1">
      <c r="A114" s="719">
        <v>1</v>
      </c>
      <c r="B114" s="596" t="s">
        <v>682</v>
      </c>
      <c r="C114" s="1002" t="s">
        <v>629</v>
      </c>
      <c r="D114" s="1002"/>
      <c r="E114" s="597">
        <f aca="true" t="shared" si="10" ref="E114:Q114">E119+E128+E137</f>
        <v>2005239</v>
      </c>
      <c r="F114" s="597">
        <f t="shared" si="10"/>
        <v>377822</v>
      </c>
      <c r="G114" s="597">
        <f t="shared" si="10"/>
        <v>1627417</v>
      </c>
      <c r="H114" s="597">
        <f t="shared" si="10"/>
        <v>1121218</v>
      </c>
      <c r="I114" s="597">
        <f t="shared" si="10"/>
        <v>277805</v>
      </c>
      <c r="J114" s="597">
        <f t="shared" si="10"/>
        <v>0</v>
      </c>
      <c r="K114" s="597">
        <f t="shared" si="10"/>
        <v>0</v>
      </c>
      <c r="L114" s="597">
        <f t="shared" si="10"/>
        <v>277805</v>
      </c>
      <c r="M114" s="597">
        <f t="shared" si="10"/>
        <v>843413</v>
      </c>
      <c r="N114" s="597">
        <f t="shared" si="10"/>
        <v>0</v>
      </c>
      <c r="O114" s="597">
        <f t="shared" si="10"/>
        <v>0</v>
      </c>
      <c r="P114" s="597">
        <f t="shared" si="10"/>
        <v>0</v>
      </c>
      <c r="Q114" s="610">
        <f t="shared" si="10"/>
        <v>843413</v>
      </c>
      <c r="R114"/>
    </row>
    <row r="115" spans="1:17" ht="11.25" customHeight="1">
      <c r="A115" s="970" t="s">
        <v>674</v>
      </c>
      <c r="B115" s="509" t="s">
        <v>675</v>
      </c>
      <c r="C115" s="563" t="s">
        <v>538</v>
      </c>
      <c r="D115" s="564"/>
      <c r="E115" s="564"/>
      <c r="F115" s="564"/>
      <c r="G115" s="564"/>
      <c r="H115" s="564"/>
      <c r="I115" s="564"/>
      <c r="J115" s="564"/>
      <c r="K115" s="564"/>
      <c r="L115" s="564"/>
      <c r="M115" s="564"/>
      <c r="N115" s="564"/>
      <c r="O115" s="564"/>
      <c r="P115" s="564"/>
      <c r="Q115" s="565"/>
    </row>
    <row r="116" spans="1:17" ht="11.25" customHeight="1">
      <c r="A116" s="968"/>
      <c r="B116" s="46" t="s">
        <v>676</v>
      </c>
      <c r="C116" s="563" t="s">
        <v>537</v>
      </c>
      <c r="D116" s="564"/>
      <c r="E116" s="564"/>
      <c r="F116" s="564"/>
      <c r="G116" s="564"/>
      <c r="H116" s="564"/>
      <c r="I116" s="564"/>
      <c r="J116" s="564"/>
      <c r="K116" s="564"/>
      <c r="L116" s="564"/>
      <c r="M116" s="564"/>
      <c r="N116" s="564"/>
      <c r="O116" s="564"/>
      <c r="P116" s="564"/>
      <c r="Q116" s="565"/>
    </row>
    <row r="117" spans="1:17" ht="11.25" customHeight="1">
      <c r="A117" s="968"/>
      <c r="B117" s="46" t="s">
        <v>677</v>
      </c>
      <c r="C117" s="563" t="s">
        <v>539</v>
      </c>
      <c r="D117" s="564"/>
      <c r="E117" s="564"/>
      <c r="F117" s="564"/>
      <c r="G117" s="564"/>
      <c r="H117" s="564"/>
      <c r="I117" s="564"/>
      <c r="J117" s="564"/>
      <c r="K117" s="564"/>
      <c r="L117" s="564"/>
      <c r="M117" s="564"/>
      <c r="N117" s="564"/>
      <c r="O117" s="564"/>
      <c r="P117" s="564"/>
      <c r="Q117" s="565"/>
    </row>
    <row r="118" spans="1:17" ht="11.25" customHeight="1">
      <c r="A118" s="968"/>
      <c r="B118" s="542" t="s">
        <v>678</v>
      </c>
      <c r="C118" s="563" t="s">
        <v>540</v>
      </c>
      <c r="D118" s="564"/>
      <c r="E118" s="564"/>
      <c r="F118" s="564"/>
      <c r="G118" s="564"/>
      <c r="H118" s="564"/>
      <c r="I118" s="564"/>
      <c r="J118" s="564"/>
      <c r="K118" s="564"/>
      <c r="L118" s="564"/>
      <c r="M118" s="564"/>
      <c r="N118" s="564"/>
      <c r="O118" s="564"/>
      <c r="P118" s="564"/>
      <c r="Q118" s="565"/>
    </row>
    <row r="119" spans="1:17" ht="11.25" customHeight="1">
      <c r="A119" s="968"/>
      <c r="B119" s="592" t="s">
        <v>679</v>
      </c>
      <c r="C119" s="593"/>
      <c r="D119" s="595">
        <v>80309</v>
      </c>
      <c r="E119" s="594">
        <f>F119+G119</f>
        <v>890500</v>
      </c>
      <c r="F119" s="594">
        <v>62335</v>
      </c>
      <c r="G119" s="594">
        <v>828165</v>
      </c>
      <c r="H119" s="594">
        <f aca="true" t="shared" si="11" ref="H119:Q119">H120</f>
        <v>606223</v>
      </c>
      <c r="I119" s="594">
        <f t="shared" si="11"/>
        <v>177899</v>
      </c>
      <c r="J119" s="594">
        <f t="shared" si="11"/>
        <v>0</v>
      </c>
      <c r="K119" s="594">
        <f t="shared" si="11"/>
        <v>0</v>
      </c>
      <c r="L119" s="594">
        <f t="shared" si="11"/>
        <v>177899</v>
      </c>
      <c r="M119" s="594">
        <f t="shared" si="11"/>
        <v>428324</v>
      </c>
      <c r="N119" s="594">
        <f t="shared" si="11"/>
        <v>0</v>
      </c>
      <c r="O119" s="594">
        <f t="shared" si="11"/>
        <v>0</v>
      </c>
      <c r="P119" s="594">
        <f t="shared" si="11"/>
        <v>0</v>
      </c>
      <c r="Q119" s="611">
        <f t="shared" si="11"/>
        <v>428324</v>
      </c>
    </row>
    <row r="120" spans="1:17" ht="11.25" customHeight="1">
      <c r="A120" s="968"/>
      <c r="B120" s="509" t="s">
        <v>25</v>
      </c>
      <c r="C120" s="989"/>
      <c r="D120" s="1023"/>
      <c r="E120" s="505">
        <f>F120+G120</f>
        <v>606223</v>
      </c>
      <c r="F120" s="505">
        <v>177899</v>
      </c>
      <c r="G120" s="505">
        <v>428324</v>
      </c>
      <c r="H120" s="506">
        <f>I120+M120</f>
        <v>606223</v>
      </c>
      <c r="I120" s="506">
        <f>SUM(J120:L120)</f>
        <v>177899</v>
      </c>
      <c r="J120" s="506"/>
      <c r="K120" s="506"/>
      <c r="L120" s="506">
        <v>177899</v>
      </c>
      <c r="M120" s="506">
        <f>SUM(N120:Q120)</f>
        <v>428324</v>
      </c>
      <c r="N120" s="506"/>
      <c r="O120" s="506"/>
      <c r="P120" s="506"/>
      <c r="Q120" s="552">
        <v>428324</v>
      </c>
    </row>
    <row r="121" spans="1:17" ht="11.25" customHeight="1">
      <c r="A121" s="968"/>
      <c r="B121" s="46" t="s">
        <v>639</v>
      </c>
      <c r="C121" s="1024"/>
      <c r="D121" s="1025"/>
      <c r="E121" s="503"/>
      <c r="F121" s="503"/>
      <c r="G121" s="503"/>
      <c r="H121" s="504"/>
      <c r="I121" s="504"/>
      <c r="J121" s="504"/>
      <c r="K121" s="504"/>
      <c r="L121" s="504"/>
      <c r="M121" s="504"/>
      <c r="N121" s="504"/>
      <c r="O121" s="504"/>
      <c r="P121" s="504"/>
      <c r="Q121" s="553"/>
    </row>
    <row r="122" spans="1:17" ht="11.25" customHeight="1">
      <c r="A122" s="968"/>
      <c r="B122" s="46" t="s">
        <v>641</v>
      </c>
      <c r="C122" s="1024"/>
      <c r="D122" s="1025"/>
      <c r="E122" s="503"/>
      <c r="F122" s="503"/>
      <c r="G122" s="503"/>
      <c r="H122" s="504"/>
      <c r="I122" s="504"/>
      <c r="J122" s="504"/>
      <c r="K122" s="504"/>
      <c r="L122" s="504"/>
      <c r="M122" s="504"/>
      <c r="N122" s="504"/>
      <c r="O122" s="504"/>
      <c r="P122" s="504"/>
      <c r="Q122" s="553"/>
    </row>
    <row r="123" spans="1:17" ht="11.25" customHeight="1" thickBot="1">
      <c r="A123" s="969"/>
      <c r="B123" s="507" t="s">
        <v>26</v>
      </c>
      <c r="C123" s="1026"/>
      <c r="D123" s="1027"/>
      <c r="E123" s="508"/>
      <c r="F123" s="508"/>
      <c r="G123" s="508"/>
      <c r="H123" s="510"/>
      <c r="I123" s="510"/>
      <c r="J123" s="510"/>
      <c r="K123" s="510"/>
      <c r="L123" s="510"/>
      <c r="M123" s="510"/>
      <c r="N123" s="510"/>
      <c r="O123" s="510"/>
      <c r="P123" s="510"/>
      <c r="Q123" s="554"/>
    </row>
    <row r="124" spans="1:17" ht="11.25" customHeight="1">
      <c r="A124" s="977" t="s">
        <v>680</v>
      </c>
      <c r="B124" s="627" t="s">
        <v>675</v>
      </c>
      <c r="C124" s="1003" t="s">
        <v>538</v>
      </c>
      <c r="D124" s="1004"/>
      <c r="E124" s="1004"/>
      <c r="F124" s="1004"/>
      <c r="G124" s="1004"/>
      <c r="H124" s="1004"/>
      <c r="I124" s="1004"/>
      <c r="J124" s="1004"/>
      <c r="K124" s="1004"/>
      <c r="L124" s="1004"/>
      <c r="M124" s="1004"/>
      <c r="N124" s="1004"/>
      <c r="O124" s="1004"/>
      <c r="P124" s="1004"/>
      <c r="Q124" s="1005"/>
    </row>
    <row r="125" spans="1:17" ht="11.25" customHeight="1">
      <c r="A125" s="981"/>
      <c r="B125" s="46" t="s">
        <v>676</v>
      </c>
      <c r="C125" s="563" t="s">
        <v>537</v>
      </c>
      <c r="D125" s="525"/>
      <c r="E125" s="525"/>
      <c r="F125" s="525"/>
      <c r="G125" s="525"/>
      <c r="H125" s="525"/>
      <c r="I125" s="525"/>
      <c r="J125" s="525"/>
      <c r="K125" s="525"/>
      <c r="L125" s="525"/>
      <c r="M125" s="525"/>
      <c r="N125" s="525"/>
      <c r="O125" s="525"/>
      <c r="P125" s="525"/>
      <c r="Q125" s="528"/>
    </row>
    <row r="126" spans="1:17" ht="11.25" customHeight="1">
      <c r="A126" s="981"/>
      <c r="B126" s="46" t="s">
        <v>677</v>
      </c>
      <c r="C126" s="563" t="s">
        <v>539</v>
      </c>
      <c r="D126" s="525"/>
      <c r="E126" s="525"/>
      <c r="F126" s="525"/>
      <c r="G126" s="525"/>
      <c r="H126" s="525"/>
      <c r="I126" s="525"/>
      <c r="J126" s="525"/>
      <c r="K126" s="525"/>
      <c r="L126" s="525"/>
      <c r="M126" s="525"/>
      <c r="N126" s="525"/>
      <c r="O126" s="525"/>
      <c r="P126" s="525"/>
      <c r="Q126" s="528"/>
    </row>
    <row r="127" spans="1:17" ht="11.25" customHeight="1">
      <c r="A127" s="981"/>
      <c r="B127" s="542" t="s">
        <v>678</v>
      </c>
      <c r="C127" s="527" t="s">
        <v>541</v>
      </c>
      <c r="D127" s="525"/>
      <c r="E127" s="525"/>
      <c r="F127" s="525"/>
      <c r="G127" s="525"/>
      <c r="H127" s="525"/>
      <c r="I127" s="525"/>
      <c r="J127" s="525"/>
      <c r="K127" s="525"/>
      <c r="L127" s="525"/>
      <c r="M127" s="525"/>
      <c r="N127" s="525"/>
      <c r="O127" s="525"/>
      <c r="P127" s="525"/>
      <c r="Q127" s="528"/>
    </row>
    <row r="128" spans="1:17" ht="11.25" customHeight="1">
      <c r="A128" s="981"/>
      <c r="B128" s="592" t="s">
        <v>679</v>
      </c>
      <c r="C128" s="595"/>
      <c r="D128" s="595">
        <v>85415</v>
      </c>
      <c r="E128" s="612">
        <f>F128+G128</f>
        <v>254550</v>
      </c>
      <c r="F128" s="612">
        <v>81456</v>
      </c>
      <c r="G128" s="612">
        <v>173094</v>
      </c>
      <c r="H128" s="612">
        <f>H129</f>
        <v>156235</v>
      </c>
      <c r="I128" s="612">
        <f aca="true" t="shared" si="12" ref="I128:Q128">I129</f>
        <v>49995</v>
      </c>
      <c r="J128" s="612">
        <f t="shared" si="12"/>
        <v>0</v>
      </c>
      <c r="K128" s="612">
        <f t="shared" si="12"/>
        <v>0</v>
      </c>
      <c r="L128" s="612">
        <f t="shared" si="12"/>
        <v>49995</v>
      </c>
      <c r="M128" s="612">
        <f t="shared" si="12"/>
        <v>106240</v>
      </c>
      <c r="N128" s="612">
        <f t="shared" si="12"/>
        <v>0</v>
      </c>
      <c r="O128" s="612">
        <f t="shared" si="12"/>
        <v>0</v>
      </c>
      <c r="P128" s="612">
        <f t="shared" si="12"/>
        <v>0</v>
      </c>
      <c r="Q128" s="613">
        <f t="shared" si="12"/>
        <v>106240</v>
      </c>
    </row>
    <row r="129" spans="1:17" ht="11.25" customHeight="1">
      <c r="A129" s="981"/>
      <c r="B129" s="509" t="s">
        <v>25</v>
      </c>
      <c r="C129" s="989"/>
      <c r="D129" s="1023"/>
      <c r="E129" s="614">
        <f>F129+G129</f>
        <v>156235</v>
      </c>
      <c r="F129" s="614">
        <v>49995</v>
      </c>
      <c r="G129" s="614">
        <v>106240</v>
      </c>
      <c r="H129" s="614">
        <f>I129+M129</f>
        <v>156235</v>
      </c>
      <c r="I129" s="614">
        <f>SUM(J129:L129)</f>
        <v>49995</v>
      </c>
      <c r="J129" s="614"/>
      <c r="K129" s="614"/>
      <c r="L129" s="614">
        <v>49995</v>
      </c>
      <c r="M129" s="614">
        <f>N129+O129+P129+Q129</f>
        <v>106240</v>
      </c>
      <c r="N129" s="614"/>
      <c r="O129" s="614"/>
      <c r="P129" s="614"/>
      <c r="Q129" s="615">
        <v>106240</v>
      </c>
    </row>
    <row r="130" spans="1:17" ht="11.25" customHeight="1">
      <c r="A130" s="981"/>
      <c r="B130" s="46" t="s">
        <v>639</v>
      </c>
      <c r="C130" s="1024"/>
      <c r="D130" s="1025"/>
      <c r="E130" s="517"/>
      <c r="F130" s="517"/>
      <c r="G130" s="517"/>
      <c r="H130" s="517"/>
      <c r="I130" s="517"/>
      <c r="J130" s="517"/>
      <c r="K130" s="517"/>
      <c r="L130" s="517"/>
      <c r="M130" s="517"/>
      <c r="N130" s="517"/>
      <c r="O130" s="517"/>
      <c r="P130" s="517"/>
      <c r="Q130" s="518"/>
    </row>
    <row r="131" spans="1:17" ht="11.25" customHeight="1">
      <c r="A131" s="981"/>
      <c r="B131" s="46" t="s">
        <v>641</v>
      </c>
      <c r="C131" s="1024"/>
      <c r="D131" s="1025"/>
      <c r="E131" s="517"/>
      <c r="F131" s="517"/>
      <c r="G131" s="517"/>
      <c r="H131" s="517"/>
      <c r="I131" s="517"/>
      <c r="J131" s="517"/>
      <c r="K131" s="517"/>
      <c r="L131" s="517"/>
      <c r="M131" s="517"/>
      <c r="N131" s="517"/>
      <c r="O131" s="517"/>
      <c r="P131" s="517"/>
      <c r="Q131" s="518"/>
    </row>
    <row r="132" spans="1:17" ht="11.25" customHeight="1" thickBot="1">
      <c r="A132" s="1032"/>
      <c r="B132" s="507" t="s">
        <v>26</v>
      </c>
      <c r="C132" s="1026"/>
      <c r="D132" s="1027"/>
      <c r="E132" s="519"/>
      <c r="F132" s="519"/>
      <c r="G132" s="519"/>
      <c r="H132" s="519"/>
      <c r="I132" s="519"/>
      <c r="J132" s="519"/>
      <c r="K132" s="519"/>
      <c r="L132" s="519"/>
      <c r="M132" s="519"/>
      <c r="N132" s="519"/>
      <c r="O132" s="519"/>
      <c r="P132" s="519"/>
      <c r="Q132" s="520"/>
    </row>
    <row r="133" spans="1:17" ht="11.25" customHeight="1">
      <c r="A133" s="1033" t="s">
        <v>681</v>
      </c>
      <c r="B133" s="509" t="s">
        <v>675</v>
      </c>
      <c r="C133" s="527" t="s">
        <v>542</v>
      </c>
      <c r="D133" s="525"/>
      <c r="E133" s="516"/>
      <c r="F133" s="516"/>
      <c r="G133" s="516"/>
      <c r="H133" s="516"/>
      <c r="I133" s="516"/>
      <c r="J133" s="516"/>
      <c r="K133" s="516"/>
      <c r="L133" s="516"/>
      <c r="M133" s="516"/>
      <c r="N133" s="516"/>
      <c r="O133" s="516"/>
      <c r="P133" s="516"/>
      <c r="Q133" s="535"/>
    </row>
    <row r="134" spans="1:17" ht="11.25" customHeight="1">
      <c r="A134" s="1033"/>
      <c r="B134" s="46" t="s">
        <v>676</v>
      </c>
      <c r="C134" s="527" t="s">
        <v>543</v>
      </c>
      <c r="D134" s="525"/>
      <c r="E134" s="516"/>
      <c r="F134" s="516"/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  <c r="Q134" s="535"/>
    </row>
    <row r="135" spans="1:17" ht="11.25" customHeight="1">
      <c r="A135" s="1033"/>
      <c r="B135" s="46" t="s">
        <v>677</v>
      </c>
      <c r="C135" s="527" t="s">
        <v>547</v>
      </c>
      <c r="D135" s="525"/>
      <c r="E135" s="516"/>
      <c r="F135" s="516"/>
      <c r="G135" s="516"/>
      <c r="H135" s="516"/>
      <c r="I135" s="516"/>
      <c r="J135" s="516"/>
      <c r="K135" s="516"/>
      <c r="L135" s="516"/>
      <c r="M135" s="516"/>
      <c r="N135" s="516"/>
      <c r="O135" s="516"/>
      <c r="P135" s="516"/>
      <c r="Q135" s="535"/>
    </row>
    <row r="136" spans="1:17" ht="11.25" customHeight="1">
      <c r="A136" s="1033"/>
      <c r="B136" s="542" t="s">
        <v>678</v>
      </c>
      <c r="C136" s="524" t="s">
        <v>544</v>
      </c>
      <c r="D136" s="525"/>
      <c r="E136" s="516"/>
      <c r="F136" s="516"/>
      <c r="G136" s="516"/>
      <c r="H136" s="516"/>
      <c r="I136" s="516"/>
      <c r="J136" s="516"/>
      <c r="K136" s="516"/>
      <c r="L136" s="516"/>
      <c r="M136" s="516"/>
      <c r="N136" s="516"/>
      <c r="O136" s="516"/>
      <c r="P136" s="516"/>
      <c r="Q136" s="535"/>
    </row>
    <row r="137" spans="1:17" ht="11.25" customHeight="1">
      <c r="A137" s="1033"/>
      <c r="B137" s="592" t="s">
        <v>679</v>
      </c>
      <c r="C137" s="595"/>
      <c r="D137" s="595">
        <v>85395</v>
      </c>
      <c r="E137" s="612">
        <f>F137+G137</f>
        <v>860189</v>
      </c>
      <c r="F137" s="612">
        <v>234031</v>
      </c>
      <c r="G137" s="612">
        <v>626158</v>
      </c>
      <c r="H137" s="612">
        <f>H138</f>
        <v>358760</v>
      </c>
      <c r="I137" s="612">
        <f aca="true" t="shared" si="13" ref="I137:Q137">I138</f>
        <v>49911</v>
      </c>
      <c r="J137" s="612">
        <f t="shared" si="13"/>
        <v>0</v>
      </c>
      <c r="K137" s="612">
        <f t="shared" si="13"/>
        <v>0</v>
      </c>
      <c r="L137" s="612">
        <f t="shared" si="13"/>
        <v>49911</v>
      </c>
      <c r="M137" s="612">
        <f t="shared" si="13"/>
        <v>308849</v>
      </c>
      <c r="N137" s="612">
        <f t="shared" si="13"/>
        <v>0</v>
      </c>
      <c r="O137" s="612">
        <f t="shared" si="13"/>
        <v>0</v>
      </c>
      <c r="P137" s="612">
        <f t="shared" si="13"/>
        <v>0</v>
      </c>
      <c r="Q137" s="613">
        <f t="shared" si="13"/>
        <v>308849</v>
      </c>
    </row>
    <row r="138" spans="1:17" ht="11.25" customHeight="1">
      <c r="A138" s="1033"/>
      <c r="B138" s="598" t="s">
        <v>25</v>
      </c>
      <c r="C138" s="989">
        <v>21</v>
      </c>
      <c r="D138" s="1023"/>
      <c r="E138" s="614">
        <f>F138+G138</f>
        <v>358760</v>
      </c>
      <c r="F138" s="614">
        <v>49911</v>
      </c>
      <c r="G138" s="614">
        <v>308849</v>
      </c>
      <c r="H138" s="614">
        <f>I138+M138</f>
        <v>358760</v>
      </c>
      <c r="I138" s="614">
        <f>SUM(J138:L138)</f>
        <v>49911</v>
      </c>
      <c r="J138" s="614"/>
      <c r="K138" s="614"/>
      <c r="L138" s="614">
        <v>49911</v>
      </c>
      <c r="M138" s="614">
        <f>SUM(N138:Q138)</f>
        <v>308849</v>
      </c>
      <c r="N138" s="614"/>
      <c r="O138" s="614"/>
      <c r="P138" s="614"/>
      <c r="Q138" s="615">
        <v>308849</v>
      </c>
    </row>
    <row r="139" spans="1:17" ht="11.25" customHeight="1">
      <c r="A139" s="1033"/>
      <c r="B139" s="566" t="s">
        <v>639</v>
      </c>
      <c r="C139" s="1024"/>
      <c r="D139" s="1025"/>
      <c r="E139" s="517"/>
      <c r="F139" s="517"/>
      <c r="G139" s="517"/>
      <c r="H139" s="517"/>
      <c r="I139" s="517"/>
      <c r="J139" s="517"/>
      <c r="K139" s="517"/>
      <c r="L139" s="517"/>
      <c r="M139" s="517"/>
      <c r="N139" s="517"/>
      <c r="O139" s="517"/>
      <c r="P139" s="517"/>
      <c r="Q139" s="518"/>
    </row>
    <row r="140" spans="1:17" ht="11.25" customHeight="1">
      <c r="A140" s="1033"/>
      <c r="B140" s="566" t="s">
        <v>641</v>
      </c>
      <c r="C140" s="1024"/>
      <c r="D140" s="1025"/>
      <c r="E140" s="517"/>
      <c r="F140" s="517"/>
      <c r="G140" s="517"/>
      <c r="H140" s="517"/>
      <c r="I140" s="517"/>
      <c r="J140" s="517"/>
      <c r="K140" s="517"/>
      <c r="L140" s="517"/>
      <c r="M140" s="517"/>
      <c r="N140" s="517"/>
      <c r="O140" s="517"/>
      <c r="P140" s="517"/>
      <c r="Q140" s="518"/>
    </row>
    <row r="141" spans="1:17" ht="11.25" customHeight="1">
      <c r="A141" s="1034"/>
      <c r="B141" s="566" t="s">
        <v>26</v>
      </c>
      <c r="C141" s="1035"/>
      <c r="D141" s="1036"/>
      <c r="E141" s="522"/>
      <c r="F141" s="522"/>
      <c r="G141" s="522"/>
      <c r="H141" s="522"/>
      <c r="I141" s="522"/>
      <c r="J141" s="522"/>
      <c r="K141" s="522"/>
      <c r="L141" s="522"/>
      <c r="M141" s="522"/>
      <c r="N141" s="522"/>
      <c r="O141" s="522"/>
      <c r="P141" s="522"/>
      <c r="Q141" s="541"/>
    </row>
    <row r="142" spans="1:17" s="51" customFormat="1" ht="12.75" customHeight="1" thickBot="1">
      <c r="A142" s="964" t="s">
        <v>583</v>
      </c>
      <c r="B142" s="965"/>
      <c r="C142" s="1000" t="s">
        <v>629</v>
      </c>
      <c r="D142" s="1001"/>
      <c r="E142" s="545">
        <f>E114</f>
        <v>2005239</v>
      </c>
      <c r="F142" s="545">
        <f aca="true" t="shared" si="14" ref="F142:Q142">F114</f>
        <v>377822</v>
      </c>
      <c r="G142" s="545">
        <f t="shared" si="14"/>
        <v>1627417</v>
      </c>
      <c r="H142" s="545">
        <f t="shared" si="14"/>
        <v>1121218</v>
      </c>
      <c r="I142" s="545">
        <f t="shared" si="14"/>
        <v>277805</v>
      </c>
      <c r="J142" s="545">
        <f t="shared" si="14"/>
        <v>0</v>
      </c>
      <c r="K142" s="545">
        <f t="shared" si="14"/>
        <v>0</v>
      </c>
      <c r="L142" s="545">
        <f>L114</f>
        <v>277805</v>
      </c>
      <c r="M142" s="545">
        <f t="shared" si="14"/>
        <v>843413</v>
      </c>
      <c r="N142" s="545">
        <f t="shared" si="14"/>
        <v>0</v>
      </c>
      <c r="O142" s="545">
        <f t="shared" si="14"/>
        <v>0</v>
      </c>
      <c r="P142" s="545">
        <f>P114</f>
        <v>0</v>
      </c>
      <c r="Q142" s="545">
        <f t="shared" si="14"/>
        <v>843413</v>
      </c>
    </row>
    <row r="144" spans="1:10" ht="24" customHeight="1">
      <c r="A144" s="966" t="s">
        <v>683</v>
      </c>
      <c r="B144" s="966"/>
      <c r="C144" s="966"/>
      <c r="D144" s="966"/>
      <c r="E144" s="966"/>
      <c r="F144" s="966"/>
      <c r="G144" s="966"/>
      <c r="H144" s="966"/>
      <c r="I144" s="966"/>
      <c r="J144" s="966"/>
    </row>
    <row r="145" spans="1:10" ht="24" customHeight="1">
      <c r="A145" s="55" t="s">
        <v>8</v>
      </c>
      <c r="B145" s="55"/>
      <c r="C145" s="55"/>
      <c r="D145" s="55"/>
      <c r="E145" s="55"/>
      <c r="F145" s="55"/>
      <c r="G145" s="55"/>
      <c r="H145" s="55"/>
      <c r="I145" s="55"/>
      <c r="J145" s="55"/>
    </row>
    <row r="146" spans="1:10" ht="24" customHeight="1">
      <c r="A146" s="55" t="s">
        <v>27</v>
      </c>
      <c r="B146" s="55"/>
      <c r="C146" s="55"/>
      <c r="D146" s="55"/>
      <c r="E146" s="55"/>
      <c r="F146" s="55"/>
      <c r="G146" s="55"/>
      <c r="H146" s="55"/>
      <c r="I146" s="55"/>
      <c r="J146" s="55"/>
    </row>
  </sheetData>
  <mergeCells count="62">
    <mergeCell ref="A78:A86"/>
    <mergeCell ref="A87:A95"/>
    <mergeCell ref="A96:A104"/>
    <mergeCell ref="A105:A113"/>
    <mergeCell ref="A124:A132"/>
    <mergeCell ref="A133:A141"/>
    <mergeCell ref="C138:D141"/>
    <mergeCell ref="C129:D132"/>
    <mergeCell ref="C101:D104"/>
    <mergeCell ref="C110:D113"/>
    <mergeCell ref="C120:D123"/>
    <mergeCell ref="C20:D23"/>
    <mergeCell ref="C56:D59"/>
    <mergeCell ref="C65:D68"/>
    <mergeCell ref="C47:D50"/>
    <mergeCell ref="C81:Q81"/>
    <mergeCell ref="C90:Q90"/>
    <mergeCell ref="C99:Q99"/>
    <mergeCell ref="C92:D95"/>
    <mergeCell ref="A60:A68"/>
    <mergeCell ref="A69:A77"/>
    <mergeCell ref="C36:Q36"/>
    <mergeCell ref="C45:Q45"/>
    <mergeCell ref="C54:Q54"/>
    <mergeCell ref="C72:Q72"/>
    <mergeCell ref="C38:D41"/>
    <mergeCell ref="C74:D77"/>
    <mergeCell ref="C83:D86"/>
    <mergeCell ref="A5:Q5"/>
    <mergeCell ref="C142:D142"/>
    <mergeCell ref="C114:D114"/>
    <mergeCell ref="C124:Q124"/>
    <mergeCell ref="N11:Q11"/>
    <mergeCell ref="C14:D14"/>
    <mergeCell ref="M11:M12"/>
    <mergeCell ref="H7:Q7"/>
    <mergeCell ref="H8:Q8"/>
    <mergeCell ref="I9:Q9"/>
    <mergeCell ref="C29:D32"/>
    <mergeCell ref="E7:E12"/>
    <mergeCell ref="M10:Q10"/>
    <mergeCell ref="H9:H12"/>
    <mergeCell ref="I10:L10"/>
    <mergeCell ref="I11:I12"/>
    <mergeCell ref="J11:L11"/>
    <mergeCell ref="F8:F12"/>
    <mergeCell ref="G8:G12"/>
    <mergeCell ref="F7:G7"/>
    <mergeCell ref="A7:A12"/>
    <mergeCell ref="B7:B12"/>
    <mergeCell ref="C7:C12"/>
    <mergeCell ref="D7:D12"/>
    <mergeCell ref="A142:B142"/>
    <mergeCell ref="A144:J144"/>
    <mergeCell ref="A15:A23"/>
    <mergeCell ref="A24:A32"/>
    <mergeCell ref="A115:A123"/>
    <mergeCell ref="C18:Q18"/>
    <mergeCell ref="C27:Q27"/>
    <mergeCell ref="A33:A41"/>
    <mergeCell ref="A42:A50"/>
    <mergeCell ref="A51:A59"/>
  </mergeCells>
  <printOptions/>
  <pageMargins left="0.1968503937007874" right="0.3937007874015748" top="0.5905511811023623" bottom="0.1968503937007874" header="0.15748031496062992" footer="0.1968503937007874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view="pageBreakPreview" zoomScaleSheetLayoutView="100" workbookViewId="0" topLeftCell="A13">
      <selection activeCell="E32" sqref="E3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8.75390625" style="1" customWidth="1"/>
    <col min="4" max="4" width="11.75390625" style="1" hidden="1" customWidth="1"/>
    <col min="5" max="5" width="13.375" style="1" customWidth="1"/>
    <col min="6" max="6" width="8.125" style="1" hidden="1" customWidth="1"/>
    <col min="7" max="16384" width="9.125" style="1" customWidth="1"/>
  </cols>
  <sheetData>
    <row r="1" ht="12.75">
      <c r="E1" s="6" t="s">
        <v>350</v>
      </c>
    </row>
    <row r="2" ht="12.75">
      <c r="E2" s="1" t="s">
        <v>351</v>
      </c>
    </row>
    <row r="3" ht="12.75">
      <c r="E3" s="1" t="s">
        <v>216</v>
      </c>
    </row>
    <row r="4" ht="12.75">
      <c r="E4" s="1" t="s">
        <v>720</v>
      </c>
    </row>
    <row r="6" spans="1:5" ht="15" customHeight="1">
      <c r="A6" s="1037" t="s">
        <v>655</v>
      </c>
      <c r="B6" s="1037"/>
      <c r="C6" s="1037"/>
      <c r="D6" s="1037"/>
      <c r="E6" s="1037"/>
    </row>
    <row r="7" ht="6.75" customHeight="1">
      <c r="A7" s="16"/>
    </row>
    <row r="8" ht="13.5" thickBot="1">
      <c r="E8" s="10" t="s">
        <v>624</v>
      </c>
    </row>
    <row r="9" spans="1:6" ht="15" customHeight="1">
      <c r="A9" s="957" t="s">
        <v>643</v>
      </c>
      <c r="B9" s="959" t="s">
        <v>589</v>
      </c>
      <c r="C9" s="952" t="s">
        <v>644</v>
      </c>
      <c r="D9" s="1038" t="s">
        <v>211</v>
      </c>
      <c r="E9" s="952" t="s">
        <v>645</v>
      </c>
      <c r="F9" s="961" t="s">
        <v>212</v>
      </c>
    </row>
    <row r="10" spans="1:6" ht="15" customHeight="1">
      <c r="A10" s="958"/>
      <c r="B10" s="960"/>
      <c r="C10" s="960"/>
      <c r="D10" s="1039"/>
      <c r="E10" s="953"/>
      <c r="F10" s="962"/>
    </row>
    <row r="11" spans="1:6" ht="15.75" customHeight="1">
      <c r="A11" s="958"/>
      <c r="B11" s="960"/>
      <c r="C11" s="960"/>
      <c r="D11" s="1040"/>
      <c r="E11" s="953"/>
      <c r="F11" s="962"/>
    </row>
    <row r="12" spans="1:6" s="53" customFormat="1" ht="6.75" customHeight="1">
      <c r="A12" s="722">
        <v>1</v>
      </c>
      <c r="B12" s="52">
        <v>2</v>
      </c>
      <c r="C12" s="52">
        <v>3</v>
      </c>
      <c r="D12" s="52">
        <v>4</v>
      </c>
      <c r="E12" s="52">
        <v>5</v>
      </c>
      <c r="F12" s="723">
        <v>6</v>
      </c>
    </row>
    <row r="13" spans="1:6" s="53" customFormat="1" ht="13.5" customHeight="1">
      <c r="A13" s="165" t="s">
        <v>594</v>
      </c>
      <c r="B13" s="166" t="s">
        <v>213</v>
      </c>
      <c r="C13" s="52"/>
      <c r="D13" s="559" t="e">
        <f>'Dochody-ukł.wykon.'!E257</f>
        <v>#REF!</v>
      </c>
      <c r="E13" s="559">
        <f>'Dochody-ukł.wykon.'!H257</f>
        <v>36631711</v>
      </c>
      <c r="F13" s="724" t="e">
        <f aca="true" t="shared" si="0" ref="F13:F18">E13/D13*100</f>
        <v>#REF!</v>
      </c>
    </row>
    <row r="14" spans="1:6" s="53" customFormat="1" ht="13.5" customHeight="1">
      <c r="A14" s="167" t="s">
        <v>599</v>
      </c>
      <c r="B14" s="168" t="s">
        <v>658</v>
      </c>
      <c r="C14" s="52"/>
      <c r="D14" s="559" t="e">
        <f>'WYDATKI ukł.wyk.'!E666</f>
        <v>#REF!</v>
      </c>
      <c r="E14" s="559">
        <f>'WYDATKI ukł.wyk.'!H666</f>
        <v>33995682</v>
      </c>
      <c r="F14" s="724" t="e">
        <f t="shared" si="0"/>
        <v>#REF!</v>
      </c>
    </row>
    <row r="15" spans="1:6" s="53" customFormat="1" ht="13.5" customHeight="1">
      <c r="A15" s="167"/>
      <c r="B15" s="168" t="s">
        <v>214</v>
      </c>
      <c r="C15" s="52"/>
      <c r="D15" s="559" t="e">
        <f>D13-D14</f>
        <v>#REF!</v>
      </c>
      <c r="E15" s="559">
        <f>E13-E14</f>
        <v>2636029</v>
      </c>
      <c r="F15" s="724" t="e">
        <f t="shared" si="0"/>
        <v>#REF!</v>
      </c>
    </row>
    <row r="16" spans="1:8" s="53" customFormat="1" ht="13.5" customHeight="1">
      <c r="A16" s="169"/>
      <c r="B16" s="170" t="s">
        <v>215</v>
      </c>
      <c r="C16" s="52"/>
      <c r="D16" s="559">
        <f>D17-D26</f>
        <v>2748976</v>
      </c>
      <c r="E16" s="559">
        <f>E17-E26</f>
        <v>-2636029</v>
      </c>
      <c r="F16" s="724">
        <f t="shared" si="0"/>
        <v>-95.89130643556001</v>
      </c>
      <c r="H16" s="806"/>
    </row>
    <row r="17" spans="1:6" ht="18.75" customHeight="1">
      <c r="A17" s="740" t="s">
        <v>600</v>
      </c>
      <c r="B17" s="741" t="s">
        <v>608</v>
      </c>
      <c r="C17" s="21"/>
      <c r="D17" s="721">
        <f>SUM(D18:D25)</f>
        <v>3423049</v>
      </c>
      <c r="E17" s="721">
        <f>SUM(E18:E25)</f>
        <v>4000000</v>
      </c>
      <c r="F17" s="725">
        <f t="shared" si="0"/>
        <v>116.85488580502353</v>
      </c>
    </row>
    <row r="18" spans="1:6" ht="18.75" customHeight="1">
      <c r="A18" s="726" t="s">
        <v>595</v>
      </c>
      <c r="B18" s="23" t="s">
        <v>603</v>
      </c>
      <c r="C18" s="22" t="s">
        <v>609</v>
      </c>
      <c r="D18" s="213">
        <v>927418</v>
      </c>
      <c r="E18" s="560"/>
      <c r="F18" s="727">
        <f t="shared" si="0"/>
        <v>0</v>
      </c>
    </row>
    <row r="19" spans="1:6" ht="18.75" customHeight="1">
      <c r="A19" s="728" t="s">
        <v>596</v>
      </c>
      <c r="B19" s="25" t="s">
        <v>604</v>
      </c>
      <c r="C19" s="24" t="s">
        <v>609</v>
      </c>
      <c r="D19" s="211"/>
      <c r="E19" s="561"/>
      <c r="F19" s="729"/>
    </row>
    <row r="20" spans="1:6" ht="51">
      <c r="A20" s="728" t="s">
        <v>597</v>
      </c>
      <c r="B20" s="26" t="s">
        <v>14</v>
      </c>
      <c r="C20" s="24" t="s">
        <v>631</v>
      </c>
      <c r="D20" s="211"/>
      <c r="E20" s="561"/>
      <c r="F20" s="729"/>
    </row>
    <row r="21" spans="1:6" ht="18.75" customHeight="1">
      <c r="A21" s="728" t="s">
        <v>585</v>
      </c>
      <c r="B21" s="25" t="s">
        <v>611</v>
      </c>
      <c r="C21" s="24" t="s">
        <v>632</v>
      </c>
      <c r="D21" s="211"/>
      <c r="E21" s="561"/>
      <c r="F21" s="729"/>
    </row>
    <row r="22" spans="1:6" ht="18.75" customHeight="1">
      <c r="A22" s="728" t="s">
        <v>602</v>
      </c>
      <c r="B22" s="25" t="s">
        <v>15</v>
      </c>
      <c r="C22" s="24" t="s">
        <v>28</v>
      </c>
      <c r="D22" s="211"/>
      <c r="E22" s="561"/>
      <c r="F22" s="729"/>
    </row>
    <row r="23" spans="1:6" ht="18.75" customHeight="1">
      <c r="A23" s="728" t="s">
        <v>605</v>
      </c>
      <c r="B23" s="25" t="s">
        <v>606</v>
      </c>
      <c r="C23" s="24" t="s">
        <v>610</v>
      </c>
      <c r="D23" s="211">
        <v>2495631</v>
      </c>
      <c r="E23" s="561"/>
      <c r="F23" s="729">
        <f>E23/D23*100</f>
        <v>0</v>
      </c>
    </row>
    <row r="24" spans="1:6" ht="18.75" customHeight="1">
      <c r="A24" s="728" t="s">
        <v>607</v>
      </c>
      <c r="B24" s="25" t="s">
        <v>40</v>
      </c>
      <c r="C24" s="24" t="s">
        <v>649</v>
      </c>
      <c r="D24" s="211"/>
      <c r="E24" s="561">
        <v>4000000</v>
      </c>
      <c r="F24" s="729"/>
    </row>
    <row r="25" spans="1:6" ht="18.75" customHeight="1">
      <c r="A25" s="728" t="s">
        <v>613</v>
      </c>
      <c r="B25" s="28" t="s">
        <v>630</v>
      </c>
      <c r="C25" s="27" t="s">
        <v>612</v>
      </c>
      <c r="D25" s="562"/>
      <c r="E25" s="821"/>
      <c r="F25" s="730"/>
    </row>
    <row r="26" spans="1:6" ht="18.75" customHeight="1">
      <c r="A26" s="740" t="s">
        <v>621</v>
      </c>
      <c r="B26" s="741" t="s">
        <v>16</v>
      </c>
      <c r="C26" s="21"/>
      <c r="D26" s="212">
        <f>SUM(D27:D33)</f>
        <v>674073</v>
      </c>
      <c r="E26" s="721">
        <f>SUM(E27:E33)</f>
        <v>6636029</v>
      </c>
      <c r="F26" s="731">
        <f>E26/D26*100</f>
        <v>984.4674093162016</v>
      </c>
    </row>
    <row r="27" spans="1:6" ht="18.75" customHeight="1">
      <c r="A27" s="726" t="s">
        <v>595</v>
      </c>
      <c r="B27" s="23" t="s">
        <v>633</v>
      </c>
      <c r="C27" s="22" t="s">
        <v>615</v>
      </c>
      <c r="D27" s="213">
        <v>522825</v>
      </c>
      <c r="E27" s="560">
        <v>3990000</v>
      </c>
      <c r="F27" s="732">
        <f>E27/D27*100</f>
        <v>763.1616697747812</v>
      </c>
    </row>
    <row r="28" spans="1:6" ht="18.75" customHeight="1">
      <c r="A28" s="728" t="s">
        <v>596</v>
      </c>
      <c r="B28" s="25" t="s">
        <v>614</v>
      </c>
      <c r="C28" s="24" t="s">
        <v>615</v>
      </c>
      <c r="D28" s="211">
        <v>151248</v>
      </c>
      <c r="E28" s="561">
        <v>10000</v>
      </c>
      <c r="F28" s="733">
        <f>E28/D28*100</f>
        <v>6.611657674812228</v>
      </c>
    </row>
    <row r="29" spans="1:6" ht="38.25">
      <c r="A29" s="728" t="s">
        <v>597</v>
      </c>
      <c r="B29" s="26" t="s">
        <v>636</v>
      </c>
      <c r="C29" s="24" t="s">
        <v>637</v>
      </c>
      <c r="D29" s="211"/>
      <c r="E29" s="561"/>
      <c r="F29" s="729"/>
    </row>
    <row r="30" spans="1:6" ht="18.75" customHeight="1">
      <c r="A30" s="728" t="s">
        <v>585</v>
      </c>
      <c r="B30" s="25" t="s">
        <v>634</v>
      </c>
      <c r="C30" s="24" t="s">
        <v>628</v>
      </c>
      <c r="D30" s="211"/>
      <c r="E30" s="561">
        <f>15000+288888</f>
        <v>303888</v>
      </c>
      <c r="F30" s="729">
        <v>0</v>
      </c>
    </row>
    <row r="31" spans="1:6" ht="18.75" customHeight="1">
      <c r="A31" s="728" t="s">
        <v>602</v>
      </c>
      <c r="B31" s="25" t="s">
        <v>635</v>
      </c>
      <c r="C31" s="24" t="s">
        <v>617</v>
      </c>
      <c r="D31" s="211"/>
      <c r="E31" s="561">
        <f>547847+1454637-723000+1052657</f>
        <v>2332141</v>
      </c>
      <c r="F31" s="729"/>
    </row>
    <row r="32" spans="1:6" ht="18.75" customHeight="1">
      <c r="A32" s="728" t="s">
        <v>605</v>
      </c>
      <c r="B32" s="25" t="s">
        <v>41</v>
      </c>
      <c r="C32" s="24" t="s">
        <v>618</v>
      </c>
      <c r="D32" s="211"/>
      <c r="E32" s="561"/>
      <c r="F32" s="729"/>
    </row>
    <row r="33" spans="1:6" ht="18.75" customHeight="1" thickBot="1">
      <c r="A33" s="734" t="s">
        <v>607</v>
      </c>
      <c r="B33" s="735" t="s">
        <v>619</v>
      </c>
      <c r="C33" s="736" t="s">
        <v>616</v>
      </c>
      <c r="D33" s="737"/>
      <c r="E33" s="738"/>
      <c r="F33" s="739"/>
    </row>
    <row r="34" spans="1:5" ht="7.5" customHeight="1">
      <c r="A34" s="3"/>
      <c r="B34" s="4"/>
      <c r="C34" s="4"/>
      <c r="D34" s="4"/>
      <c r="E34" s="4"/>
    </row>
    <row r="35" spans="1:7" ht="12.75">
      <c r="A35" s="39"/>
      <c r="B35" s="38"/>
      <c r="C35" s="38"/>
      <c r="D35" s="38"/>
      <c r="E35" s="38"/>
      <c r="F35" s="35"/>
      <c r="G35" s="35"/>
    </row>
  </sheetData>
  <mergeCells count="7">
    <mergeCell ref="F9:F11"/>
    <mergeCell ref="A6:E6"/>
    <mergeCell ref="A9:A11"/>
    <mergeCell ref="C9:C11"/>
    <mergeCell ref="B9:B11"/>
    <mergeCell ref="E9:E11"/>
    <mergeCell ref="D9:D11"/>
  </mergeCells>
  <printOptions horizontalCentered="1"/>
  <pageMargins left="0.74" right="0.3937007874015748" top="0.56" bottom="0.5905511811023623" header="0.5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1"/>
  <sheetViews>
    <sheetView workbookViewId="0" topLeftCell="A10">
      <selection activeCell="F79" sqref="F79"/>
    </sheetView>
  </sheetViews>
  <sheetFormatPr defaultColWidth="9.00390625" defaultRowHeight="12.75"/>
  <cols>
    <col min="1" max="1" width="4.625" style="89" customWidth="1"/>
    <col min="2" max="2" width="6.125" style="89" customWidth="1"/>
    <col min="3" max="3" width="5.00390625" style="89" customWidth="1"/>
    <col min="4" max="4" width="46.875" style="89" customWidth="1"/>
    <col min="5" max="5" width="13.00390625" style="89" customWidth="1"/>
    <col min="6" max="6" width="11.00390625" style="89" customWidth="1"/>
    <col min="7" max="16384" width="9.125" style="89" customWidth="1"/>
  </cols>
  <sheetData>
    <row r="1" spans="5:6" ht="12">
      <c r="E1" s="101"/>
      <c r="F1" s="90" t="s">
        <v>368</v>
      </c>
    </row>
    <row r="2" spans="5:6" ht="12">
      <c r="E2" s="101"/>
      <c r="F2" s="90" t="s">
        <v>369</v>
      </c>
    </row>
    <row r="3" spans="5:6" ht="12">
      <c r="E3" s="101"/>
      <c r="F3" s="90" t="s">
        <v>216</v>
      </c>
    </row>
    <row r="4" spans="5:6" ht="12">
      <c r="E4" s="101"/>
      <c r="F4" s="90" t="s">
        <v>721</v>
      </c>
    </row>
    <row r="9" spans="1:6" ht="16.5" customHeight="1">
      <c r="A9" s="1041" t="s">
        <v>370</v>
      </c>
      <c r="B9" s="1041"/>
      <c r="C9" s="1041"/>
      <c r="D9" s="1041"/>
      <c r="E9" s="1041"/>
      <c r="F9" s="1041"/>
    </row>
    <row r="10" spans="1:6" ht="15.75">
      <c r="A10" s="1042" t="s">
        <v>551</v>
      </c>
      <c r="B10" s="1042"/>
      <c r="C10" s="1042"/>
      <c r="D10" s="1042"/>
      <c r="E10" s="1042"/>
      <c r="F10" s="1042"/>
    </row>
    <row r="11" spans="1:6" ht="20.25" customHeight="1">
      <c r="A11" s="1042" t="s">
        <v>550</v>
      </c>
      <c r="B11" s="1042"/>
      <c r="C11" s="1042"/>
      <c r="D11" s="1042"/>
      <c r="E11" s="1042"/>
      <c r="F11" s="1042"/>
    </row>
    <row r="12" spans="2:6" ht="9.75">
      <c r="B12" s="93"/>
      <c r="C12" s="93"/>
      <c r="D12" s="93"/>
      <c r="E12" s="93"/>
      <c r="F12" s="93"/>
    </row>
    <row r="13" spans="5:6" ht="10.5" thickBot="1">
      <c r="E13" s="327"/>
      <c r="F13" s="327"/>
    </row>
    <row r="14" spans="1:7" ht="11.25">
      <c r="A14" s="328" t="s">
        <v>70</v>
      </c>
      <c r="B14" s="329" t="s">
        <v>623</v>
      </c>
      <c r="C14" s="329" t="s">
        <v>588</v>
      </c>
      <c r="D14" s="329" t="s">
        <v>372</v>
      </c>
      <c r="E14" s="1043" t="s">
        <v>684</v>
      </c>
      <c r="F14" s="1043" t="s">
        <v>592</v>
      </c>
      <c r="G14" s="858" t="s">
        <v>787</v>
      </c>
    </row>
    <row r="15" spans="1:7" ht="11.25">
      <c r="A15" s="330"/>
      <c r="B15" s="331"/>
      <c r="C15" s="331"/>
      <c r="D15" s="332"/>
      <c r="E15" s="984"/>
      <c r="F15" s="984"/>
      <c r="G15" s="859" t="s">
        <v>788</v>
      </c>
    </row>
    <row r="16" spans="1:7" ht="12" thickBot="1">
      <c r="A16" s="333"/>
      <c r="B16" s="334"/>
      <c r="C16" s="335"/>
      <c r="D16" s="336"/>
      <c r="E16" s="1044"/>
      <c r="F16" s="1044"/>
      <c r="G16" s="860"/>
    </row>
    <row r="17" spans="1:7" s="99" customFormat="1" ht="10.5" customHeight="1" thickBot="1">
      <c r="A17" s="95">
        <v>1</v>
      </c>
      <c r="B17" s="97">
        <v>2</v>
      </c>
      <c r="C17" s="97">
        <v>3</v>
      </c>
      <c r="D17" s="97">
        <v>4</v>
      </c>
      <c r="E17" s="96">
        <v>5</v>
      </c>
      <c r="F17" s="96">
        <v>6</v>
      </c>
      <c r="G17" s="861"/>
    </row>
    <row r="18" spans="1:7" ht="13.5" thickBot="1">
      <c r="A18" s="58" t="s">
        <v>53</v>
      </c>
      <c r="B18" s="102"/>
      <c r="C18" s="102"/>
      <c r="D18" s="337" t="s">
        <v>54</v>
      </c>
      <c r="E18" s="338">
        <f>E19</f>
        <v>25000</v>
      </c>
      <c r="F18" s="338">
        <f>F19</f>
        <v>25000</v>
      </c>
      <c r="G18" s="862">
        <f>G23</f>
        <v>2276</v>
      </c>
    </row>
    <row r="19" spans="1:7" ht="12.75">
      <c r="A19" s="104"/>
      <c r="B19" s="60" t="s">
        <v>56</v>
      </c>
      <c r="C19" s="105"/>
      <c r="D19" s="339" t="s">
        <v>373</v>
      </c>
      <c r="E19" s="340">
        <f>E20</f>
        <v>25000</v>
      </c>
      <c r="F19" s="340">
        <f>SUM(F20:F21)</f>
        <v>25000</v>
      </c>
      <c r="G19" s="863"/>
    </row>
    <row r="20" spans="1:7" ht="12.75">
      <c r="A20" s="104"/>
      <c r="B20" s="106"/>
      <c r="C20" s="107" t="s">
        <v>257</v>
      </c>
      <c r="D20" s="124" t="s">
        <v>374</v>
      </c>
      <c r="E20" s="126">
        <f>'Dochody-ukł.wykon.'!H14</f>
        <v>25000</v>
      </c>
      <c r="F20" s="123"/>
      <c r="G20" s="864"/>
    </row>
    <row r="21" spans="1:7" ht="12.75">
      <c r="A21" s="104"/>
      <c r="B21" s="106"/>
      <c r="C21" s="107" t="s">
        <v>73</v>
      </c>
      <c r="D21" s="124" t="s">
        <v>74</v>
      </c>
      <c r="E21" s="126"/>
      <c r="F21" s="123">
        <f>'WYDATKI ukł.wyk.'!H17</f>
        <v>25000</v>
      </c>
      <c r="G21" s="864"/>
    </row>
    <row r="22" spans="1:7" ht="12.75">
      <c r="A22" s="104"/>
      <c r="B22" s="106"/>
      <c r="C22" s="107"/>
      <c r="D22" s="124"/>
      <c r="E22" s="126"/>
      <c r="F22" s="123"/>
      <c r="G22" s="864"/>
    </row>
    <row r="23" spans="1:7" ht="12.75">
      <c r="A23" s="104"/>
      <c r="B23" s="60" t="s">
        <v>785</v>
      </c>
      <c r="C23" s="110"/>
      <c r="D23" s="341" t="s">
        <v>786</v>
      </c>
      <c r="E23" s="825"/>
      <c r="F23" s="340"/>
      <c r="G23" s="863">
        <f>G24</f>
        <v>2276</v>
      </c>
    </row>
    <row r="24" spans="1:7" ht="12.75">
      <c r="A24" s="104"/>
      <c r="B24" s="106"/>
      <c r="C24" s="107" t="s">
        <v>782</v>
      </c>
      <c r="D24" s="124" t="s">
        <v>783</v>
      </c>
      <c r="E24" s="126"/>
      <c r="F24" s="123"/>
      <c r="G24" s="864">
        <v>2276</v>
      </c>
    </row>
    <row r="25" spans="1:7" ht="12.75">
      <c r="A25" s="113"/>
      <c r="B25" s="106"/>
      <c r="C25" s="107"/>
      <c r="D25" s="124" t="s">
        <v>784</v>
      </c>
      <c r="E25" s="126"/>
      <c r="F25" s="123"/>
      <c r="G25" s="864"/>
    </row>
    <row r="26" spans="1:7" ht="13.5" thickBot="1">
      <c r="A26" s="79">
        <v>700</v>
      </c>
      <c r="B26" s="102"/>
      <c r="C26" s="102"/>
      <c r="D26" s="133" t="s">
        <v>109</v>
      </c>
      <c r="E26" s="338">
        <f>E27</f>
        <v>72050</v>
      </c>
      <c r="F26" s="338">
        <f>F27</f>
        <v>72050</v>
      </c>
      <c r="G26" s="862">
        <f>G27</f>
        <v>358000</v>
      </c>
    </row>
    <row r="27" spans="1:7" ht="12.75">
      <c r="A27" s="113"/>
      <c r="B27" s="80">
        <v>70005</v>
      </c>
      <c r="C27" s="105"/>
      <c r="D27" s="341" t="s">
        <v>110</v>
      </c>
      <c r="E27" s="340">
        <f>E28</f>
        <v>72050</v>
      </c>
      <c r="F27" s="340">
        <f>SUM(F31:F38)</f>
        <v>72050</v>
      </c>
      <c r="G27" s="863">
        <f>G29</f>
        <v>358000</v>
      </c>
    </row>
    <row r="28" spans="1:7" ht="12.75">
      <c r="A28" s="113"/>
      <c r="B28" s="106"/>
      <c r="C28" s="107" t="s">
        <v>257</v>
      </c>
      <c r="D28" s="124" t="s">
        <v>374</v>
      </c>
      <c r="E28" s="126">
        <f>'Dochody-ukł.wykon.'!H41</f>
        <v>72050</v>
      </c>
      <c r="F28" s="123"/>
      <c r="G28" s="864"/>
    </row>
    <row r="29" spans="1:7" ht="12.75">
      <c r="A29" s="113"/>
      <c r="B29" s="106"/>
      <c r="C29" s="107" t="s">
        <v>782</v>
      </c>
      <c r="D29" s="124" t="s">
        <v>783</v>
      </c>
      <c r="E29" s="126"/>
      <c r="F29" s="123"/>
      <c r="G29" s="864">
        <v>358000</v>
      </c>
    </row>
    <row r="30" spans="1:7" ht="12.75">
      <c r="A30" s="113"/>
      <c r="B30" s="106"/>
      <c r="C30" s="107"/>
      <c r="D30" s="124" t="s">
        <v>784</v>
      </c>
      <c r="E30" s="126"/>
      <c r="F30" s="123"/>
      <c r="G30" s="864"/>
    </row>
    <row r="31" spans="1:7" ht="12.75">
      <c r="A31" s="113"/>
      <c r="B31" s="106"/>
      <c r="C31" s="129">
        <v>4110</v>
      </c>
      <c r="D31" s="125" t="s">
        <v>82</v>
      </c>
      <c r="E31" s="126"/>
      <c r="F31" s="869">
        <f>'WYDATKI ukł.wyk.'!H68</f>
        <v>5340</v>
      </c>
      <c r="G31" s="865"/>
    </row>
    <row r="32" spans="1:7" ht="12.75">
      <c r="A32" s="113"/>
      <c r="B32" s="106"/>
      <c r="C32" s="129">
        <v>4120</v>
      </c>
      <c r="D32" s="125" t="s">
        <v>375</v>
      </c>
      <c r="E32" s="126"/>
      <c r="F32" s="869">
        <f>'WYDATKI ukł.wyk.'!H69</f>
        <v>758</v>
      </c>
      <c r="G32" s="865"/>
    </row>
    <row r="33" spans="1:7" ht="12.75">
      <c r="A33" s="113"/>
      <c r="B33" s="106"/>
      <c r="C33" s="107" t="s">
        <v>755</v>
      </c>
      <c r="D33" s="124" t="s">
        <v>84</v>
      </c>
      <c r="E33" s="126"/>
      <c r="F33" s="869">
        <f>'WYDATKI ukł.wyk.'!H70</f>
        <v>30902</v>
      </c>
      <c r="G33" s="865"/>
    </row>
    <row r="34" spans="1:7" ht="12.75">
      <c r="A34" s="113"/>
      <c r="B34" s="106"/>
      <c r="C34" s="107" t="s">
        <v>173</v>
      </c>
      <c r="D34" s="124" t="s">
        <v>87</v>
      </c>
      <c r="E34" s="126"/>
      <c r="F34" s="869">
        <f>10000+8550-2913</f>
        <v>15637</v>
      </c>
      <c r="G34" s="865"/>
    </row>
    <row r="35" spans="1:7" ht="12.75">
      <c r="A35" s="113"/>
      <c r="B35" s="106"/>
      <c r="C35" s="107" t="s">
        <v>73</v>
      </c>
      <c r="D35" s="124" t="s">
        <v>74</v>
      </c>
      <c r="E35" s="126"/>
      <c r="F35" s="869">
        <f>10000+500+4464-580</f>
        <v>14384</v>
      </c>
      <c r="G35" s="865"/>
    </row>
    <row r="36" spans="1:7" ht="12.75">
      <c r="A36" s="113"/>
      <c r="B36" s="106"/>
      <c r="C36" s="107" t="s">
        <v>377</v>
      </c>
      <c r="D36" s="124" t="s">
        <v>93</v>
      </c>
      <c r="E36" s="126"/>
      <c r="F36" s="869">
        <f>600</f>
        <v>600</v>
      </c>
      <c r="G36" s="865"/>
    </row>
    <row r="37" spans="1:7" ht="12.75">
      <c r="A37" s="113"/>
      <c r="B37" s="106"/>
      <c r="C37" s="107" t="s">
        <v>111</v>
      </c>
      <c r="D37" s="124" t="s">
        <v>95</v>
      </c>
      <c r="E37" s="126"/>
      <c r="F37" s="869">
        <f>4900-1531</f>
        <v>3369</v>
      </c>
      <c r="G37" s="865"/>
    </row>
    <row r="38" spans="1:7" ht="12.75">
      <c r="A38" s="113"/>
      <c r="B38" s="106"/>
      <c r="C38" s="107" t="s">
        <v>112</v>
      </c>
      <c r="D38" s="125" t="s">
        <v>394</v>
      </c>
      <c r="E38" s="126"/>
      <c r="F38" s="869">
        <f>500-20+580</f>
        <v>1060</v>
      </c>
      <c r="G38" s="865"/>
    </row>
    <row r="39" spans="1:7" ht="12.75">
      <c r="A39" s="113"/>
      <c r="B39" s="106"/>
      <c r="C39" s="107"/>
      <c r="D39" s="124"/>
      <c r="E39" s="126"/>
      <c r="F39" s="123"/>
      <c r="G39" s="864"/>
    </row>
    <row r="40" spans="1:7" ht="13.5" thickBot="1">
      <c r="A40" s="79">
        <v>710</v>
      </c>
      <c r="B40" s="102"/>
      <c r="C40" s="116"/>
      <c r="D40" s="133" t="s">
        <v>114</v>
      </c>
      <c r="E40" s="338">
        <f>E41+E46+E50</f>
        <v>291317</v>
      </c>
      <c r="F40" s="338">
        <f>F41+F46+F50</f>
        <v>291317</v>
      </c>
      <c r="G40" s="866"/>
    </row>
    <row r="41" spans="1:7" ht="12.75">
      <c r="A41" s="113"/>
      <c r="B41" s="80">
        <v>71013</v>
      </c>
      <c r="C41" s="110"/>
      <c r="D41" s="341" t="s">
        <v>285</v>
      </c>
      <c r="E41" s="340">
        <f>E42</f>
        <v>40000</v>
      </c>
      <c r="F41" s="340">
        <f>SUM(F43:F44)</f>
        <v>40000</v>
      </c>
      <c r="G41" s="864"/>
    </row>
    <row r="42" spans="1:7" ht="12.75">
      <c r="A42" s="113"/>
      <c r="B42" s="106"/>
      <c r="C42" s="107" t="s">
        <v>257</v>
      </c>
      <c r="D42" s="124" t="s">
        <v>374</v>
      </c>
      <c r="E42" s="126">
        <f>'Dochody-ukł.wykon.'!H53</f>
        <v>40000</v>
      </c>
      <c r="F42" s="123"/>
      <c r="G42" s="864"/>
    </row>
    <row r="43" spans="1:7" ht="12.75">
      <c r="A43" s="113"/>
      <c r="B43" s="106"/>
      <c r="C43" s="107" t="s">
        <v>73</v>
      </c>
      <c r="D43" s="124" t="s">
        <v>74</v>
      </c>
      <c r="E43" s="126"/>
      <c r="F43" s="123">
        <f>'WYDATKI ukł.wyk.'!H80</f>
        <v>39520</v>
      </c>
      <c r="G43" s="864"/>
    </row>
    <row r="44" spans="1:7" ht="12.75">
      <c r="A44" s="113"/>
      <c r="B44" s="106"/>
      <c r="C44" s="107" t="s">
        <v>112</v>
      </c>
      <c r="D44" s="125" t="s">
        <v>113</v>
      </c>
      <c r="E44" s="126"/>
      <c r="F44" s="123">
        <f>'WYDATKI ukł.wyk.'!H81</f>
        <v>480</v>
      </c>
      <c r="G44" s="864"/>
    </row>
    <row r="45" spans="1:7" ht="12.75">
      <c r="A45" s="113"/>
      <c r="B45" s="106"/>
      <c r="C45" s="107"/>
      <c r="D45" s="124"/>
      <c r="E45" s="126"/>
      <c r="F45" s="123"/>
      <c r="G45" s="864"/>
    </row>
    <row r="46" spans="1:7" ht="12.75">
      <c r="A46" s="113"/>
      <c r="B46" s="80">
        <v>71014</v>
      </c>
      <c r="C46" s="110"/>
      <c r="D46" s="341" t="s">
        <v>116</v>
      </c>
      <c r="E46" s="340">
        <f>E47</f>
        <v>15000</v>
      </c>
      <c r="F46" s="340">
        <f>SUM(F48)</f>
        <v>15000</v>
      </c>
      <c r="G46" s="864"/>
    </row>
    <row r="47" spans="1:7" ht="12.75">
      <c r="A47" s="113"/>
      <c r="B47" s="106"/>
      <c r="C47" s="107" t="s">
        <v>257</v>
      </c>
      <c r="D47" s="124" t="s">
        <v>374</v>
      </c>
      <c r="E47" s="126">
        <f>'Dochody-ukł.wykon.'!H57</f>
        <v>15000</v>
      </c>
      <c r="F47" s="123"/>
      <c r="G47" s="864"/>
    </row>
    <row r="48" spans="1:7" ht="12.75">
      <c r="A48" s="113"/>
      <c r="B48" s="106"/>
      <c r="C48" s="107" t="s">
        <v>73</v>
      </c>
      <c r="D48" s="124" t="s">
        <v>74</v>
      </c>
      <c r="E48" s="126"/>
      <c r="F48" s="123">
        <f>'WYDATKI ukł.wyk.'!H84</f>
        <v>15000</v>
      </c>
      <c r="G48" s="864"/>
    </row>
    <row r="49" spans="1:7" ht="12.75">
      <c r="A49" s="113"/>
      <c r="B49" s="106"/>
      <c r="C49" s="107"/>
      <c r="D49" s="124"/>
      <c r="E49" s="126"/>
      <c r="F49" s="123"/>
      <c r="G49" s="864"/>
    </row>
    <row r="50" spans="1:7" ht="12.75">
      <c r="A50" s="113"/>
      <c r="B50" s="80">
        <v>71015</v>
      </c>
      <c r="C50" s="105"/>
      <c r="D50" s="341" t="s">
        <v>117</v>
      </c>
      <c r="E50" s="340">
        <f>SUM(E51:E51)</f>
        <v>236317</v>
      </c>
      <c r="F50" s="340">
        <f>SUM(F52:F69)</f>
        <v>236317</v>
      </c>
      <c r="G50" s="864"/>
    </row>
    <row r="51" spans="1:7" ht="12.75">
      <c r="A51" s="113"/>
      <c r="B51" s="106"/>
      <c r="C51" s="298">
        <v>2110</v>
      </c>
      <c r="D51" s="124" t="s">
        <v>374</v>
      </c>
      <c r="E51" s="126">
        <f>'Dochody-ukł.wykon.'!H61</f>
        <v>236317</v>
      </c>
      <c r="F51" s="123"/>
      <c r="G51" s="864"/>
    </row>
    <row r="52" spans="1:7" ht="12.75">
      <c r="A52" s="113"/>
      <c r="B52" s="106"/>
      <c r="C52" s="129">
        <v>4010</v>
      </c>
      <c r="D52" s="125" t="s">
        <v>80</v>
      </c>
      <c r="E52" s="126"/>
      <c r="F52" s="123">
        <f>'WYDATKI ukł.wyk.'!H87</f>
        <v>139996</v>
      </c>
      <c r="G52" s="864"/>
    </row>
    <row r="53" spans="1:7" ht="12.75">
      <c r="A53" s="113"/>
      <c r="B53" s="106"/>
      <c r="C53" s="129">
        <v>4040</v>
      </c>
      <c r="D53" s="125" t="s">
        <v>81</v>
      </c>
      <c r="E53" s="126"/>
      <c r="F53" s="123">
        <f>'WYDATKI ukł.wyk.'!H88</f>
        <v>9723</v>
      </c>
      <c r="G53" s="864"/>
    </row>
    <row r="54" spans="1:7" ht="12.75">
      <c r="A54" s="113"/>
      <c r="B54" s="106"/>
      <c r="C54" s="129">
        <v>4110</v>
      </c>
      <c r="D54" s="125" t="s">
        <v>82</v>
      </c>
      <c r="E54" s="126"/>
      <c r="F54" s="123">
        <f>'WYDATKI ukł.wyk.'!H89</f>
        <v>26586</v>
      </c>
      <c r="G54" s="864"/>
    </row>
    <row r="55" spans="1:7" ht="12.75">
      <c r="A55" s="113"/>
      <c r="B55" s="106"/>
      <c r="C55" s="129">
        <v>4120</v>
      </c>
      <c r="D55" s="125" t="s">
        <v>375</v>
      </c>
      <c r="E55" s="126"/>
      <c r="F55" s="123">
        <f>'WYDATKI ukł.wyk.'!H90</f>
        <v>3607</v>
      </c>
      <c r="G55" s="864"/>
    </row>
    <row r="56" spans="1:7" ht="12.75">
      <c r="A56" s="113"/>
      <c r="B56" s="106"/>
      <c r="C56" s="129">
        <v>4170</v>
      </c>
      <c r="D56" s="125" t="s">
        <v>84</v>
      </c>
      <c r="E56" s="126"/>
      <c r="F56" s="123">
        <f>'WYDATKI ukł.wyk.'!H91</f>
        <v>2200</v>
      </c>
      <c r="G56" s="864"/>
    </row>
    <row r="57" spans="1:7" ht="12.75">
      <c r="A57" s="113"/>
      <c r="B57" s="106"/>
      <c r="C57" s="129">
        <v>4210</v>
      </c>
      <c r="D57" s="125" t="s">
        <v>85</v>
      </c>
      <c r="E57" s="126"/>
      <c r="F57" s="123">
        <f>'WYDATKI ukł.wyk.'!H92</f>
        <v>21724</v>
      </c>
      <c r="G57" s="864"/>
    </row>
    <row r="58" spans="1:7" ht="12.75">
      <c r="A58" s="113"/>
      <c r="B58" s="106"/>
      <c r="C58" s="106">
        <v>4270</v>
      </c>
      <c r="D58" s="125" t="s">
        <v>87</v>
      </c>
      <c r="E58" s="126"/>
      <c r="F58" s="123">
        <f>'WYDATKI ukł.wyk.'!H93</f>
        <v>1690</v>
      </c>
      <c r="G58" s="864"/>
    </row>
    <row r="59" spans="1:7" ht="12.75">
      <c r="A59" s="113"/>
      <c r="B59" s="106"/>
      <c r="C59" s="129">
        <v>4280</v>
      </c>
      <c r="D59" s="125" t="s">
        <v>88</v>
      </c>
      <c r="E59" s="126"/>
      <c r="F59" s="123">
        <f>'WYDATKI ukł.wyk.'!H94</f>
        <v>97</v>
      </c>
      <c r="G59" s="864"/>
    </row>
    <row r="60" spans="1:7" ht="12.75">
      <c r="A60" s="113"/>
      <c r="B60" s="106"/>
      <c r="C60" s="342" t="s">
        <v>73</v>
      </c>
      <c r="D60" s="125" t="s">
        <v>74</v>
      </c>
      <c r="E60" s="126"/>
      <c r="F60" s="123">
        <f>'WYDATKI ukł.wyk.'!H95</f>
        <v>7852</v>
      </c>
      <c r="G60" s="864"/>
    </row>
    <row r="61" spans="1:7" ht="12.75">
      <c r="A61" s="113"/>
      <c r="B61" s="106"/>
      <c r="C61" s="106">
        <v>4350</v>
      </c>
      <c r="D61" s="125" t="s">
        <v>89</v>
      </c>
      <c r="E61" s="126"/>
      <c r="F61" s="123">
        <f>'WYDATKI ukł.wyk.'!H96</f>
        <v>2532</v>
      </c>
      <c r="G61" s="864"/>
    </row>
    <row r="62" spans="1:7" ht="12.75">
      <c r="A62" s="113"/>
      <c r="B62" s="106"/>
      <c r="C62" s="106">
        <v>4360</v>
      </c>
      <c r="D62" s="125" t="s">
        <v>90</v>
      </c>
      <c r="E62" s="126"/>
      <c r="F62" s="123">
        <f>'WYDATKI ukł.wyk.'!H97</f>
        <v>87</v>
      </c>
      <c r="G62" s="864"/>
    </row>
    <row r="63" spans="1:7" ht="12.75">
      <c r="A63" s="113"/>
      <c r="B63" s="106"/>
      <c r="C63" s="106">
        <v>4370</v>
      </c>
      <c r="D63" s="125" t="s">
        <v>376</v>
      </c>
      <c r="E63" s="126"/>
      <c r="F63" s="123">
        <f>'WYDATKI ukł.wyk.'!H98</f>
        <v>3383</v>
      </c>
      <c r="G63" s="864"/>
    </row>
    <row r="64" spans="1:7" ht="12.75">
      <c r="A64" s="113"/>
      <c r="B64" s="106"/>
      <c r="C64" s="106">
        <v>4400</v>
      </c>
      <c r="D64" s="125" t="s">
        <v>118</v>
      </c>
      <c r="E64" s="126"/>
      <c r="F64" s="123">
        <f>'WYDATKI ukł.wyk.'!H99</f>
        <v>5566</v>
      </c>
      <c r="G64" s="864"/>
    </row>
    <row r="65" spans="1:7" ht="12.75">
      <c r="A65" s="113"/>
      <c r="B65" s="106"/>
      <c r="C65" s="106">
        <v>4410</v>
      </c>
      <c r="D65" s="125" t="s">
        <v>92</v>
      </c>
      <c r="E65" s="126"/>
      <c r="F65" s="123">
        <f>'WYDATKI ukł.wyk.'!H100</f>
        <v>47</v>
      </c>
      <c r="G65" s="864"/>
    </row>
    <row r="66" spans="1:7" ht="12.75">
      <c r="A66" s="113"/>
      <c r="B66" s="106"/>
      <c r="C66" s="342" t="s">
        <v>377</v>
      </c>
      <c r="D66" s="125" t="s">
        <v>93</v>
      </c>
      <c r="E66" s="126"/>
      <c r="F66" s="123">
        <f>'WYDATKI ukł.wyk.'!H101</f>
        <v>1853</v>
      </c>
      <c r="G66" s="864"/>
    </row>
    <row r="67" spans="1:7" ht="12.75">
      <c r="A67" s="113"/>
      <c r="B67" s="106"/>
      <c r="C67" s="342" t="s">
        <v>378</v>
      </c>
      <c r="D67" s="125" t="s">
        <v>379</v>
      </c>
      <c r="E67" s="126"/>
      <c r="F67" s="123">
        <f>'WYDATKI ukł.wyk.'!H102</f>
        <v>3420</v>
      </c>
      <c r="G67" s="864"/>
    </row>
    <row r="68" spans="1:7" ht="12.75">
      <c r="A68" s="113"/>
      <c r="B68" s="106"/>
      <c r="C68" s="342" t="s">
        <v>112</v>
      </c>
      <c r="D68" s="124" t="s">
        <v>384</v>
      </c>
      <c r="E68" s="126"/>
      <c r="F68" s="123">
        <f>'WYDATKI ukł.wyk.'!H103</f>
        <v>850</v>
      </c>
      <c r="G68" s="864"/>
    </row>
    <row r="69" spans="1:7" ht="12.75">
      <c r="A69" s="113"/>
      <c r="B69" s="106"/>
      <c r="C69" s="140" t="s">
        <v>387</v>
      </c>
      <c r="D69" s="124" t="s">
        <v>388</v>
      </c>
      <c r="E69" s="126"/>
      <c r="F69" s="123">
        <f>'WYDATKI ukł.wyk.'!H104</f>
        <v>5104</v>
      </c>
      <c r="G69" s="864"/>
    </row>
    <row r="70" spans="1:7" ht="12.75">
      <c r="A70" s="104"/>
      <c r="B70" s="114"/>
      <c r="C70" s="106"/>
      <c r="D70" s="124"/>
      <c r="E70" s="126"/>
      <c r="F70" s="123"/>
      <c r="G70" s="864"/>
    </row>
    <row r="71" spans="1:7" ht="13.5" thickBot="1">
      <c r="A71" s="79">
        <v>750</v>
      </c>
      <c r="B71" s="102"/>
      <c r="C71" s="102"/>
      <c r="D71" s="133" t="s">
        <v>120</v>
      </c>
      <c r="E71" s="338">
        <f>E72+E93</f>
        <v>171399</v>
      </c>
      <c r="F71" s="338">
        <f>F72+F93</f>
        <v>171399</v>
      </c>
      <c r="G71" s="866"/>
    </row>
    <row r="72" spans="1:7" ht="12.75">
      <c r="A72" s="113"/>
      <c r="B72" s="80">
        <v>75011</v>
      </c>
      <c r="C72" s="105"/>
      <c r="D72" s="341" t="s">
        <v>121</v>
      </c>
      <c r="E72" s="340">
        <f>E73</f>
        <v>154421</v>
      </c>
      <c r="F72" s="340">
        <f>SUM(F74:F91)</f>
        <v>154421</v>
      </c>
      <c r="G72" s="864"/>
    </row>
    <row r="73" spans="1:7" ht="12.75">
      <c r="A73" s="113"/>
      <c r="B73" s="106"/>
      <c r="C73" s="106">
        <v>2110</v>
      </c>
      <c r="D73" s="124" t="s">
        <v>374</v>
      </c>
      <c r="E73" s="126">
        <f>'Dochody-ukł.wykon.'!H66</f>
        <v>154421</v>
      </c>
      <c r="F73" s="123"/>
      <c r="G73" s="864"/>
    </row>
    <row r="74" spans="1:7" ht="12.75">
      <c r="A74" s="113"/>
      <c r="B74" s="106"/>
      <c r="C74" s="129">
        <v>3020</v>
      </c>
      <c r="D74" s="112" t="s">
        <v>192</v>
      </c>
      <c r="E74" s="123"/>
      <c r="F74" s="869">
        <f>'WYDATKI ukł.wyk.'!H108</f>
        <v>180</v>
      </c>
      <c r="G74" s="865"/>
    </row>
    <row r="75" spans="1:7" ht="12.75">
      <c r="A75" s="113"/>
      <c r="B75" s="106"/>
      <c r="C75" s="129">
        <v>4010</v>
      </c>
      <c r="D75" s="125" t="s">
        <v>80</v>
      </c>
      <c r="E75" s="126"/>
      <c r="F75" s="869">
        <f>32406+27000+15000+4000+3059+6854</f>
        <v>88319</v>
      </c>
      <c r="G75" s="865"/>
    </row>
    <row r="76" spans="1:7" ht="12.75">
      <c r="A76" s="113"/>
      <c r="B76" s="106"/>
      <c r="C76" s="129">
        <v>4040</v>
      </c>
      <c r="D76" s="125" t="s">
        <v>81</v>
      </c>
      <c r="E76" s="126"/>
      <c r="F76" s="869">
        <f>'WYDATKI ukł.wyk.'!H110</f>
        <v>12416</v>
      </c>
      <c r="G76" s="865"/>
    </row>
    <row r="77" spans="1:7" ht="12.75">
      <c r="A77" s="113"/>
      <c r="B77" s="106"/>
      <c r="C77" s="129">
        <v>4110</v>
      </c>
      <c r="D77" s="125" t="s">
        <v>82</v>
      </c>
      <c r="E77" s="126"/>
      <c r="F77" s="869">
        <f>5852+4841+3000+101+600-667</f>
        <v>13727</v>
      </c>
      <c r="G77" s="865"/>
    </row>
    <row r="78" spans="1:7" ht="12.75">
      <c r="A78" s="113"/>
      <c r="B78" s="106"/>
      <c r="C78" s="129">
        <v>4120</v>
      </c>
      <c r="D78" s="125" t="s">
        <v>83</v>
      </c>
      <c r="E78" s="126"/>
      <c r="F78" s="869">
        <f>746+709+746+200-113</f>
        <v>2288</v>
      </c>
      <c r="G78" s="865"/>
    </row>
    <row r="79" spans="1:7" ht="12.75">
      <c r="A79" s="113"/>
      <c r="B79" s="106"/>
      <c r="C79" s="129">
        <v>4170</v>
      </c>
      <c r="D79" s="125" t="s">
        <v>84</v>
      </c>
      <c r="E79" s="126"/>
      <c r="F79" s="869">
        <f>'WYDATKI ukł.wyk.'!H113</f>
        <v>5651</v>
      </c>
      <c r="G79" s="865"/>
    </row>
    <row r="80" spans="1:7" ht="12.75">
      <c r="A80" s="113"/>
      <c r="B80" s="106"/>
      <c r="C80" s="129">
        <v>4210</v>
      </c>
      <c r="D80" s="125" t="s">
        <v>85</v>
      </c>
      <c r="E80" s="126"/>
      <c r="F80" s="869">
        <f>'WYDATKI ukł.wyk.'!H114</f>
        <v>1593</v>
      </c>
      <c r="G80" s="865"/>
    </row>
    <row r="81" spans="1:7" ht="12.75">
      <c r="A81" s="113"/>
      <c r="B81" s="106"/>
      <c r="C81" s="129">
        <v>4260</v>
      </c>
      <c r="D81" s="125" t="s">
        <v>86</v>
      </c>
      <c r="E81" s="126"/>
      <c r="F81" s="869">
        <f>'WYDATKI ukł.wyk.'!H115</f>
        <v>11749</v>
      </c>
      <c r="G81" s="865"/>
    </row>
    <row r="82" spans="1:7" ht="12.75">
      <c r="A82" s="113"/>
      <c r="B82" s="106"/>
      <c r="C82" s="129">
        <v>4270</v>
      </c>
      <c r="D82" s="125" t="s">
        <v>87</v>
      </c>
      <c r="E82" s="126"/>
      <c r="F82" s="869">
        <f>'WYDATKI ukł.wyk.'!H116</f>
        <v>860</v>
      </c>
      <c r="G82" s="865"/>
    </row>
    <row r="83" spans="1:7" ht="12.75">
      <c r="A83" s="113"/>
      <c r="B83" s="106"/>
      <c r="C83" s="129">
        <v>4280</v>
      </c>
      <c r="D83" s="125" t="s">
        <v>88</v>
      </c>
      <c r="E83" s="126"/>
      <c r="F83" s="869">
        <f>'WYDATKI ukł.wyk.'!H117</f>
        <v>158</v>
      </c>
      <c r="G83" s="865"/>
    </row>
    <row r="84" spans="1:7" ht="12.75">
      <c r="A84" s="113"/>
      <c r="B84" s="106"/>
      <c r="C84" s="342" t="s">
        <v>73</v>
      </c>
      <c r="D84" s="125" t="s">
        <v>74</v>
      </c>
      <c r="E84" s="126"/>
      <c r="F84" s="869">
        <f>'WYDATKI ukł.wyk.'!H118</f>
        <v>5088</v>
      </c>
      <c r="G84" s="865"/>
    </row>
    <row r="85" spans="1:7" ht="12.75">
      <c r="A85" s="113"/>
      <c r="B85" s="106"/>
      <c r="C85" s="342" t="s">
        <v>380</v>
      </c>
      <c r="D85" s="125" t="s">
        <v>89</v>
      </c>
      <c r="E85" s="126"/>
      <c r="F85" s="869">
        <f>'WYDATKI ukł.wyk.'!H119</f>
        <v>2962</v>
      </c>
      <c r="G85" s="865"/>
    </row>
    <row r="86" spans="1:7" ht="12.75">
      <c r="A86" s="113"/>
      <c r="B86" s="106"/>
      <c r="C86" s="342" t="s">
        <v>381</v>
      </c>
      <c r="D86" s="125" t="s">
        <v>382</v>
      </c>
      <c r="E86" s="126"/>
      <c r="F86" s="869">
        <f>'WYDATKI ukł.wyk.'!H120</f>
        <v>1130</v>
      </c>
      <c r="G86" s="865"/>
    </row>
    <row r="87" spans="1:7" ht="12.75">
      <c r="A87" s="113"/>
      <c r="B87" s="106"/>
      <c r="C87" s="342" t="s">
        <v>383</v>
      </c>
      <c r="D87" s="125" t="s">
        <v>92</v>
      </c>
      <c r="E87" s="126"/>
      <c r="F87" s="869">
        <f>'WYDATKI ukł.wyk.'!H121</f>
        <v>1024</v>
      </c>
      <c r="G87" s="865"/>
    </row>
    <row r="88" spans="1:7" ht="12.75">
      <c r="A88" s="113"/>
      <c r="B88" s="106"/>
      <c r="C88" s="342" t="s">
        <v>378</v>
      </c>
      <c r="D88" s="125" t="s">
        <v>379</v>
      </c>
      <c r="E88" s="126"/>
      <c r="F88" s="869">
        <f>'WYDATKI ukł.wyk.'!H122</f>
        <v>5431</v>
      </c>
      <c r="G88" s="865"/>
    </row>
    <row r="89" spans="1:7" ht="12.75">
      <c r="A89" s="113"/>
      <c r="B89" s="106"/>
      <c r="C89" s="140" t="s">
        <v>112</v>
      </c>
      <c r="D89" s="124" t="s">
        <v>384</v>
      </c>
      <c r="E89" s="126"/>
      <c r="F89" s="869">
        <f>'WYDATKI ukł.wyk.'!H123</f>
        <v>0</v>
      </c>
      <c r="G89" s="865"/>
    </row>
    <row r="90" spans="1:7" ht="12.75">
      <c r="A90" s="113"/>
      <c r="B90" s="106"/>
      <c r="C90" s="140" t="s">
        <v>385</v>
      </c>
      <c r="D90" s="124" t="s">
        <v>386</v>
      </c>
      <c r="E90" s="126"/>
      <c r="F90" s="869">
        <f>'WYDATKI ukł.wyk.'!H124</f>
        <v>500</v>
      </c>
      <c r="G90" s="865"/>
    </row>
    <row r="91" spans="1:7" ht="12.75">
      <c r="A91" s="113"/>
      <c r="B91" s="106"/>
      <c r="C91" s="140" t="s">
        <v>387</v>
      </c>
      <c r="D91" s="124" t="s">
        <v>388</v>
      </c>
      <c r="E91" s="126"/>
      <c r="F91" s="869">
        <f>'WYDATKI ukł.wyk.'!H125</f>
        <v>1345</v>
      </c>
      <c r="G91" s="865"/>
    </row>
    <row r="92" spans="1:7" ht="12.75">
      <c r="A92" s="113"/>
      <c r="B92" s="106"/>
      <c r="C92" s="107"/>
      <c r="D92" s="124"/>
      <c r="E92" s="126"/>
      <c r="F92" s="869"/>
      <c r="G92" s="865"/>
    </row>
    <row r="93" spans="1:7" ht="12.75">
      <c r="A93" s="113"/>
      <c r="B93" s="80">
        <v>75045</v>
      </c>
      <c r="C93" s="105"/>
      <c r="D93" s="341" t="s">
        <v>131</v>
      </c>
      <c r="E93" s="340">
        <f>E94</f>
        <v>16978</v>
      </c>
      <c r="F93" s="340">
        <f>SUM(F95:F105)</f>
        <v>16978</v>
      </c>
      <c r="G93" s="864"/>
    </row>
    <row r="94" spans="1:7" ht="12.75">
      <c r="A94" s="113"/>
      <c r="B94" s="106"/>
      <c r="C94" s="106">
        <v>2110</v>
      </c>
      <c r="D94" s="124" t="s">
        <v>374</v>
      </c>
      <c r="E94" s="126">
        <f>'Dochody-ukł.wykon.'!H81</f>
        <v>16978</v>
      </c>
      <c r="F94" s="123"/>
      <c r="G94" s="864"/>
    </row>
    <row r="95" spans="1:7" ht="12.75">
      <c r="A95" s="113"/>
      <c r="B95" s="106"/>
      <c r="C95" s="342" t="s">
        <v>389</v>
      </c>
      <c r="D95" s="125" t="s">
        <v>125</v>
      </c>
      <c r="E95" s="126"/>
      <c r="F95" s="123">
        <f>'WYDATKI ukł.wyk.'!H167</f>
        <v>1330</v>
      </c>
      <c r="G95" s="864"/>
    </row>
    <row r="96" spans="1:7" ht="12.75">
      <c r="A96" s="113"/>
      <c r="B96" s="106"/>
      <c r="C96" s="129">
        <v>4110</v>
      </c>
      <c r="D96" s="125" t="s">
        <v>82</v>
      </c>
      <c r="E96" s="126"/>
      <c r="F96" s="123">
        <f>'WYDATKI ukł.wyk.'!H168</f>
        <v>1123</v>
      </c>
      <c r="G96" s="864"/>
    </row>
    <row r="97" spans="1:7" ht="12.75">
      <c r="A97" s="113"/>
      <c r="B97" s="106"/>
      <c r="C97" s="129">
        <v>4120</v>
      </c>
      <c r="D97" s="125" t="s">
        <v>375</v>
      </c>
      <c r="E97" s="126"/>
      <c r="F97" s="123">
        <f>'WYDATKI ukł.wyk.'!H169</f>
        <v>159</v>
      </c>
      <c r="G97" s="864"/>
    </row>
    <row r="98" spans="1:7" ht="12.75">
      <c r="A98" s="113"/>
      <c r="B98" s="106"/>
      <c r="C98" s="129">
        <v>4170</v>
      </c>
      <c r="D98" s="125" t="s">
        <v>84</v>
      </c>
      <c r="E98" s="126"/>
      <c r="F98" s="123">
        <f>'WYDATKI ukł.wyk.'!H170</f>
        <v>6800</v>
      </c>
      <c r="G98" s="864"/>
    </row>
    <row r="99" spans="1:7" ht="12.75">
      <c r="A99" s="113"/>
      <c r="B99" s="106"/>
      <c r="C99" s="129">
        <v>4210</v>
      </c>
      <c r="D99" s="125" t="s">
        <v>85</v>
      </c>
      <c r="E99" s="126"/>
      <c r="F99" s="123">
        <f>'WYDATKI ukł.wyk.'!H171</f>
        <v>635</v>
      </c>
      <c r="G99" s="864"/>
    </row>
    <row r="100" spans="1:7" ht="12.75">
      <c r="A100" s="113"/>
      <c r="B100" s="106"/>
      <c r="C100" s="140" t="s">
        <v>73</v>
      </c>
      <c r="D100" s="125" t="s">
        <v>74</v>
      </c>
      <c r="E100" s="126"/>
      <c r="F100" s="123">
        <f>'WYDATKI ukł.wyk.'!H172</f>
        <v>407</v>
      </c>
      <c r="G100" s="864"/>
    </row>
    <row r="101" spans="1:7" ht="12.75">
      <c r="A101" s="113"/>
      <c r="B101" s="106"/>
      <c r="C101" s="106">
        <v>4370</v>
      </c>
      <c r="D101" s="125" t="s">
        <v>390</v>
      </c>
      <c r="E101" s="126"/>
      <c r="F101" s="123">
        <f>'WYDATKI ukł.wyk.'!H173</f>
        <v>49</v>
      </c>
      <c r="G101" s="864"/>
    </row>
    <row r="102" spans="1:7" ht="12.75">
      <c r="A102" s="113"/>
      <c r="B102" s="106"/>
      <c r="C102" s="832">
        <v>4400</v>
      </c>
      <c r="D102" s="125" t="s">
        <v>753</v>
      </c>
      <c r="E102" s="126"/>
      <c r="F102" s="123">
        <f>'WYDATKI ukł.wyk.'!H174</f>
        <v>2200</v>
      </c>
      <c r="G102" s="864"/>
    </row>
    <row r="103" spans="1:7" ht="12.75">
      <c r="A103" s="113"/>
      <c r="B103" s="106"/>
      <c r="C103" s="140" t="s">
        <v>383</v>
      </c>
      <c r="D103" s="125" t="s">
        <v>92</v>
      </c>
      <c r="E103" s="126"/>
      <c r="F103" s="123">
        <f>'WYDATKI ukł.wyk.'!H175</f>
        <v>0</v>
      </c>
      <c r="G103" s="864"/>
    </row>
    <row r="104" spans="1:7" ht="12.75">
      <c r="A104" s="113"/>
      <c r="B104" s="106"/>
      <c r="C104" s="106">
        <v>4740</v>
      </c>
      <c r="D104" s="125" t="s">
        <v>391</v>
      </c>
      <c r="E104" s="126"/>
      <c r="F104" s="123">
        <f>'WYDATKI ukł.wyk.'!H176</f>
        <v>120</v>
      </c>
      <c r="G104" s="864"/>
    </row>
    <row r="105" spans="1:7" ht="12.75">
      <c r="A105" s="113"/>
      <c r="B105" s="106"/>
      <c r="C105" s="106">
        <v>4750</v>
      </c>
      <c r="D105" s="125" t="s">
        <v>388</v>
      </c>
      <c r="E105" s="126"/>
      <c r="F105" s="123">
        <f>'WYDATKI ukł.wyk.'!H177</f>
        <v>4155</v>
      </c>
      <c r="G105" s="864"/>
    </row>
    <row r="106" spans="1:7" ht="12.75">
      <c r="A106" s="113"/>
      <c r="B106" s="106"/>
      <c r="C106" s="140"/>
      <c r="D106" s="125"/>
      <c r="E106" s="126"/>
      <c r="F106" s="123"/>
      <c r="G106" s="864"/>
    </row>
    <row r="107" spans="1:7" ht="13.5" thickBot="1">
      <c r="A107" s="79">
        <v>754</v>
      </c>
      <c r="B107" s="102"/>
      <c r="C107" s="343"/>
      <c r="D107" s="133" t="s">
        <v>132</v>
      </c>
      <c r="E107" s="344">
        <f>E108</f>
        <v>1000</v>
      </c>
      <c r="F107" s="338">
        <f>F108</f>
        <v>1000</v>
      </c>
      <c r="G107" s="866"/>
    </row>
    <row r="108" spans="1:7" ht="12.75">
      <c r="A108" s="113"/>
      <c r="B108" s="120">
        <v>75414</v>
      </c>
      <c r="C108" s="74"/>
      <c r="D108" s="345" t="s">
        <v>133</v>
      </c>
      <c r="E108" s="346">
        <f>E109</f>
        <v>1000</v>
      </c>
      <c r="F108" s="870">
        <f>SUM(F110:F111)</f>
        <v>1000</v>
      </c>
      <c r="G108" s="864"/>
    </row>
    <row r="109" spans="1:7" ht="12.75">
      <c r="A109" s="113"/>
      <c r="B109" s="106"/>
      <c r="C109" s="109">
        <v>2110</v>
      </c>
      <c r="D109" s="124" t="s">
        <v>374</v>
      </c>
      <c r="E109" s="126">
        <f>'Dochody-ukł.wykon.'!H93</f>
        <v>1000</v>
      </c>
      <c r="F109" s="123"/>
      <c r="G109" s="864"/>
    </row>
    <row r="110" spans="1:7" ht="12.75">
      <c r="A110" s="113"/>
      <c r="B110" s="106"/>
      <c r="C110" s="109">
        <v>4170</v>
      </c>
      <c r="D110" s="125" t="s">
        <v>84</v>
      </c>
      <c r="E110" s="126"/>
      <c r="F110" s="123">
        <f>'WYDATKI ukł.wyk.'!H194</f>
        <v>300</v>
      </c>
      <c r="G110" s="864"/>
    </row>
    <row r="111" spans="1:7" ht="12.75">
      <c r="A111" s="113"/>
      <c r="B111" s="106"/>
      <c r="C111" s="140" t="s">
        <v>73</v>
      </c>
      <c r="D111" s="125" t="s">
        <v>74</v>
      </c>
      <c r="E111" s="126"/>
      <c r="F111" s="123">
        <f>'WYDATKI ukł.wyk.'!H196</f>
        <v>700</v>
      </c>
      <c r="G111" s="864"/>
    </row>
    <row r="112" spans="1:7" ht="12.75">
      <c r="A112" s="113"/>
      <c r="B112" s="106"/>
      <c r="C112" s="140"/>
      <c r="D112" s="124"/>
      <c r="E112" s="126"/>
      <c r="F112" s="123"/>
      <c r="G112" s="864"/>
    </row>
    <row r="113" spans="1:7" ht="13.5" thickBot="1">
      <c r="A113" s="79">
        <v>851</v>
      </c>
      <c r="B113" s="128"/>
      <c r="C113" s="102"/>
      <c r="D113" s="86" t="s">
        <v>154</v>
      </c>
      <c r="E113" s="338">
        <f>E114</f>
        <v>56417</v>
      </c>
      <c r="F113" s="338">
        <f>F114</f>
        <v>56417</v>
      </c>
      <c r="G113" s="866"/>
    </row>
    <row r="114" spans="1:7" ht="12.75">
      <c r="A114" s="113"/>
      <c r="B114" s="80">
        <v>85156</v>
      </c>
      <c r="C114" s="105"/>
      <c r="D114" s="130" t="s">
        <v>392</v>
      </c>
      <c r="E114" s="340">
        <f>E115</f>
        <v>56417</v>
      </c>
      <c r="F114" s="340">
        <f>SUM(F116)</f>
        <v>56417</v>
      </c>
      <c r="G114" s="864"/>
    </row>
    <row r="115" spans="1:7" ht="12.75">
      <c r="A115" s="113"/>
      <c r="B115" s="109"/>
      <c r="C115" s="106">
        <v>2110</v>
      </c>
      <c r="D115" s="124" t="s">
        <v>374</v>
      </c>
      <c r="E115" s="126">
        <f>'Dochody-ukł.wykon.'!H168</f>
        <v>56417</v>
      </c>
      <c r="F115" s="123"/>
      <c r="G115" s="864"/>
    </row>
    <row r="116" spans="1:7" ht="12.75">
      <c r="A116" s="113"/>
      <c r="B116" s="106"/>
      <c r="C116" s="106">
        <v>4130</v>
      </c>
      <c r="D116" s="124" t="s">
        <v>159</v>
      </c>
      <c r="E116" s="126"/>
      <c r="F116" s="123">
        <f>'WYDATKI ukł.wyk.'!H363</f>
        <v>56417</v>
      </c>
      <c r="G116" s="864"/>
    </row>
    <row r="117" spans="1:7" ht="12.75">
      <c r="A117" s="113"/>
      <c r="B117" s="106"/>
      <c r="C117" s="106"/>
      <c r="D117" s="124"/>
      <c r="E117" s="126"/>
      <c r="F117" s="123"/>
      <c r="G117" s="864"/>
    </row>
    <row r="118" spans="1:7" ht="13.5" thickBot="1">
      <c r="A118" s="79">
        <v>852</v>
      </c>
      <c r="B118" s="102"/>
      <c r="C118" s="102"/>
      <c r="D118" s="133" t="s">
        <v>160</v>
      </c>
      <c r="E118" s="344">
        <f>E119+E145</f>
        <v>324900</v>
      </c>
      <c r="F118" s="338">
        <f>F119+F145</f>
        <v>324900</v>
      </c>
      <c r="G118" s="866"/>
    </row>
    <row r="119" spans="1:7" ht="12.75">
      <c r="A119" s="113"/>
      <c r="B119" s="120">
        <v>85203</v>
      </c>
      <c r="C119" s="121"/>
      <c r="D119" s="87" t="s">
        <v>167</v>
      </c>
      <c r="E119" s="346">
        <f>E120</f>
        <v>315900</v>
      </c>
      <c r="F119" s="870">
        <f>SUM(F121:F143)</f>
        <v>315900</v>
      </c>
      <c r="G119" s="864"/>
    </row>
    <row r="120" spans="1:7" ht="12.75">
      <c r="A120" s="113"/>
      <c r="B120" s="106"/>
      <c r="C120" s="106">
        <v>2110</v>
      </c>
      <c r="D120" s="125" t="s">
        <v>374</v>
      </c>
      <c r="E120" s="126">
        <f>'Dochody-ukł.wykon.'!H191</f>
        <v>315900</v>
      </c>
      <c r="F120" s="123"/>
      <c r="G120" s="864"/>
    </row>
    <row r="121" spans="1:7" ht="12.75">
      <c r="A121" s="113"/>
      <c r="B121" s="106"/>
      <c r="C121" s="106">
        <v>3020</v>
      </c>
      <c r="D121" s="125" t="s">
        <v>192</v>
      </c>
      <c r="E121" s="126"/>
      <c r="F121" s="123">
        <f>'WYDATKI ukł.wyk.'!H426</f>
        <v>0</v>
      </c>
      <c r="G121" s="864"/>
    </row>
    <row r="122" spans="1:7" ht="12.75">
      <c r="A122" s="113"/>
      <c r="B122" s="106"/>
      <c r="C122" s="106">
        <v>4010</v>
      </c>
      <c r="D122" s="125" t="s">
        <v>80</v>
      </c>
      <c r="E122" s="126"/>
      <c r="F122" s="123">
        <f>'WYDATKI ukł.wyk.'!H427</f>
        <v>117665</v>
      </c>
      <c r="G122" s="864"/>
    </row>
    <row r="123" spans="1:7" ht="12.75">
      <c r="A123" s="113"/>
      <c r="B123" s="106"/>
      <c r="C123" s="106">
        <v>4040</v>
      </c>
      <c r="D123" s="125" t="s">
        <v>393</v>
      </c>
      <c r="E123" s="126"/>
      <c r="F123" s="123">
        <f>'WYDATKI ukł.wyk.'!H428</f>
        <v>6811</v>
      </c>
      <c r="G123" s="864"/>
    </row>
    <row r="124" spans="1:7" ht="12.75">
      <c r="A124" s="113"/>
      <c r="B124" s="106"/>
      <c r="C124" s="106">
        <v>4110</v>
      </c>
      <c r="D124" s="125" t="s">
        <v>82</v>
      </c>
      <c r="E124" s="126"/>
      <c r="F124" s="123">
        <f>'WYDATKI ukł.wyk.'!H429</f>
        <v>20975</v>
      </c>
      <c r="G124" s="864"/>
    </row>
    <row r="125" spans="1:7" ht="12.75">
      <c r="A125" s="113"/>
      <c r="B125" s="106"/>
      <c r="C125" s="106">
        <v>4120</v>
      </c>
      <c r="D125" s="125" t="s">
        <v>83</v>
      </c>
      <c r="E125" s="126"/>
      <c r="F125" s="123">
        <f>'WYDATKI ukł.wyk.'!H430</f>
        <v>2947</v>
      </c>
      <c r="G125" s="864"/>
    </row>
    <row r="126" spans="1:7" ht="12.75">
      <c r="A126" s="113"/>
      <c r="B126" s="106"/>
      <c r="C126" s="106">
        <v>4170</v>
      </c>
      <c r="D126" s="125" t="s">
        <v>84</v>
      </c>
      <c r="E126" s="126"/>
      <c r="F126" s="123">
        <f>'WYDATKI ukł.wyk.'!H431</f>
        <v>1120</v>
      </c>
      <c r="G126" s="864"/>
    </row>
    <row r="127" spans="1:7" ht="12.75">
      <c r="A127" s="113"/>
      <c r="B127" s="106"/>
      <c r="C127" s="106">
        <v>4210</v>
      </c>
      <c r="D127" s="125" t="s">
        <v>85</v>
      </c>
      <c r="E127" s="126"/>
      <c r="F127" s="123">
        <f>'WYDATKI ukł.wyk.'!H432-8704-131+1805</f>
        <v>71222</v>
      </c>
      <c r="G127" s="864"/>
    </row>
    <row r="128" spans="1:7" ht="12.75">
      <c r="A128" s="113"/>
      <c r="B128" s="106"/>
      <c r="C128" s="106">
        <v>4220</v>
      </c>
      <c r="D128" s="125" t="s">
        <v>163</v>
      </c>
      <c r="E128" s="126"/>
      <c r="F128" s="123">
        <f>'WYDATKI ukł.wyk.'!H433</f>
        <v>20000</v>
      </c>
      <c r="G128" s="864"/>
    </row>
    <row r="129" spans="1:7" ht="12.75">
      <c r="A129" s="113"/>
      <c r="B129" s="106"/>
      <c r="C129" s="106">
        <v>4230</v>
      </c>
      <c r="D129" s="125" t="s">
        <v>168</v>
      </c>
      <c r="E129" s="126"/>
      <c r="F129" s="123">
        <f>'WYDATKI ukł.wyk.'!H434</f>
        <v>250</v>
      </c>
      <c r="G129" s="864"/>
    </row>
    <row r="130" spans="1:7" ht="12.75">
      <c r="A130" s="113"/>
      <c r="B130" s="106"/>
      <c r="C130" s="106">
        <v>4260</v>
      </c>
      <c r="D130" s="125" t="s">
        <v>86</v>
      </c>
      <c r="E130" s="126"/>
      <c r="F130" s="123">
        <f>'WYDATKI ukł.wyk.'!H435</f>
        <v>3576</v>
      </c>
      <c r="G130" s="864"/>
    </row>
    <row r="131" spans="1:7" ht="12.75">
      <c r="A131" s="113"/>
      <c r="B131" s="106"/>
      <c r="C131" s="106">
        <v>4270</v>
      </c>
      <c r="D131" s="125" t="s">
        <v>87</v>
      </c>
      <c r="E131" s="126"/>
      <c r="F131" s="123">
        <f>'WYDATKI ukł.wyk.'!H436</f>
        <v>40415</v>
      </c>
      <c r="G131" s="864"/>
    </row>
    <row r="132" spans="1:7" ht="12.75">
      <c r="A132" s="113"/>
      <c r="B132" s="106"/>
      <c r="C132" s="106">
        <v>4280</v>
      </c>
      <c r="D132" s="125" t="s">
        <v>88</v>
      </c>
      <c r="E132" s="126"/>
      <c r="F132" s="123">
        <f>'WYDATKI ukł.wyk.'!H437</f>
        <v>252</v>
      </c>
      <c r="G132" s="864"/>
    </row>
    <row r="133" spans="1:7" ht="12.75">
      <c r="A133" s="113"/>
      <c r="B133" s="106"/>
      <c r="C133" s="106">
        <v>4300</v>
      </c>
      <c r="D133" s="125" t="s">
        <v>74</v>
      </c>
      <c r="E133" s="126"/>
      <c r="F133" s="123">
        <f>'WYDATKI ukł.wyk.'!H438</f>
        <v>11750</v>
      </c>
      <c r="G133" s="864"/>
    </row>
    <row r="134" spans="1:7" ht="12.75">
      <c r="A134" s="113"/>
      <c r="B134" s="106"/>
      <c r="C134" s="342" t="s">
        <v>380</v>
      </c>
      <c r="D134" s="125" t="s">
        <v>89</v>
      </c>
      <c r="E134" s="126"/>
      <c r="F134" s="123">
        <f>'WYDATKI ukł.wyk.'!H439</f>
        <v>531</v>
      </c>
      <c r="G134" s="864"/>
    </row>
    <row r="135" spans="1:7" ht="12.75">
      <c r="A135" s="113"/>
      <c r="B135" s="106"/>
      <c r="C135" s="106">
        <v>4360</v>
      </c>
      <c r="D135" s="125" t="s">
        <v>90</v>
      </c>
      <c r="E135" s="126"/>
      <c r="F135" s="123">
        <f>'WYDATKI ukł.wyk.'!H440</f>
        <v>0</v>
      </c>
      <c r="G135" s="864"/>
    </row>
    <row r="136" spans="1:7" ht="12.75">
      <c r="A136" s="113"/>
      <c r="B136" s="106"/>
      <c r="C136" s="106">
        <v>4370</v>
      </c>
      <c r="D136" s="125" t="s">
        <v>692</v>
      </c>
      <c r="E136" s="126"/>
      <c r="F136" s="123">
        <f>'WYDATKI ukł.wyk.'!H441</f>
        <v>1600</v>
      </c>
      <c r="G136" s="864"/>
    </row>
    <row r="137" spans="1:7" ht="12.75">
      <c r="A137" s="113"/>
      <c r="B137" s="106"/>
      <c r="C137" s="106">
        <v>4410</v>
      </c>
      <c r="D137" s="125" t="s">
        <v>92</v>
      </c>
      <c r="E137" s="126"/>
      <c r="F137" s="123">
        <f>'WYDATKI ukł.wyk.'!H442</f>
        <v>227</v>
      </c>
      <c r="G137" s="864"/>
    </row>
    <row r="138" spans="1:7" ht="12.75">
      <c r="A138" s="113"/>
      <c r="B138" s="106"/>
      <c r="C138" s="106">
        <v>4430</v>
      </c>
      <c r="D138" s="125" t="s">
        <v>93</v>
      </c>
      <c r="E138" s="126"/>
      <c r="F138" s="123">
        <f>'WYDATKI ukł.wyk.'!H443</f>
        <v>5318</v>
      </c>
      <c r="G138" s="864"/>
    </row>
    <row r="139" spans="1:7" ht="12.75">
      <c r="A139" s="113"/>
      <c r="B139" s="106"/>
      <c r="C139" s="106">
        <v>4440</v>
      </c>
      <c r="D139" s="125" t="s">
        <v>94</v>
      </c>
      <c r="E139" s="126"/>
      <c r="F139" s="123">
        <f>'WYDATKI ukł.wyk.'!H444</f>
        <v>4988</v>
      </c>
      <c r="G139" s="864"/>
    </row>
    <row r="140" spans="1:7" ht="12.75">
      <c r="A140" s="113"/>
      <c r="B140" s="106"/>
      <c r="C140" s="106">
        <v>4510</v>
      </c>
      <c r="D140" s="125" t="s">
        <v>97</v>
      </c>
      <c r="E140" s="126"/>
      <c r="F140" s="123">
        <f>'WYDATKI ukł.wyk.'!H445</f>
        <v>50</v>
      </c>
      <c r="G140" s="864"/>
    </row>
    <row r="141" spans="1:7" ht="12.75">
      <c r="A141" s="113"/>
      <c r="B141" s="106"/>
      <c r="C141" s="106">
        <v>4700</v>
      </c>
      <c r="D141" s="125" t="s">
        <v>394</v>
      </c>
      <c r="E141" s="126"/>
      <c r="F141" s="123">
        <f>'WYDATKI ukł.wyk.'!H446</f>
        <v>1660</v>
      </c>
      <c r="G141" s="864"/>
    </row>
    <row r="142" spans="1:7" ht="12.75">
      <c r="A142" s="113"/>
      <c r="B142" s="106"/>
      <c r="C142" s="106">
        <v>4740</v>
      </c>
      <c r="D142" s="125" t="s">
        <v>395</v>
      </c>
      <c r="E142" s="126"/>
      <c r="F142" s="123">
        <f>'WYDATKI ukł.wyk.'!H447</f>
        <v>1488</v>
      </c>
      <c r="G142" s="864"/>
    </row>
    <row r="143" spans="1:7" ht="12.75">
      <c r="A143" s="113"/>
      <c r="B143" s="106"/>
      <c r="C143" s="106">
        <v>4750</v>
      </c>
      <c r="D143" s="125" t="s">
        <v>388</v>
      </c>
      <c r="E143" s="126"/>
      <c r="F143" s="123">
        <f>'WYDATKI ukł.wyk.'!H448</f>
        <v>3055</v>
      </c>
      <c r="G143" s="864"/>
    </row>
    <row r="144" spans="1:7" ht="12.75">
      <c r="A144" s="113"/>
      <c r="B144" s="106"/>
      <c r="C144" s="106"/>
      <c r="D144" s="125"/>
      <c r="E144" s="126"/>
      <c r="F144" s="123"/>
      <c r="G144" s="864"/>
    </row>
    <row r="145" spans="1:7" ht="12.75">
      <c r="A145" s="113"/>
      <c r="B145" s="80">
        <v>85218</v>
      </c>
      <c r="C145" s="105"/>
      <c r="D145" s="130" t="s">
        <v>170</v>
      </c>
      <c r="E145" s="825">
        <f>E146</f>
        <v>9000</v>
      </c>
      <c r="F145" s="340">
        <f>F147</f>
        <v>9000</v>
      </c>
      <c r="G145" s="864"/>
    </row>
    <row r="146" spans="1:7" ht="12.75">
      <c r="A146" s="113"/>
      <c r="B146" s="106"/>
      <c r="C146" s="106">
        <v>2110</v>
      </c>
      <c r="D146" s="124" t="s">
        <v>374</v>
      </c>
      <c r="E146" s="126">
        <f>'Dochody-ukł.wykon.'!H200</f>
        <v>9000</v>
      </c>
      <c r="F146" s="123"/>
      <c r="G146" s="864"/>
    </row>
    <row r="147" spans="1:7" ht="12.75">
      <c r="A147" s="113"/>
      <c r="B147" s="106"/>
      <c r="C147" s="129">
        <v>4210</v>
      </c>
      <c r="D147" s="125" t="s">
        <v>85</v>
      </c>
      <c r="E147" s="126"/>
      <c r="F147" s="123">
        <v>9000</v>
      </c>
      <c r="G147" s="864"/>
    </row>
    <row r="148" spans="1:7" ht="12.75">
      <c r="A148" s="113"/>
      <c r="B148" s="106"/>
      <c r="C148" s="106"/>
      <c r="D148" s="125"/>
      <c r="E148" s="126"/>
      <c r="F148" s="123"/>
      <c r="G148" s="864"/>
    </row>
    <row r="149" spans="1:7" ht="12.75">
      <c r="A149" s="113"/>
      <c r="B149" s="106"/>
      <c r="C149" s="107"/>
      <c r="D149" s="125"/>
      <c r="E149" s="126"/>
      <c r="F149" s="123"/>
      <c r="G149" s="864"/>
    </row>
    <row r="150" spans="1:7" ht="13.5" thickBot="1">
      <c r="A150" s="79">
        <v>853</v>
      </c>
      <c r="B150" s="102"/>
      <c r="C150" s="102"/>
      <c r="D150" s="133" t="s">
        <v>174</v>
      </c>
      <c r="E150" s="338">
        <f>E151</f>
        <v>342039</v>
      </c>
      <c r="F150" s="338">
        <f>F151</f>
        <v>342039</v>
      </c>
      <c r="G150" s="866"/>
    </row>
    <row r="151" spans="1:7" ht="12.75">
      <c r="A151" s="113"/>
      <c r="B151" s="80">
        <v>85321</v>
      </c>
      <c r="C151" s="105"/>
      <c r="D151" s="341" t="s">
        <v>324</v>
      </c>
      <c r="E151" s="340">
        <f>E152</f>
        <v>342039</v>
      </c>
      <c r="F151" s="340">
        <f>SUM(F153:F171)</f>
        <v>342039</v>
      </c>
      <c r="G151" s="864"/>
    </row>
    <row r="152" spans="1:7" ht="12.75">
      <c r="A152" s="113"/>
      <c r="B152" s="106"/>
      <c r="C152" s="106">
        <v>2110</v>
      </c>
      <c r="D152" s="124" t="s">
        <v>374</v>
      </c>
      <c r="E152" s="126">
        <f>'Dochody-ukł.wykon.'!H216</f>
        <v>342039</v>
      </c>
      <c r="F152" s="123"/>
      <c r="G152" s="864"/>
    </row>
    <row r="153" spans="1:7" ht="12.75">
      <c r="A153" s="113"/>
      <c r="B153" s="106"/>
      <c r="C153" s="129">
        <v>4010</v>
      </c>
      <c r="D153" s="125" t="s">
        <v>80</v>
      </c>
      <c r="E153" s="126"/>
      <c r="F153" s="123">
        <f>'WYDATKI ukł.wyk.'!H506</f>
        <v>78675</v>
      </c>
      <c r="G153" s="864"/>
    </row>
    <row r="154" spans="1:7" ht="12.75">
      <c r="A154" s="113"/>
      <c r="B154" s="106"/>
      <c r="C154" s="129">
        <v>4040</v>
      </c>
      <c r="D154" s="125" t="s">
        <v>81</v>
      </c>
      <c r="E154" s="126"/>
      <c r="F154" s="123">
        <f>'WYDATKI ukł.wyk.'!H507</f>
        <v>4510</v>
      </c>
      <c r="G154" s="864"/>
    </row>
    <row r="155" spans="1:7" ht="12.75">
      <c r="A155" s="113"/>
      <c r="B155" s="106"/>
      <c r="C155" s="129">
        <v>4110</v>
      </c>
      <c r="D155" s="125" t="s">
        <v>82</v>
      </c>
      <c r="E155" s="126"/>
      <c r="F155" s="123">
        <f>'WYDATKI ukł.wyk.'!H508</f>
        <v>16499</v>
      </c>
      <c r="G155" s="864"/>
    </row>
    <row r="156" spans="1:7" ht="12.75">
      <c r="A156" s="113"/>
      <c r="B156" s="106"/>
      <c r="C156" s="129">
        <v>4120</v>
      </c>
      <c r="D156" s="125" t="s">
        <v>375</v>
      </c>
      <c r="E156" s="126"/>
      <c r="F156" s="123">
        <f>'WYDATKI ukł.wyk.'!H509</f>
        <v>2045</v>
      </c>
      <c r="G156" s="864"/>
    </row>
    <row r="157" spans="1:7" ht="12.75">
      <c r="A157" s="113"/>
      <c r="B157" s="106"/>
      <c r="C157" s="129">
        <v>4170</v>
      </c>
      <c r="D157" s="125" t="s">
        <v>84</v>
      </c>
      <c r="E157" s="126"/>
      <c r="F157" s="123">
        <f>'WYDATKI ukł.wyk.'!H510</f>
        <v>39380</v>
      </c>
      <c r="G157" s="864"/>
    </row>
    <row r="158" spans="1:7" ht="12.75">
      <c r="A158" s="113"/>
      <c r="B158" s="106"/>
      <c r="C158" s="129">
        <v>4210</v>
      </c>
      <c r="D158" s="125" t="s">
        <v>85</v>
      </c>
      <c r="E158" s="126"/>
      <c r="F158" s="123">
        <f>'WYDATKI ukł.wyk.'!H511</f>
        <v>32976</v>
      </c>
      <c r="G158" s="864"/>
    </row>
    <row r="159" spans="1:7" ht="12.75">
      <c r="A159" s="113"/>
      <c r="B159" s="106"/>
      <c r="C159" s="129">
        <v>4260</v>
      </c>
      <c r="D159" s="125" t="s">
        <v>86</v>
      </c>
      <c r="E159" s="126"/>
      <c r="F159" s="123">
        <f>'WYDATKI ukł.wyk.'!H512</f>
        <v>11640</v>
      </c>
      <c r="G159" s="864"/>
    </row>
    <row r="160" spans="1:7" ht="12.75">
      <c r="A160" s="113"/>
      <c r="B160" s="106"/>
      <c r="C160" s="129">
        <v>4270</v>
      </c>
      <c r="D160" s="125" t="s">
        <v>87</v>
      </c>
      <c r="E160" s="126"/>
      <c r="F160" s="123">
        <f>'WYDATKI ukł.wyk.'!H513</f>
        <v>0</v>
      </c>
      <c r="G160" s="864"/>
    </row>
    <row r="161" spans="1:7" ht="12.75">
      <c r="A161" s="113"/>
      <c r="B161" s="106"/>
      <c r="C161" s="129">
        <v>4280</v>
      </c>
      <c r="D161" s="125" t="s">
        <v>88</v>
      </c>
      <c r="E161" s="126"/>
      <c r="F161" s="123">
        <f>'WYDATKI ukł.wyk.'!H514</f>
        <v>0</v>
      </c>
      <c r="G161" s="864"/>
    </row>
    <row r="162" spans="1:7" ht="12.75">
      <c r="A162" s="113"/>
      <c r="B162" s="106"/>
      <c r="C162" s="342" t="s">
        <v>73</v>
      </c>
      <c r="D162" s="125" t="s">
        <v>74</v>
      </c>
      <c r="E162" s="126"/>
      <c r="F162" s="123">
        <f>'WYDATKI ukł.wyk.'!H515</f>
        <v>140308</v>
      </c>
      <c r="G162" s="864"/>
    </row>
    <row r="163" spans="1:7" ht="12.75">
      <c r="A163" s="113"/>
      <c r="B163" s="106"/>
      <c r="C163" s="106">
        <v>4370</v>
      </c>
      <c r="D163" s="125" t="s">
        <v>382</v>
      </c>
      <c r="E163" s="126"/>
      <c r="F163" s="123">
        <f>'WYDATKI ukł.wyk.'!H516</f>
        <v>3800</v>
      </c>
      <c r="G163" s="864"/>
    </row>
    <row r="164" spans="1:7" ht="12.75">
      <c r="A164" s="113"/>
      <c r="B164" s="106"/>
      <c r="C164" s="129">
        <v>4410</v>
      </c>
      <c r="D164" s="125" t="s">
        <v>92</v>
      </c>
      <c r="E164" s="126"/>
      <c r="F164" s="123">
        <f>'WYDATKI ukł.wyk.'!H517</f>
        <v>2352</v>
      </c>
      <c r="G164" s="864"/>
    </row>
    <row r="165" spans="1:7" ht="12.75">
      <c r="A165" s="113"/>
      <c r="B165" s="106"/>
      <c r="C165" s="106">
        <v>4430</v>
      </c>
      <c r="D165" s="125" t="s">
        <v>93</v>
      </c>
      <c r="E165" s="126"/>
      <c r="F165" s="123">
        <f>'WYDATKI ukł.wyk.'!H518</f>
        <v>457</v>
      </c>
      <c r="G165" s="864"/>
    </row>
    <row r="166" spans="1:7" ht="12.75">
      <c r="A166" s="113"/>
      <c r="B166" s="106"/>
      <c r="C166" s="342" t="s">
        <v>378</v>
      </c>
      <c r="D166" s="125" t="s">
        <v>379</v>
      </c>
      <c r="E166" s="126"/>
      <c r="F166" s="123">
        <f>'WYDATKI ukł.wyk.'!H519</f>
        <v>2897</v>
      </c>
      <c r="G166" s="864"/>
    </row>
    <row r="167" spans="1:7" ht="12.75">
      <c r="A167" s="113"/>
      <c r="B167" s="106"/>
      <c r="C167" s="342" t="s">
        <v>111</v>
      </c>
      <c r="D167" s="125" t="s">
        <v>95</v>
      </c>
      <c r="E167" s="126"/>
      <c r="F167" s="123">
        <f>'WYDATKI ukł.wyk.'!H520</f>
        <v>0</v>
      </c>
      <c r="G167" s="864"/>
    </row>
    <row r="168" spans="1:7" ht="12.75">
      <c r="A168" s="113"/>
      <c r="B168" s="106"/>
      <c r="C168" s="342" t="s">
        <v>700</v>
      </c>
      <c r="D168" s="125" t="s">
        <v>97</v>
      </c>
      <c r="E168" s="126"/>
      <c r="F168" s="123">
        <f>'WYDATKI ukł.wyk.'!H521</f>
        <v>150</v>
      </c>
      <c r="G168" s="864"/>
    </row>
    <row r="169" spans="1:7" ht="12.75">
      <c r="A169" s="113"/>
      <c r="B169" s="106"/>
      <c r="C169" s="106">
        <v>4700</v>
      </c>
      <c r="D169" s="125" t="s">
        <v>394</v>
      </c>
      <c r="E169" s="126"/>
      <c r="F169" s="123">
        <f>'WYDATKI ukł.wyk.'!H522</f>
        <v>0</v>
      </c>
      <c r="G169" s="864"/>
    </row>
    <row r="170" spans="1:7" ht="12.75">
      <c r="A170" s="113"/>
      <c r="B170" s="106"/>
      <c r="C170" s="106">
        <v>4740</v>
      </c>
      <c r="D170" s="125" t="s">
        <v>395</v>
      </c>
      <c r="E170" s="126"/>
      <c r="F170" s="123">
        <f>'WYDATKI ukł.wyk.'!H523</f>
        <v>1500</v>
      </c>
      <c r="G170" s="864"/>
    </row>
    <row r="171" spans="1:7" ht="12.75">
      <c r="A171" s="113"/>
      <c r="B171" s="106"/>
      <c r="C171" s="106">
        <v>4750</v>
      </c>
      <c r="D171" s="125" t="s">
        <v>388</v>
      </c>
      <c r="E171" s="126"/>
      <c r="F171" s="123">
        <f>'WYDATKI ukł.wyk.'!H524</f>
        <v>4850</v>
      </c>
      <c r="G171" s="864"/>
    </row>
    <row r="172" spans="1:7" ht="13.5" thickBot="1">
      <c r="A172" s="347"/>
      <c r="B172" s="348"/>
      <c r="C172" s="349"/>
      <c r="D172" s="350"/>
      <c r="E172" s="351"/>
      <c r="F172" s="871"/>
      <c r="G172" s="867"/>
    </row>
    <row r="173" spans="1:7" ht="13.5" customHeight="1" thickBot="1">
      <c r="A173" s="92"/>
      <c r="B173" s="92"/>
      <c r="C173" s="92"/>
      <c r="D173" s="352" t="s">
        <v>396</v>
      </c>
      <c r="E173" s="353">
        <f>E150+E118+E113+E107+E71+E40+E26+E18</f>
        <v>1284122</v>
      </c>
      <c r="F173" s="353">
        <f>F150+F118+F113+F107+F71+F40+F26+F18</f>
        <v>1284122</v>
      </c>
      <c r="G173" s="868">
        <f>G26+G18</f>
        <v>360276</v>
      </c>
    </row>
    <row r="174" spans="1:6" ht="13.5" customHeight="1">
      <c r="A174" s="92"/>
      <c r="B174" s="92"/>
      <c r="C174" s="92"/>
      <c r="D174" s="354" t="s">
        <v>397</v>
      </c>
      <c r="E174" s="355"/>
      <c r="F174" s="872">
        <f>SUM(F21,F31:F38,F43:F44,F48,F52:F69,F74:F91,F95:F105,F110:F111,F116,F121:F143,F147,F153:F171)</f>
        <v>1284122</v>
      </c>
    </row>
    <row r="175" spans="1:6" ht="13.5" customHeight="1">
      <c r="A175" s="92"/>
      <c r="B175" s="92"/>
      <c r="C175" s="92"/>
      <c r="D175" s="357" t="s">
        <v>398</v>
      </c>
      <c r="E175" s="358"/>
      <c r="F175" s="873">
        <f>F33+F52+F53+F56+F75+F76+F79+F98+F122+F123+F126+F153+F154+F157+F110</f>
        <v>544468</v>
      </c>
    </row>
    <row r="176" spans="1:6" ht="13.5" customHeight="1">
      <c r="A176" s="92"/>
      <c r="B176" s="92"/>
      <c r="C176" s="92"/>
      <c r="D176" s="357" t="s">
        <v>399</v>
      </c>
      <c r="E176" s="358"/>
      <c r="F176" s="873">
        <f>F31+F32+F54+F55+F77+F78+F96+F97+F124+F125+F155+F156</f>
        <v>96054</v>
      </c>
    </row>
    <row r="177" spans="1:6" ht="13.5" customHeight="1">
      <c r="A177" s="92"/>
      <c r="B177" s="92"/>
      <c r="C177" s="92"/>
      <c r="D177" s="360" t="s">
        <v>400</v>
      </c>
      <c r="E177" s="361"/>
      <c r="F177" s="361">
        <v>0</v>
      </c>
    </row>
    <row r="178" spans="1:6" ht="13.5" customHeight="1" thickBot="1">
      <c r="A178" s="92"/>
      <c r="B178" s="92"/>
      <c r="C178" s="92"/>
      <c r="D178" s="362" t="s">
        <v>401</v>
      </c>
      <c r="E178" s="363"/>
      <c r="F178" s="874">
        <v>0</v>
      </c>
    </row>
    <row r="179" spans="1:6" ht="13.5" customHeight="1">
      <c r="A179" s="92"/>
      <c r="B179" s="92"/>
      <c r="C179" s="92"/>
      <c r="D179" s="365"/>
      <c r="E179" s="92"/>
      <c r="F179" s="92"/>
    </row>
    <row r="180" ht="13.5" customHeight="1">
      <c r="D180" s="366"/>
    </row>
    <row r="181" ht="13.5" customHeight="1">
      <c r="D181" s="366"/>
    </row>
    <row r="182" ht="13.5" customHeight="1"/>
    <row r="183" ht="13.5" customHeight="1"/>
    <row r="184" ht="13.5" customHeight="1"/>
    <row r="185" ht="13.5" customHeight="1"/>
    <row r="186" ht="13.5" customHeight="1"/>
    <row r="187" ht="10.5" customHeight="1"/>
    <row r="188" ht="10.5" customHeight="1"/>
  </sheetData>
  <mergeCells count="5">
    <mergeCell ref="A9:F9"/>
    <mergeCell ref="A10:F10"/>
    <mergeCell ref="A11:F11"/>
    <mergeCell ref="E14:E16"/>
    <mergeCell ref="F14:F16"/>
  </mergeCells>
  <printOptions/>
  <pageMargins left="1.17" right="0.3937007874015748" top="0.25" bottom="0.19" header="0.25" footer="0.11811023622047245"/>
  <pageSetup fitToHeight="2" fitToWidth="2" horizontalDpi="600" verticalDpi="600" orientation="portrait" paperSize="9" scale="72" r:id="rId1"/>
  <rowBreaks count="1" manualBreakCount="1">
    <brk id="9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E49" sqref="E49"/>
    </sheetView>
  </sheetViews>
  <sheetFormatPr defaultColWidth="9.00390625" defaultRowHeight="12.75"/>
  <cols>
    <col min="1" max="1" width="6.625" style="0" customWidth="1"/>
    <col min="2" max="2" width="7.25390625" style="0" customWidth="1"/>
    <col min="3" max="3" width="4.875" style="0" customWidth="1"/>
    <col min="4" max="4" width="52.25390625" style="0" customWidth="1"/>
    <col min="5" max="5" width="11.625" style="0" customWidth="1"/>
    <col min="6" max="6" width="12.625" style="0" customWidth="1"/>
  </cols>
  <sheetData>
    <row r="1" ht="12.75">
      <c r="E1" s="90" t="s">
        <v>552</v>
      </c>
    </row>
    <row r="2" ht="12.75">
      <c r="E2" s="90" t="s">
        <v>402</v>
      </c>
    </row>
    <row r="3" ht="12.75">
      <c r="E3" s="90" t="s">
        <v>216</v>
      </c>
    </row>
    <row r="4" ht="12.75">
      <c r="E4" s="90" t="s">
        <v>689</v>
      </c>
    </row>
    <row r="7" spans="2:5" ht="18">
      <c r="B7" s="1050" t="s">
        <v>555</v>
      </c>
      <c r="C7" s="1050"/>
      <c r="D7" s="1050"/>
      <c r="E7" s="1050"/>
    </row>
    <row r="8" spans="2:5" ht="18">
      <c r="B8" s="1050" t="s">
        <v>554</v>
      </c>
      <c r="C8" s="1050"/>
      <c r="D8" s="1050"/>
      <c r="E8" s="1050"/>
    </row>
    <row r="9" spans="2:5" ht="18">
      <c r="B9" s="1050" t="s">
        <v>553</v>
      </c>
      <c r="C9" s="1050"/>
      <c r="D9" s="1050"/>
      <c r="E9" s="1050"/>
    </row>
    <row r="10" ht="13.5" thickBot="1">
      <c r="F10" s="601" t="s">
        <v>624</v>
      </c>
    </row>
    <row r="11" spans="1:6" ht="12.75">
      <c r="A11" s="1051" t="s">
        <v>218</v>
      </c>
      <c r="B11" s="1052"/>
      <c r="C11" s="1053"/>
      <c r="D11" s="892" t="s">
        <v>407</v>
      </c>
      <c r="E11" s="892" t="s">
        <v>371</v>
      </c>
      <c r="F11" s="1045" t="s">
        <v>592</v>
      </c>
    </row>
    <row r="12" spans="1:6" ht="12.75">
      <c r="A12" s="1048" t="s">
        <v>70</v>
      </c>
      <c r="B12" s="1049" t="s">
        <v>623</v>
      </c>
      <c r="C12" s="1049" t="s">
        <v>588</v>
      </c>
      <c r="D12" s="893"/>
      <c r="E12" s="893"/>
      <c r="F12" s="1046"/>
    </row>
    <row r="13" spans="1:6" ht="13.5" thickBot="1">
      <c r="A13" s="891"/>
      <c r="B13" s="888"/>
      <c r="C13" s="888"/>
      <c r="D13" s="888"/>
      <c r="E13" s="888"/>
      <c r="F13" s="1047"/>
    </row>
    <row r="14" spans="1:6" ht="12.75" customHeight="1" thickBot="1">
      <c r="A14" s="368">
        <v>1</v>
      </c>
      <c r="B14" s="369">
        <v>2</v>
      </c>
      <c r="C14" s="370">
        <v>3</v>
      </c>
      <c r="D14" s="370">
        <v>4</v>
      </c>
      <c r="E14" s="370">
        <v>5</v>
      </c>
      <c r="F14" s="371">
        <v>6</v>
      </c>
    </row>
    <row r="15" spans="1:6" ht="12.75" customHeight="1" thickBot="1">
      <c r="A15" s="742">
        <v>852</v>
      </c>
      <c r="B15" s="743"/>
      <c r="C15" s="439"/>
      <c r="D15" s="842" t="s">
        <v>160</v>
      </c>
      <c r="E15" s="847">
        <f>E16</f>
        <v>219526</v>
      </c>
      <c r="F15" s="745">
        <f>F16</f>
        <v>219526</v>
      </c>
    </row>
    <row r="16" spans="1:6" ht="12.75" customHeight="1">
      <c r="A16" s="378"/>
      <c r="B16" s="379">
        <v>85295</v>
      </c>
      <c r="C16" s="380"/>
      <c r="D16" s="381" t="s">
        <v>58</v>
      </c>
      <c r="E16" s="844">
        <f>E17</f>
        <v>219526</v>
      </c>
      <c r="F16" s="383">
        <f>SUM(F19:F20)</f>
        <v>219526</v>
      </c>
    </row>
    <row r="17" spans="1:6" ht="12.75" customHeight="1">
      <c r="A17" s="378"/>
      <c r="B17" s="384"/>
      <c r="C17" s="385">
        <v>2120</v>
      </c>
      <c r="D17" s="241" t="s">
        <v>545</v>
      </c>
      <c r="E17" s="843">
        <f>'Dochody-ukł.wykon.'!H209</f>
        <v>219526</v>
      </c>
      <c r="F17" s="390"/>
    </row>
    <row r="18" spans="1:6" ht="12.75" customHeight="1">
      <c r="A18" s="378"/>
      <c r="B18" s="384"/>
      <c r="C18" s="385"/>
      <c r="D18" s="241" t="s">
        <v>546</v>
      </c>
      <c r="E18" s="843"/>
      <c r="F18" s="390"/>
    </row>
    <row r="19" spans="1:6" ht="12.75" customHeight="1">
      <c r="A19" s="378"/>
      <c r="B19" s="384"/>
      <c r="C19" s="385">
        <v>4210</v>
      </c>
      <c r="D19" s="119" t="s">
        <v>85</v>
      </c>
      <c r="E19" s="843"/>
      <c r="F19" s="390">
        <v>50000</v>
      </c>
    </row>
    <row r="20" spans="1:6" ht="12.75" customHeight="1">
      <c r="A20" s="378"/>
      <c r="B20" s="384"/>
      <c r="C20" s="385">
        <v>4270</v>
      </c>
      <c r="D20" s="119" t="s">
        <v>87</v>
      </c>
      <c r="E20" s="843"/>
      <c r="F20" s="390">
        <f>130000+39526</f>
        <v>169526</v>
      </c>
    </row>
    <row r="21" spans="1:6" ht="12.75" customHeight="1" thickBot="1">
      <c r="A21" s="392"/>
      <c r="B21" s="394"/>
      <c r="C21" s="418"/>
      <c r="D21" s="418"/>
      <c r="E21" s="845"/>
      <c r="F21" s="846"/>
    </row>
    <row r="22" spans="1:6" ht="13.5" thickBot="1">
      <c r="A22" s="372">
        <v>853</v>
      </c>
      <c r="B22" s="582"/>
      <c r="C22" s="582"/>
      <c r="D22" s="274" t="s">
        <v>174</v>
      </c>
      <c r="E22" s="583">
        <f>E23</f>
        <v>358760</v>
      </c>
      <c r="F22" s="602">
        <f>F23</f>
        <v>358760</v>
      </c>
    </row>
    <row r="23" spans="1:6" ht="12.75">
      <c r="A23" s="415"/>
      <c r="B23" s="436">
        <v>85395</v>
      </c>
      <c r="C23" s="436"/>
      <c r="D23" s="436" t="s">
        <v>58</v>
      </c>
      <c r="E23" s="403">
        <f>E24+E26</f>
        <v>358760</v>
      </c>
      <c r="F23" s="603">
        <f>SUM(F28:F34)</f>
        <v>358760</v>
      </c>
    </row>
    <row r="24" spans="1:6" ht="12.75">
      <c r="A24" s="415"/>
      <c r="B24" s="408"/>
      <c r="C24" s="408">
        <v>2128</v>
      </c>
      <c r="D24" s="241" t="s">
        <v>545</v>
      </c>
      <c r="E24" s="406">
        <f>'Dochody-ukł.wykon.'!H223</f>
        <v>308849</v>
      </c>
      <c r="F24" s="604"/>
    </row>
    <row r="25" spans="1:6" ht="12.75">
      <c r="A25" s="415"/>
      <c r="B25" s="408"/>
      <c r="C25" s="408"/>
      <c r="D25" s="241" t="s">
        <v>546</v>
      </c>
      <c r="E25" s="406"/>
      <c r="F25" s="604"/>
    </row>
    <row r="26" spans="1:6" ht="12.75">
      <c r="A26" s="415"/>
      <c r="B26" s="408"/>
      <c r="C26" s="408">
        <v>2129</v>
      </c>
      <c r="D26" s="241" t="s">
        <v>545</v>
      </c>
      <c r="E26" s="406">
        <f>'Dochody-ukł.wykon.'!H225</f>
        <v>49911</v>
      </c>
      <c r="F26" s="604"/>
    </row>
    <row r="27" spans="1:6" ht="12.75">
      <c r="A27" s="415"/>
      <c r="B27" s="408"/>
      <c r="C27" s="408"/>
      <c r="D27" s="241" t="s">
        <v>546</v>
      </c>
      <c r="E27" s="406"/>
      <c r="F27" s="604"/>
    </row>
    <row r="28" spans="1:6" ht="12.75">
      <c r="A28" s="415"/>
      <c r="B28" s="408"/>
      <c r="C28" s="237">
        <v>3118</v>
      </c>
      <c r="D28" s="90" t="s">
        <v>177</v>
      </c>
      <c r="E28" s="408"/>
      <c r="F28" s="605">
        <f>'WYDATKI ukł.wyk.'!H532</f>
        <v>179527</v>
      </c>
    </row>
    <row r="29" spans="1:6" ht="12.75">
      <c r="A29" s="415"/>
      <c r="B29" s="408"/>
      <c r="C29" s="237">
        <v>3119</v>
      </c>
      <c r="D29" s="90" t="s">
        <v>177</v>
      </c>
      <c r="E29" s="408"/>
      <c r="F29" s="605">
        <f>'WYDATKI ukł.wyk.'!H533</f>
        <v>39911</v>
      </c>
    </row>
    <row r="30" spans="1:6" ht="12.75">
      <c r="A30" s="415"/>
      <c r="B30" s="408"/>
      <c r="C30" s="237">
        <v>4118</v>
      </c>
      <c r="D30" s="90" t="s">
        <v>82</v>
      </c>
      <c r="E30" s="408"/>
      <c r="F30" s="605">
        <f>'WYDATKI ukł.wyk.'!H534</f>
        <v>109568</v>
      </c>
    </row>
    <row r="31" spans="1:6" ht="12.75">
      <c r="A31" s="415"/>
      <c r="B31" s="408"/>
      <c r="C31" s="237">
        <v>4219</v>
      </c>
      <c r="D31" s="90" t="s">
        <v>85</v>
      </c>
      <c r="E31" s="408"/>
      <c r="F31" s="605">
        <f>'WYDATKI ukł.wyk.'!H535</f>
        <v>10000</v>
      </c>
    </row>
    <row r="32" spans="1:6" ht="12.75">
      <c r="A32" s="415"/>
      <c r="B32" s="408"/>
      <c r="C32" s="237">
        <v>4288</v>
      </c>
      <c r="D32" s="90" t="s">
        <v>88</v>
      </c>
      <c r="E32" s="408"/>
      <c r="F32" s="605">
        <f>'WYDATKI ukł.wyk.'!H536</f>
        <v>1888</v>
      </c>
    </row>
    <row r="33" spans="1:6" ht="12.75">
      <c r="A33" s="415"/>
      <c r="B33" s="408"/>
      <c r="C33" s="237">
        <v>4308</v>
      </c>
      <c r="D33" s="90" t="s">
        <v>74</v>
      </c>
      <c r="E33" s="408"/>
      <c r="F33" s="605">
        <f>'WYDATKI ukł.wyk.'!H537</f>
        <v>17866</v>
      </c>
    </row>
    <row r="34" spans="1:6" ht="12.75">
      <c r="A34" s="415"/>
      <c r="B34" s="408"/>
      <c r="C34" s="237">
        <v>4309</v>
      </c>
      <c r="D34" s="90" t="s">
        <v>74</v>
      </c>
      <c r="E34" s="408"/>
      <c r="F34" s="605">
        <f>'WYDATKI ukł.wyk.'!H538</f>
        <v>0</v>
      </c>
    </row>
    <row r="35" spans="1:6" ht="12.75">
      <c r="A35" s="415"/>
      <c r="B35" s="408"/>
      <c r="C35" s="106"/>
      <c r="D35" s="108"/>
      <c r="E35" s="408"/>
      <c r="F35" s="605"/>
    </row>
    <row r="36" spans="1:6" ht="13.5" thickBot="1">
      <c r="A36" s="881">
        <v>854</v>
      </c>
      <c r="B36" s="582"/>
      <c r="C36" s="102"/>
      <c r="D36" s="72" t="s">
        <v>178</v>
      </c>
      <c r="E36" s="583">
        <f>E37</f>
        <v>723000</v>
      </c>
      <c r="F36" s="602">
        <f>F37</f>
        <v>723000</v>
      </c>
    </row>
    <row r="37" spans="1:6" ht="12.75">
      <c r="A37" s="415"/>
      <c r="B37" s="436">
        <v>85420</v>
      </c>
      <c r="C37" s="121"/>
      <c r="D37" s="75" t="s">
        <v>794</v>
      </c>
      <c r="E37" s="403">
        <f>E38</f>
        <v>723000</v>
      </c>
      <c r="F37" s="603">
        <f>F40</f>
        <v>723000</v>
      </c>
    </row>
    <row r="38" spans="1:6" ht="12.75">
      <c r="A38" s="415"/>
      <c r="B38" s="408"/>
      <c r="C38" s="237">
        <v>2120</v>
      </c>
      <c r="D38" s="241" t="s">
        <v>545</v>
      </c>
      <c r="E38" s="406">
        <f>'Dochody-ukł.wykon.'!H254</f>
        <v>723000</v>
      </c>
      <c r="F38" s="605"/>
    </row>
    <row r="39" spans="1:6" ht="12.75">
      <c r="A39" s="415"/>
      <c r="B39" s="408"/>
      <c r="C39" s="408"/>
      <c r="D39" s="241" t="s">
        <v>546</v>
      </c>
      <c r="E39" s="408"/>
      <c r="F39" s="605"/>
    </row>
    <row r="40" spans="1:6" ht="12.75">
      <c r="A40" s="415"/>
      <c r="B40" s="408"/>
      <c r="C40" s="237">
        <v>4210</v>
      </c>
      <c r="D40" s="90" t="s">
        <v>85</v>
      </c>
      <c r="E40" s="408"/>
      <c r="F40" s="605">
        <v>723000</v>
      </c>
    </row>
    <row r="41" spans="1:6" ht="12.75">
      <c r="A41" s="415"/>
      <c r="B41" s="408"/>
      <c r="C41" s="408"/>
      <c r="D41" s="241"/>
      <c r="E41" s="408"/>
      <c r="F41" s="605"/>
    </row>
    <row r="42" spans="1:6" ht="13.5" thickBot="1">
      <c r="A42" s="606"/>
      <c r="B42" s="607"/>
      <c r="C42" s="607"/>
      <c r="D42" s="607"/>
      <c r="E42" s="607"/>
      <c r="F42" s="608"/>
    </row>
    <row r="43" spans="4:6" ht="13.5" thickBot="1">
      <c r="D43" s="352" t="s">
        <v>396</v>
      </c>
      <c r="E43" s="353">
        <f>E22+E15+E36</f>
        <v>1301286</v>
      </c>
      <c r="F43" s="896">
        <f>F22+F15+F36</f>
        <v>1301286</v>
      </c>
    </row>
    <row r="44" spans="4:6" ht="12.75">
      <c r="D44" s="354" t="s">
        <v>397</v>
      </c>
      <c r="E44" s="355"/>
      <c r="F44" s="356">
        <f>SUM(F19:F20,F28:F34,F40)</f>
        <v>1301286</v>
      </c>
    </row>
    <row r="45" spans="4:6" ht="12.75">
      <c r="D45" s="357" t="s">
        <v>398</v>
      </c>
      <c r="E45" s="358"/>
      <c r="F45" s="359">
        <v>0</v>
      </c>
    </row>
    <row r="46" spans="4:6" ht="12.75">
      <c r="D46" s="357" t="s">
        <v>399</v>
      </c>
      <c r="E46" s="358"/>
      <c r="F46" s="359">
        <f>F30</f>
        <v>109568</v>
      </c>
    </row>
    <row r="47" spans="4:6" ht="12.75">
      <c r="D47" s="360" t="s">
        <v>400</v>
      </c>
      <c r="E47" s="361"/>
      <c r="F47" s="446">
        <f>F28+F29</f>
        <v>219438</v>
      </c>
    </row>
    <row r="48" spans="4:6" ht="13.5" thickBot="1">
      <c r="D48" s="362" t="s">
        <v>401</v>
      </c>
      <c r="E48" s="363"/>
      <c r="F48" s="364">
        <v>0</v>
      </c>
    </row>
  </sheetData>
  <mergeCells count="10">
    <mergeCell ref="B7:E7"/>
    <mergeCell ref="B8:E8"/>
    <mergeCell ref="A11:C11"/>
    <mergeCell ref="D11:D13"/>
    <mergeCell ref="E11:E13"/>
    <mergeCell ref="B9:E9"/>
    <mergeCell ref="F11:F13"/>
    <mergeCell ref="A12:A13"/>
    <mergeCell ref="B12:B13"/>
    <mergeCell ref="C12:C13"/>
  </mergeCells>
  <printOptions/>
  <pageMargins left="0.24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</cp:lastModifiedBy>
  <cp:lastPrinted>2007-12-17T13:12:23Z</cp:lastPrinted>
  <dcterms:created xsi:type="dcterms:W3CDTF">1998-12-09T13:02:10Z</dcterms:created>
  <dcterms:modified xsi:type="dcterms:W3CDTF">2007-12-17T14:09:53Z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